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ucie RUPIL\Documents\LABEL BAS CARBONE\1-PROJETS CARBONE EN COURS\PROPRIETAIRES\Projet CHASSEUIL\Dossier LBC\"/>
    </mc:Choice>
  </mc:AlternateContent>
  <bookViews>
    <workbookView xWindow="0" yWindow="0" windowWidth="23040" windowHeight="9384" tabRatio="424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7" i="1" l="1"/>
  <c r="D95" i="1"/>
  <c r="B95" i="1"/>
  <c r="D93" i="1"/>
  <c r="B93" i="1"/>
  <c r="D63" i="1"/>
  <c r="D65" i="1"/>
  <c r="D67" i="1"/>
  <c r="D69" i="1"/>
  <c r="D71" i="1"/>
  <c r="D73" i="1"/>
  <c r="D151" i="1" l="1"/>
  <c r="B151" i="1"/>
  <c r="D149" i="1"/>
  <c r="B149" i="1"/>
  <c r="D147" i="1"/>
  <c r="B147" i="1"/>
  <c r="B145" i="1"/>
  <c r="D143" i="1"/>
  <c r="B143" i="1"/>
  <c r="B73" i="1" l="1"/>
  <c r="B71" i="1"/>
  <c r="B69" i="1"/>
  <c r="B67" i="1"/>
  <c r="B65" i="1"/>
  <c r="B63" i="1"/>
  <c r="B123" i="1" l="1"/>
  <c r="B122" i="1"/>
  <c r="B121" i="1"/>
  <c r="B120" i="1"/>
  <c r="B119" i="1"/>
  <c r="B118" i="1"/>
  <c r="B117" i="1"/>
  <c r="B116" i="1"/>
  <c r="B115" i="1"/>
  <c r="B114" i="1"/>
  <c r="D123" i="1" l="1"/>
  <c r="D121" i="1"/>
  <c r="D119" i="1"/>
  <c r="D117" i="1"/>
  <c r="D115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V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FS20" i="2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W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FS28" i="2"/>
  <c r="EV28" i="2"/>
  <c r="EB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W33" i="2"/>
  <c r="EV33" i="2"/>
  <c r="EA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Q35" i="2"/>
  <c r="EB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H38" i="2"/>
  <c r="HG38" i="2"/>
  <c r="FS38" i="2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HG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C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B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R74" i="2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V78" i="2"/>
  <c r="EB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A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FS113" i="2"/>
  <c r="EX113" i="2"/>
  <c r="EW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V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Q118" i="2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Q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FS124" i="2"/>
  <c r="EW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FS140" i="2"/>
  <c r="HG140" i="2"/>
  <c r="FR140" i="2"/>
  <c r="EX140" i="2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FR145" i="2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HI146" i="2"/>
  <c r="FS146" i="2"/>
  <c r="FR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HI150" i="2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H155" i="2"/>
  <c r="DI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ED155" i="2"/>
  <c r="AB156" i="2"/>
  <c r="FS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X157" i="2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HG158" i="2"/>
  <c r="ED157" i="2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Y159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D160" i="2"/>
  <c r="AB161" i="2"/>
  <c r="FS161" i="2"/>
  <c r="EX161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DI161" i="2"/>
  <c r="EW162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EB163" i="2"/>
  <c r="ED162" i="2"/>
  <c r="EV163" i="2"/>
  <c r="EY163" i="2" s="1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ED163" i="2"/>
  <c r="DI163" i="2"/>
  <c r="FR164" i="2"/>
  <c r="FS164" i="2"/>
  <c r="EV164" i="2"/>
  <c r="EX164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EC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DG167" i="2"/>
  <c r="FR167" i="2"/>
  <c r="EX167" i="2"/>
  <c r="EB167" i="2"/>
  <c r="EA167" i="2"/>
  <c r="EC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V168" i="2"/>
  <c r="EY168" i="2" s="1"/>
  <c r="EW168" i="2"/>
  <c r="EC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B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V172" i="2"/>
  <c r="EW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D172" i="2"/>
  <c r="EW173" i="2"/>
  <c r="EX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FS175" i="2"/>
  <c r="EW175" i="2"/>
  <c r="EB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FS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G179" i="2" l="1"/>
  <c r="HI179" i="2"/>
  <c r="ED178" i="2"/>
  <c r="EV179" i="2"/>
  <c r="EY179" i="2" s="1"/>
  <c r="EA179" i="2"/>
  <c r="EB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HH185" i="2"/>
  <c r="EV185" i="2"/>
  <c r="EW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HG186" i="2"/>
  <c r="FR186" i="2"/>
  <c r="FS186" i="2"/>
  <c r="EW186" i="2"/>
  <c r="ED185" i="2"/>
  <c r="EB186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Y189" i="2" s="1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D190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G192" i="2" l="1"/>
  <c r="HH192" i="2"/>
  <c r="EV192" i="2"/>
  <c r="EY192" i="2" s="1"/>
  <c r="EW192" i="2"/>
  <c r="EA192" i="2"/>
  <c r="EB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FQ193" i="2"/>
  <c r="EX193" i="2"/>
  <c r="EB193" i="2"/>
  <c r="EA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B194" i="2"/>
  <c r="FQ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D194" i="2"/>
  <c r="FQ195" i="2"/>
  <c r="EX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HG199" i="2"/>
  <c r="FS199" i="2"/>
  <c r="EV199" i="2"/>
  <c r="EW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ED201" i="2"/>
  <c r="FS202" i="2"/>
  <c r="FR202" i="2"/>
  <c r="EW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86" i="2" a="1"/>
  <c r="DN186" i="2" s="1"/>
  <c r="DN41" i="2" a="1"/>
  <c r="DN41" i="2" s="1"/>
  <c r="DN152" i="2" a="1"/>
  <c r="DN152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HG203" i="2" l="1"/>
  <c r="CS38" i="2" a="1"/>
  <c r="CS38" i="2" s="1"/>
  <c r="CS114" i="2" a="1"/>
  <c r="CS114" i="2" s="1"/>
  <c r="CS56" i="2" a="1"/>
  <c r="CS56" i="2" s="1"/>
  <c r="CS24" i="2" a="1"/>
  <c r="CS24" i="2" s="1"/>
  <c r="CS134" i="2" a="1"/>
  <c r="CS134" i="2" s="1"/>
  <c r="CS185" i="2" a="1"/>
  <c r="CS185" i="2" s="1"/>
  <c r="CS116" i="2" a="1"/>
  <c r="CS116" i="2" s="1"/>
  <c r="CS77" i="2" a="1"/>
  <c r="CS77" i="2" s="1"/>
  <c r="CS105" i="2" a="1"/>
  <c r="CS105" i="2" s="1"/>
  <c r="CS129" i="2" a="1"/>
  <c r="CS129" i="2" s="1"/>
  <c r="CS52" i="2" a="1"/>
  <c r="CS52" i="2" s="1"/>
  <c r="CS161" i="2" a="1"/>
  <c r="CS161" i="2" s="1"/>
  <c r="CS120" i="2" a="1"/>
  <c r="CS120" i="2" s="1"/>
  <c r="CS137" i="2" a="1"/>
  <c r="CS137" i="2" s="1"/>
  <c r="FS203" i="2"/>
  <c r="FR203" i="2"/>
  <c r="FD19" i="2" a="1"/>
  <c r="FD19" i="2" s="1"/>
  <c r="FD160" i="2" a="1"/>
  <c r="FD160" i="2" s="1"/>
  <c r="FD107" i="2" a="1"/>
  <c r="FD107" i="2" s="1"/>
  <c r="FD167" i="2" a="1"/>
  <c r="FD167" i="2" s="1"/>
  <c r="FD189" i="2" a="1"/>
  <c r="FD189" i="2" s="1"/>
  <c r="FD187" i="2" a="1"/>
  <c r="FD187" i="2" s="1"/>
  <c r="FD137" i="2" a="1"/>
  <c r="FD137" i="2" s="1"/>
  <c r="FD194" i="2" a="1"/>
  <c r="FD194" i="2" s="1"/>
  <c r="FD131" i="2" a="1"/>
  <c r="FD131" i="2" s="1"/>
  <c r="FD14" i="2" a="1"/>
  <c r="FD14" i="2" s="1"/>
  <c r="FD48" i="2" a="1"/>
  <c r="FD48" i="2" s="1"/>
  <c r="FD188" i="2" a="1"/>
  <c r="FD188" i="2" s="1"/>
  <c r="FD159" i="2" a="1"/>
  <c r="FD159" i="2" s="1"/>
  <c r="FD144" i="2" a="1"/>
  <c r="FD144" i="2" s="1"/>
  <c r="FD44" i="2" a="1"/>
  <c r="FD44" i="2" s="1"/>
  <c r="FD60" i="2" a="1"/>
  <c r="FD60" i="2" s="1"/>
  <c r="FD43" i="2" a="1"/>
  <c r="FD43" i="2" s="1"/>
  <c r="FD64" i="2" a="1"/>
  <c r="FD64" i="2" s="1"/>
  <c r="FD59" i="2" a="1"/>
  <c r="FD59" i="2" s="1"/>
  <c r="FD21" i="2" a="1"/>
  <c r="FD21" i="2" s="1"/>
  <c r="DN137" i="2" a="1"/>
  <c r="DN137" i="2" s="1"/>
  <c r="DN25" i="2" a="1"/>
  <c r="DN25" i="2" s="1"/>
  <c r="DN184" i="2" a="1"/>
  <c r="DN184" i="2" s="1"/>
  <c r="DN29" i="2" a="1"/>
  <c r="DN29" i="2" s="1"/>
  <c r="DN56" i="2" a="1"/>
  <c r="DN56" i="2" s="1"/>
  <c r="DN43" i="2" a="1"/>
  <c r="DN4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86" i="2" l="1"/>
  <c r="DT169" i="2"/>
  <c r="DT114" i="2"/>
  <c r="DT158" i="2"/>
  <c r="DT121" i="2"/>
  <c r="DT186" i="2"/>
  <c r="DT27" i="2"/>
  <c r="DT105" i="2"/>
  <c r="DT58" i="2"/>
  <c r="DT95" i="2"/>
  <c r="DT160" i="2"/>
  <c r="DT83" i="2"/>
  <c r="DT5" i="2"/>
  <c r="DT46" i="2"/>
  <c r="DT19" i="2"/>
  <c r="DT173" i="2"/>
  <c r="DT145" i="2"/>
  <c r="DT69" i="2"/>
  <c r="DT12" i="2"/>
  <c r="DT31" i="2"/>
  <c r="DT81" i="2"/>
  <c r="DT124" i="2"/>
  <c r="DT77" i="2"/>
  <c r="DT85" i="2"/>
  <c r="DT99" i="2"/>
  <c r="DT153" i="2"/>
  <c r="DT180" i="2"/>
  <c r="DT185" i="2"/>
  <c r="DT203" i="2"/>
  <c r="DT40" i="2"/>
  <c r="DT87" i="2"/>
  <c r="DT151" i="2"/>
  <c r="DT97" i="2"/>
  <c r="DT131" i="2"/>
  <c r="DT18" i="2"/>
  <c r="DT179" i="2"/>
  <c r="DT136" i="2"/>
  <c r="DT148" i="2"/>
  <c r="DT129" i="2"/>
  <c r="DT67" i="2"/>
  <c r="DT70" i="2"/>
  <c r="DT16" i="2"/>
  <c r="DT104" i="2"/>
  <c r="DT123" i="2"/>
  <c r="DT184" i="2"/>
  <c r="DT76" i="2"/>
  <c r="DT133" i="2"/>
  <c r="DT66" i="2"/>
  <c r="DT21" i="2"/>
  <c r="DT96" i="2"/>
  <c r="DT32" i="2"/>
  <c r="DT122" i="2"/>
  <c r="DT38" i="2"/>
  <c r="DT177" i="2"/>
  <c r="DT141" i="2"/>
  <c r="DT74" i="2"/>
  <c r="DT111" i="2"/>
  <c r="DT101" i="2"/>
  <c r="DT39" i="2"/>
  <c r="DT112" i="2"/>
  <c r="DT134" i="2"/>
  <c r="DT140" i="2"/>
  <c r="DT51" i="2"/>
  <c r="DT33" i="2"/>
  <c r="DT17" i="2"/>
  <c r="DT94" i="2"/>
  <c r="DT64" i="2"/>
  <c r="DT30" i="2"/>
  <c r="DT118" i="2"/>
  <c r="DT102" i="2"/>
  <c r="DT138" i="2"/>
  <c r="DT176" i="2"/>
  <c r="DT167" i="2"/>
  <c r="DT42" i="2"/>
  <c r="DT108" i="2"/>
  <c r="DT44" i="2"/>
  <c r="DT106" i="2"/>
  <c r="DT144" i="2"/>
  <c r="DT199" i="2"/>
  <c r="DT11" i="2"/>
  <c r="DT155" i="2"/>
  <c r="DT41" i="2"/>
  <c r="DT36" i="2"/>
  <c r="DT119" i="2"/>
  <c r="DT24" i="2"/>
  <c r="DT130" i="2"/>
  <c r="DT34" i="2"/>
  <c r="DT183" i="2"/>
  <c r="DT197" i="2"/>
  <c r="DT150" i="2"/>
  <c r="DT132" i="2"/>
  <c r="DT13" i="2"/>
  <c r="DT25" i="2"/>
  <c r="DT175" i="2"/>
  <c r="DT171" i="2"/>
  <c r="DT61" i="2"/>
  <c r="DT22" i="2"/>
  <c r="DT45" i="2"/>
  <c r="DT127" i="2"/>
  <c r="DT37" i="2"/>
  <c r="DT53" i="2"/>
  <c r="DT15" i="2"/>
  <c r="DT6" i="2"/>
  <c r="DT196" i="2"/>
  <c r="DT137" i="2"/>
  <c r="DT68" i="2"/>
  <c r="DT48" i="2"/>
  <c r="DT159" i="2"/>
  <c r="DT35" i="2"/>
  <c r="DT194" i="2"/>
  <c r="DT103" i="2"/>
  <c r="DT71" i="2"/>
  <c r="DT161" i="2"/>
  <c r="DT109" i="2"/>
  <c r="DT84" i="2"/>
  <c r="DT113" i="2"/>
  <c r="DT8" i="2"/>
  <c r="DT187" i="2"/>
  <c r="DT166" i="2"/>
  <c r="DT188" i="2"/>
  <c r="DT162" i="2"/>
  <c r="DT170" i="2"/>
  <c r="DT60" i="2"/>
  <c r="DT54" i="2"/>
  <c r="DT164" i="2"/>
  <c r="DT192" i="2"/>
  <c r="DT55" i="2"/>
  <c r="DT178" i="2"/>
  <c r="DT26" i="2"/>
  <c r="DT47" i="2"/>
  <c r="DT50" i="2"/>
  <c r="DT201" i="2"/>
  <c r="DT107" i="2"/>
  <c r="DT117" i="2"/>
  <c r="DT126" i="2"/>
  <c r="DT75" i="2"/>
  <c r="DT120" i="2"/>
  <c r="DT174" i="2"/>
  <c r="DT93" i="2"/>
  <c r="DT4" i="2"/>
  <c r="DT147" i="2"/>
  <c r="DT116" i="2"/>
  <c r="DT28" i="2"/>
  <c r="DT10" i="2"/>
  <c r="DT49" i="2"/>
  <c r="DT168" i="2"/>
  <c r="DT156" i="2"/>
  <c r="DT43" i="2"/>
  <c r="DT195" i="2"/>
  <c r="DT98" i="2"/>
  <c r="DT143" i="2"/>
  <c r="DT135" i="2"/>
  <c r="DT59" i="2"/>
  <c r="DT181" i="2"/>
  <c r="DT3" i="2"/>
  <c r="C11" i="4" s="1"/>
  <c r="E11" i="4" s="1"/>
  <c r="F11" i="4" s="1"/>
  <c r="G11" i="4" s="1"/>
  <c r="L11" i="4" s="1"/>
  <c r="DT149" i="2"/>
  <c r="DT189" i="2"/>
  <c r="DT163" i="2"/>
  <c r="DT62" i="2"/>
  <c r="DT20" i="2"/>
  <c r="DT52" i="2"/>
  <c r="DT92" i="2"/>
  <c r="DT191" i="2"/>
  <c r="DT157" i="2"/>
  <c r="DT90" i="2"/>
  <c r="DT139" i="2"/>
  <c r="DT91" i="2"/>
  <c r="DT73" i="2"/>
  <c r="DT128" i="2"/>
  <c r="DT7" i="2"/>
  <c r="DT72" i="2"/>
  <c r="DT100" i="2"/>
  <c r="DT198" i="2"/>
  <c r="DT115" i="2"/>
  <c r="DT57" i="2"/>
  <c r="DT146" i="2"/>
  <c r="DT82" i="2"/>
  <c r="DT14" i="2"/>
  <c r="DT154" i="2"/>
  <c r="DT78" i="2"/>
  <c r="DT190" i="2"/>
  <c r="DT89" i="2"/>
  <c r="DT193" i="2"/>
  <c r="DT200" i="2"/>
  <c r="DT142" i="2"/>
  <c r="DT88" i="2"/>
  <c r="DT110" i="2"/>
  <c r="DT63" i="2"/>
  <c r="DT80" i="2"/>
  <c r="DT9" i="2"/>
  <c r="DT165" i="2"/>
  <c r="DT152" i="2"/>
  <c r="DT65" i="2"/>
  <c r="DT23" i="2"/>
  <c r="DT79" i="2"/>
  <c r="DT56" i="2"/>
  <c r="DT182" i="2"/>
  <c r="DT29" i="2"/>
  <c r="DT125" i="2"/>
  <c r="DT172" i="2"/>
  <c r="DT202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<sst xmlns="http://schemas.openxmlformats.org/spreadsheetml/2006/main" count="1175" uniqueCount="324">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</sst>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569.03978265954709</c:v>
                </c:pt>
                <c:pt idx="77">
                  <c:v>582.41546615645132</c:v>
                </c:pt>
                <c:pt idx="78">
                  <c:v>595.78474694239321</c:v>
                </c:pt>
                <c:pt idx="79">
                  <c:v>609.14778887966054</c:v>
                </c:pt>
                <c:pt idx="80">
                  <c:v>622.50474805800388</c:v>
                </c:pt>
                <c:pt idx="81">
                  <c:v>635.85577332565333</c:v>
                </c:pt>
                <c:pt idx="82">
                  <c:v>649.2010067734418</c:v>
                </c:pt>
                <c:pt idx="83">
                  <c:v>662.54058417706926</c:v>
                </c:pt>
                <c:pt idx="84">
                  <c:v>675.87463540191914</c:v>
                </c:pt>
                <c:pt idx="85">
                  <c:v>689.203284774287</c:v>
                </c:pt>
                <c:pt idx="86">
                  <c:v>594.44810225296681</c:v>
                </c:pt>
                <c:pt idx="87">
                  <c:v>606.47567200029653</c:v>
                </c:pt>
                <c:pt idx="88">
                  <c:v>618.4982900029172</c:v>
                </c:pt>
                <c:pt idx="89">
                  <c:v>630.51606604803339</c:v>
                </c:pt>
                <c:pt idx="90">
                  <c:v>642.52910539795516</c:v>
                </c:pt>
                <c:pt idx="91">
                  <c:v>654.5375090594797</c:v>
                </c:pt>
                <c:pt idx="92">
                  <c:v>666.54137403248592</c:v>
                </c:pt>
                <c:pt idx="93">
                  <c:v>678.54079353970099</c:v>
                </c:pt>
                <c:pt idx="94">
                  <c:v>690.53585723937374</c:v>
                </c:pt>
                <c:pt idx="95">
                  <c:v>702.52665142241483</c:v>
                </c:pt>
                <c:pt idx="96">
                  <c:v>606.2847971671714</c:v>
                </c:pt>
                <c:pt idx="97">
                  <c:v>616.78107210210942</c:v>
                </c:pt>
                <c:pt idx="98">
                  <c:v>627.27364503811225</c:v>
                </c:pt>
                <c:pt idx="99">
                  <c:v>637.76258661477414</c:v>
                </c:pt>
                <c:pt idx="100">
                  <c:v>648.24796495924147</c:v>
                </c:pt>
                <c:pt idx="101">
                  <c:v>658.72984581562707</c:v>
                </c:pt>
                <c:pt idx="102">
                  <c:v>669.20829266576197</c:v>
                </c:pt>
                <c:pt idx="103">
                  <c:v>679.68336684199494</c:v>
                </c:pt>
                <c:pt idx="104">
                  <c:v>690.15512763267873</c:v>
                </c:pt>
                <c:pt idx="105">
                  <c:v>700.62363238092428</c:v>
                </c:pt>
                <c:pt idx="106">
                  <c:v>608.95693147091299</c:v>
                </c:pt>
                <c:pt idx="107">
                  <c:v>618.30749289907305</c:v>
                </c:pt>
                <c:pt idx="108">
                  <c:v>627.65512429961279</c:v>
                </c:pt>
                <c:pt idx="109">
                  <c:v>636.99987545603437</c:v>
                </c:pt>
                <c:pt idx="110">
                  <c:v>646.34179457229243</c:v>
                </c:pt>
                <c:pt idx="111">
                  <c:v>655.68092834550419</c:v>
                </c:pt>
                <c:pt idx="112">
                  <c:v>665.01732203430026</c:v>
                </c:pt>
                <c:pt idx="113">
                  <c:v>674.35101952314142</c:v>
                </c:pt>
                <c:pt idx="114">
                  <c:v>683.68206338288792</c:v>
                </c:pt>
                <c:pt idx="115">
                  <c:v>693.01049492789389</c:v>
                </c:pt>
                <c:pt idx="116">
                  <c:v>607.62089481714168</c:v>
                </c:pt>
                <c:pt idx="117">
                  <c:v>615.63620511985016</c:v>
                </c:pt>
                <c:pt idx="118">
                  <c:v>623.64935210528438</c:v>
                </c:pt>
                <c:pt idx="119">
                  <c:v>631.66036748923932</c:v>
                </c:pt>
                <c:pt idx="120">
                  <c:v>639.6692821174388</c:v>
                </c:pt>
                <c:pt idx="121">
                  <c:v>647.67612600023597</c:v>
                </c:pt>
                <c:pt idx="122">
                  <c:v>655.68092834550373</c:v>
                </c:pt>
                <c:pt idx="123">
                  <c:v>663.6837175898421</c:v>
                </c:pt>
                <c:pt idx="124">
                  <c:v>671.68452142819626</c:v>
                </c:pt>
                <c:pt idx="125">
                  <c:v>679.68336684199437</c:v>
                </c:pt>
                <c:pt idx="126">
                  <c:v>601.51251958281682</c:v>
                </c:pt>
                <c:pt idx="127">
                  <c:v>609.1477888796602</c:v>
                </c:pt>
                <c:pt idx="128">
                  <c:v>616.78107210210862</c:v>
                </c:pt>
                <c:pt idx="129">
                  <c:v>624.41239729750191</c:v>
                </c:pt>
                <c:pt idx="130">
                  <c:v>632.0417917716685</c:v>
                </c:pt>
                <c:pt idx="131">
                  <c:v>639.6692821174388</c:v>
                </c:pt>
                <c:pt idx="132">
                  <c:v>647.29489424172436</c:v>
                </c:pt>
                <c:pt idx="133">
                  <c:v>654.91865339125741</c:v>
                </c:pt>
                <c:pt idx="134">
                  <c:v>662.54058417706881</c:v>
                </c:pt>
                <c:pt idx="135">
                  <c:v>670.16071059778062</c:v>
                </c:pt>
                <c:pt idx="136">
                  <c:v>595.21190686629973</c:v>
                </c:pt>
                <c:pt idx="137">
                  <c:v>602.2761367009989</c:v>
                </c:pt>
                <c:pt idx="138">
                  <c:v>609.33864504715143</c:v>
                </c:pt>
                <c:pt idx="139">
                  <c:v>616.39945467421887</c:v>
                </c:pt>
                <c:pt idx="140">
                  <c:v>623.4585877874099</c:v>
                </c:pt>
                <c:pt idx="141">
                  <c:v>630.51606604803271</c:v>
                </c:pt>
                <c:pt idx="142">
                  <c:v>637.571910592888</c:v>
                </c:pt>
                <c:pt idx="143">
                  <c:v>644.62614205275918</c:v>
                </c:pt>
                <c:pt idx="144">
                  <c:v>651.678780570051</c:v>
                </c:pt>
                <c:pt idx="145">
                  <c:v>658.72984581562616</c:v>
                </c:pt>
                <c:pt idx="146">
                  <c:v>590.81975093891367</c:v>
                </c:pt>
                <c:pt idx="147">
                  <c:v>597.31226449625217</c:v>
                </c:pt>
                <c:pt idx="148">
                  <c:v>603.8033106091608</c:v>
                </c:pt>
                <c:pt idx="149">
                  <c:v>610.29290728129206</c:v>
                </c:pt>
                <c:pt idx="150">
                  <c:v>616.78107210210828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845536"/>
        <c:axId val="-209848800"/>
      </c:scatterChart>
      <c:valAx>
        <c:axId val="-209845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48800"/>
        <c:crosses val="autoZero"/>
        <c:crossBetween val="midCat"/>
      </c:valAx>
      <c:valAx>
        <c:axId val="-20984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45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44720624"/>
        <c:axId val="-1944721168"/>
      </c:scatterChart>
      <c:valAx>
        <c:axId val="-1944720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44721168"/>
        <c:crosses val="autoZero"/>
        <c:crossBetween val="midCat"/>
      </c:valAx>
      <c:valAx>
        <c:axId val="-194472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44720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2.1350786004664535</c:v>
                </c:pt>
                <c:pt idx="2">
                  <c:v>2.6921717481430694</c:v>
                </c:pt>
                <c:pt idx="3">
                  <c:v>3.3951979925602132</c:v>
                </c:pt>
                <c:pt idx="4">
                  <c:v>4.2825271299889929</c:v>
                </c:pt>
                <c:pt idx="5">
                  <c:v>5.4026523830368793</c:v>
                </c:pt>
                <c:pt idx="6">
                  <c:v>6.8168699269517186</c:v>
                </c:pt>
                <c:pt idx="7">
                  <c:v>8.6026697455530794</c:v>
                </c:pt>
                <c:pt idx="8">
                  <c:v>10.858027163519033</c:v>
                </c:pt>
                <c:pt idx="9">
                  <c:v>13.706834927621495</c:v>
                </c:pt>
                <c:pt idx="10">
                  <c:v>17.305779747951522</c:v>
                </c:pt>
                <c:pt idx="11">
                  <c:v>21.853048382275563</c:v>
                </c:pt>
                <c:pt idx="12">
                  <c:v>27.599351245605177</c:v>
                </c:pt>
                <c:pt idx="13">
                  <c:v>34.861881979556053</c:v>
                </c:pt>
                <c:pt idx="14">
                  <c:v>44.041996814142045</c:v>
                </c:pt>
                <c:pt idx="15">
                  <c:v>55.647607276796499</c:v>
                </c:pt>
                <c:pt idx="16">
                  <c:v>72.542905122967582</c:v>
                </c:pt>
                <c:pt idx="17">
                  <c:v>89.336953064344058</c:v>
                </c:pt>
                <c:pt idx="18">
                  <c:v>106.05159327760617</c:v>
                </c:pt>
                <c:pt idx="19">
                  <c:v>122.70115105309355</c:v>
                </c:pt>
                <c:pt idx="20">
                  <c:v>139.29572121624975</c:v>
                </c:pt>
                <c:pt idx="21">
                  <c:v>95.685441973812658</c:v>
                </c:pt>
                <c:pt idx="22">
                  <c:v>113.80965748960364</c:v>
                </c:pt>
                <c:pt idx="23">
                  <c:v>131.86304956724535</c:v>
                </c:pt>
                <c:pt idx="24">
                  <c:v>149.85670075971805</c:v>
                </c:pt>
                <c:pt idx="25">
                  <c:v>167.79880331835713</c:v>
                </c:pt>
                <c:pt idx="26">
                  <c:v>184.84436712462625</c:v>
                </c:pt>
                <c:pt idx="27">
                  <c:v>201.85320984852044</c:v>
                </c:pt>
                <c:pt idx="28">
                  <c:v>218.82886210158492</c:v>
                </c:pt>
                <c:pt idx="29">
                  <c:v>235.77426141652714</c:v>
                </c:pt>
                <c:pt idx="30">
                  <c:v>252.69188827494608</c:v>
                </c:pt>
                <c:pt idx="31">
                  <c:v>188.53260053056843</c:v>
                </c:pt>
                <c:pt idx="32">
                  <c:v>203.55221605106576</c:v>
                </c:pt>
                <c:pt idx="33">
                  <c:v>218.54618993520364</c:v>
                </c:pt>
                <c:pt idx="34">
                  <c:v>233.516529591107</c:v>
                </c:pt>
                <c:pt idx="35">
                  <c:v>248.46496383915073</c:v>
                </c:pt>
                <c:pt idx="36">
                  <c:v>261.98552595095441</c:v>
                </c:pt>
                <c:pt idx="37">
                  <c:v>275.49034176419684</c:v>
                </c:pt>
                <c:pt idx="38">
                  <c:v>288.9802920988015</c:v>
                </c:pt>
                <c:pt idx="39">
                  <c:v>302.45616879398858</c:v>
                </c:pt>
                <c:pt idx="40">
                  <c:v>315.91868734548342</c:v>
                </c:pt>
                <c:pt idx="41">
                  <c:v>248.74680925585417</c:v>
                </c:pt>
                <c:pt idx="42">
                  <c:v>260.29633594452849</c:v>
                </c:pt>
                <c:pt idx="43">
                  <c:v>271.83429043682298</c:v>
                </c:pt>
                <c:pt idx="44">
                  <c:v>283.36123337871334</c:v>
                </c:pt>
                <c:pt idx="45">
                  <c:v>294.87767605242135</c:v>
                </c:pt>
                <c:pt idx="46">
                  <c:v>304.70083122716051</c:v>
                </c:pt>
                <c:pt idx="47">
                  <c:v>314.51694528188875</c:v>
                </c:pt>
                <c:pt idx="48">
                  <c:v>324.32626909194659</c:v>
                </c:pt>
                <c:pt idx="49">
                  <c:v>334.12903710888418</c:v>
                </c:pt>
                <c:pt idx="50">
                  <c:v>343.92546889640693</c:v>
                </c:pt>
                <c:pt idx="51">
                  <c:v>298.24642451478036</c:v>
                </c:pt>
                <c:pt idx="52">
                  <c:v>307.22563699685162</c:v>
                </c:pt>
                <c:pt idx="53">
                  <c:v>316.19901919428293</c:v>
                </c:pt>
                <c:pt idx="54">
                  <c:v>325.16676002004425</c:v>
                </c:pt>
                <c:pt idx="55">
                  <c:v>334.12903710888418</c:v>
                </c:pt>
                <c:pt idx="56">
                  <c:v>341.12712268545334</c:v>
                </c:pt>
                <c:pt idx="57">
                  <c:v>348.12205150612658</c:v>
                </c:pt>
                <c:pt idx="58">
                  <c:v>355.11389600890419</c:v>
                </c:pt>
                <c:pt idx="59">
                  <c:v>362.10272554389985</c:v>
                </c:pt>
                <c:pt idx="60">
                  <c:v>369.0886065633519</c:v>
                </c:pt>
                <c:pt idx="61">
                  <c:v>340.28752055444625</c:v>
                </c:pt>
                <c:pt idx="62">
                  <c:v>346.44355255688691</c:v>
                </c:pt>
                <c:pt idx="63">
                  <c:v>352.59718287003449</c:v>
                </c:pt>
                <c:pt idx="64">
                  <c:v>358.748459367507</c:v>
                </c:pt>
                <c:pt idx="65">
                  <c:v>364.89742814550755</c:v>
                </c:pt>
                <c:pt idx="66">
                  <c:v>370.20607819909691</c:v>
                </c:pt>
                <c:pt idx="67">
                  <c:v>375.51306780163486</c:v>
                </c:pt>
                <c:pt idx="68">
                  <c:v>380.81842375711989</c:v>
                </c:pt>
                <c:pt idx="69">
                  <c:v>386.1221720609571</c:v>
                </c:pt>
                <c:pt idx="70">
                  <c:v>391.4243379353731</c:v>
                </c:pt>
                <c:pt idx="71">
                  <c:v>366.85344149976572</c:v>
                </c:pt>
                <c:pt idx="72">
                  <c:v>371.60281428696072</c:v>
                </c:pt>
                <c:pt idx="73">
                  <c:v>376.35086351579002</c:v>
                </c:pt>
                <c:pt idx="74">
                  <c:v>381.09760826078076</c:v>
                </c:pt>
                <c:pt idx="75">
                  <c:v>385.84306708196306</c:v>
                </c:pt>
                <c:pt idx="76">
                  <c:v>392.26137898634892</c:v>
                </c:pt>
                <c:pt idx="77">
                  <c:v>398.67741344442697</c:v>
                </c:pt>
                <c:pt idx="78">
                  <c:v>405.09121230987381</c:v>
                </c:pt>
                <c:pt idx="79">
                  <c:v>411.50281600178829</c:v>
                </c:pt>
                <c:pt idx="80">
                  <c:v>417.91226357594616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839008"/>
        <c:axId val="-209849888"/>
      </c:scatterChart>
      <c:valAx>
        <c:axId val="-209839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49888"/>
        <c:crosses val="autoZero"/>
        <c:crossBetween val="midCat"/>
      </c:valAx>
      <c:valAx>
        <c:axId val="-20984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39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1.8422964255943561</c:v>
                </c:pt>
                <c:pt idx="2">
                  <c:v>2.2840769448304514</c:v>
                </c:pt>
                <c:pt idx="3">
                  <c:v>2.8322110318051301</c:v>
                </c:pt>
                <c:pt idx="4">
                  <c:v>3.5123965485673754</c:v>
                </c:pt>
                <c:pt idx="5">
                  <c:v>4.3565620602836894</c:v>
                </c:pt>
                <c:pt idx="6">
                  <c:v>5.4043823674789087</c:v>
                </c:pt>
                <c:pt idx="7">
                  <c:v>6.7051637589525717</c:v>
                </c:pt>
                <c:pt idx="8">
                  <c:v>8.3201894245288486</c:v>
                </c:pt>
                <c:pt idx="9">
                  <c:v>10.325637644180055</c:v>
                </c:pt>
                <c:pt idx="10">
                  <c:v>12.816212997942424</c:v>
                </c:pt>
                <c:pt idx="11">
                  <c:v>15.909665261688948</c:v>
                </c:pt>
                <c:pt idx="12">
                  <c:v>19.752413540666101</c:v>
                </c:pt>
                <c:pt idx="13">
                  <c:v>24.526546632159739</c:v>
                </c:pt>
                <c:pt idx="14">
                  <c:v>30.45853720222998</c:v>
                </c:pt>
                <c:pt idx="15">
                  <c:v>37.830090353082504</c:v>
                </c:pt>
                <c:pt idx="16">
                  <c:v>46.991650592590524</c:v>
                </c:pt>
                <c:pt idx="17">
                  <c:v>58.379220140586568</c:v>
                </c:pt>
                <c:pt idx="18">
                  <c:v>72.535302209573871</c:v>
                </c:pt>
                <c:pt idx="19">
                  <c:v>90.13498322780255</c:v>
                </c:pt>
                <c:pt idx="20">
                  <c:v>112.01841771826624</c:v>
                </c:pt>
                <c:pt idx="21">
                  <c:v>127.28864388616135</c:v>
                </c:pt>
                <c:pt idx="22">
                  <c:v>142.51446066527583</c:v>
                </c:pt>
                <c:pt idx="23">
                  <c:v>157.70128615360954</c:v>
                </c:pt>
                <c:pt idx="24">
                  <c:v>172.85340704849639</c:v>
                </c:pt>
                <c:pt idx="25">
                  <c:v>187.97429569366716</c:v>
                </c:pt>
                <c:pt idx="26">
                  <c:v>142.01589791538456</c:v>
                </c:pt>
                <c:pt idx="27">
                  <c:v>163.16979010009447</c:v>
                </c:pt>
                <c:pt idx="28">
                  <c:v>184.25877600301396</c:v>
                </c:pt>
                <c:pt idx="29">
                  <c:v>205.29133473515969</c:v>
                </c:pt>
                <c:pt idx="30">
                  <c:v>226.27406227435191</c:v>
                </c:pt>
                <c:pt idx="31">
                  <c:v>251.39490864187155</c:v>
                </c:pt>
                <c:pt idx="32">
                  <c:v>276.45885580257664</c:v>
                </c:pt>
                <c:pt idx="33">
                  <c:v>301.47178533857368</c:v>
                </c:pt>
                <c:pt idx="34">
                  <c:v>326.43852276314112</c:v>
                </c:pt>
                <c:pt idx="35">
                  <c:v>351.36309515060793</c:v>
                </c:pt>
                <c:pt idx="36">
                  <c:v>236.13258605094427</c:v>
                </c:pt>
                <c:pt idx="37">
                  <c:v>259.50975036427297</c:v>
                </c:pt>
                <c:pt idx="38">
                  <c:v>282.83933776674917</c:v>
                </c:pt>
                <c:pt idx="39">
                  <c:v>306.12582263909655</c:v>
                </c:pt>
                <c:pt idx="40">
                  <c:v>329.37294292794746</c:v>
                </c:pt>
                <c:pt idx="41">
                  <c:v>350.14223138776862</c:v>
                </c:pt>
                <c:pt idx="42">
                  <c:v>370.88450720110427</c:v>
                </c:pt>
                <c:pt idx="43">
                  <c:v>391.601492717501</c:v>
                </c:pt>
                <c:pt idx="44">
                  <c:v>412.29471325711143</c:v>
                </c:pt>
                <c:pt idx="45">
                  <c:v>432.96552861089231</c:v>
                </c:pt>
                <c:pt idx="46">
                  <c:v>336.95087205446191</c:v>
                </c:pt>
                <c:pt idx="47">
                  <c:v>357.95416117271793</c:v>
                </c:pt>
                <c:pt idx="48">
                  <c:v>378.93048768134901</c:v>
                </c:pt>
                <c:pt idx="49">
                  <c:v>399.88155317062478</c:v>
                </c:pt>
                <c:pt idx="50">
                  <c:v>420.80886646072395</c:v>
                </c:pt>
                <c:pt idx="51">
                  <c:v>440.98489664903059</c:v>
                </c:pt>
                <c:pt idx="52">
                  <c:v>461.14114638080417</c:v>
                </c:pt>
                <c:pt idx="53">
                  <c:v>481.27860130485692</c:v>
                </c:pt>
                <c:pt idx="54">
                  <c:v>501.39815791487598</c:v>
                </c:pt>
                <c:pt idx="55">
                  <c:v>521.50063494049539</c:v>
                </c:pt>
                <c:pt idx="56">
                  <c:v>446.81519736841238</c:v>
                </c:pt>
                <c:pt idx="57">
                  <c:v>463.08290945831237</c:v>
                </c:pt>
                <c:pt idx="58">
                  <c:v>479.33843486990912</c:v>
                </c:pt>
                <c:pt idx="59">
                  <c:v>495.58224490397123</c:v>
                </c:pt>
                <c:pt idx="60">
                  <c:v>511.81477745903265</c:v>
                </c:pt>
                <c:pt idx="61">
                  <c:v>527.55236536708901</c:v>
                </c:pt>
                <c:pt idx="62">
                  <c:v>543.2800710576447</c:v>
                </c:pt>
                <c:pt idx="63">
                  <c:v>558.99822076791611</c:v>
                </c:pt>
                <c:pt idx="64">
                  <c:v>574.70712090201846</c:v>
                </c:pt>
                <c:pt idx="65">
                  <c:v>590.40705975702826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841184"/>
        <c:axId val="-209850976"/>
      </c:scatterChart>
      <c:valAx>
        <c:axId val="-209841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50976"/>
        <c:crosses val="autoZero"/>
        <c:crossBetween val="midCat"/>
      </c:valAx>
      <c:valAx>
        <c:axId val="-20985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41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2.0163255466281131</c:v>
                </c:pt>
                <c:pt idx="2">
                  <c:v>2.621673140601819</c:v>
                </c:pt>
                <c:pt idx="3">
                  <c:v>3.4095004707059817</c:v>
                </c:pt>
                <c:pt idx="4">
                  <c:v>4.4350258947343066</c:v>
                </c:pt>
                <c:pt idx="5">
                  <c:v>5.770236466654187</c:v>
                </c:pt>
                <c:pt idx="6">
                  <c:v>7.5089970713214749</c:v>
                </c:pt>
                <c:pt idx="7">
                  <c:v>9.7737209540079721</c:v>
                </c:pt>
                <c:pt idx="8">
                  <c:v>12.724080145238965</c:v>
                </c:pt>
                <c:pt idx="9">
                  <c:v>16.568381291448102</c:v>
                </c:pt>
                <c:pt idx="10">
                  <c:v>21.578424681057971</c:v>
                </c:pt>
                <c:pt idx="11">
                  <c:v>28.108915772242117</c:v>
                </c:pt>
                <c:pt idx="12">
                  <c:v>36.6228275693935</c:v>
                </c:pt>
                <c:pt idx="13">
                  <c:v>47.724542701983104</c:v>
                </c:pt>
                <c:pt idx="14">
                  <c:v>62.203167380699057</c:v>
                </c:pt>
                <c:pt idx="15">
                  <c:v>81.089146592114631</c:v>
                </c:pt>
                <c:pt idx="16">
                  <c:v>105.72827470437562</c:v>
                </c:pt>
                <c:pt idx="17">
                  <c:v>137.8784585019167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158.96711933407138</c:v>
                </c:pt>
                <c:pt idx="22">
                  <c:v>174.80435986940384</c:v>
                </c:pt>
                <c:pt idx="23">
                  <c:v>190.60789667260715</c:v>
                </c:pt>
                <c:pt idx="24">
                  <c:v>206.38091870707342</c:v>
                </c:pt>
                <c:pt idx="25">
                  <c:v>222.12608711761609</c:v>
                </c:pt>
                <c:pt idx="26">
                  <c:v>240.16288844163589</c:v>
                </c:pt>
                <c:pt idx="27">
                  <c:v>258.16885516688654</c:v>
                </c:pt>
                <c:pt idx="28">
                  <c:v>276.14644026006209</c:v>
                </c:pt>
                <c:pt idx="29">
                  <c:v>294.09775112221075</c:v>
                </c:pt>
                <c:pt idx="30">
                  <c:v>312.02461684041344</c:v>
                </c:pt>
                <c:pt idx="31">
                  <c:v>221.094424049145</c:v>
                </c:pt>
                <c:pt idx="32">
                  <c:v>245.82510561630218</c:v>
                </c:pt>
                <c:pt idx="33">
                  <c:v>270.49926667643871</c:v>
                </c:pt>
                <c:pt idx="34">
                  <c:v>295.12278580201036</c:v>
                </c:pt>
                <c:pt idx="35">
                  <c:v>319.70048005131156</c:v>
                </c:pt>
                <c:pt idx="36">
                  <c:v>343.21482537977386</c:v>
                </c:pt>
                <c:pt idx="37">
                  <c:v>366.69377549524052</c:v>
                </c:pt>
                <c:pt idx="38">
                  <c:v>390.13991368163425</c:v>
                </c:pt>
                <c:pt idx="39">
                  <c:v>413.55548753770319</c:v>
                </c:pt>
                <c:pt idx="40">
                  <c:v>436.94246952460389</c:v>
                </c:pt>
                <c:pt idx="41">
                  <c:v>332.74014622063504</c:v>
                </c:pt>
                <c:pt idx="42">
                  <c:v>355.97934182146486</c:v>
                </c:pt>
                <c:pt idx="43">
                  <c:v>379.18532666257602</c:v>
                </c:pt>
                <c:pt idx="44">
                  <c:v>402.36041748843598</c:v>
                </c:pt>
                <c:pt idx="45">
                  <c:v>425.50664252865255</c:v>
                </c:pt>
                <c:pt idx="46">
                  <c:v>450.14921900548853</c:v>
                </c:pt>
                <c:pt idx="47">
                  <c:v>474.76294811711523</c:v>
                </c:pt>
                <c:pt idx="48">
                  <c:v>499.34953422631702</c:v>
                </c:pt>
                <c:pt idx="49">
                  <c:v>523.91050032318174</c:v>
                </c:pt>
                <c:pt idx="50">
                  <c:v>548.44721509505121</c:v>
                </c:pt>
                <c:pt idx="51">
                  <c:v>440.75297566986842</c:v>
                </c:pt>
                <c:pt idx="52">
                  <c:v>464.87006056330688</c:v>
                </c:pt>
                <c:pt idx="53">
                  <c:v>488.96047611898666</c:v>
                </c:pt>
                <c:pt idx="54">
                  <c:v>513.02571977154412</c:v>
                </c:pt>
                <c:pt idx="55">
                  <c:v>537.06713714333102</c:v>
                </c:pt>
                <c:pt idx="56">
                  <c:v>562.60218783470089</c:v>
                </c:pt>
                <c:pt idx="57">
                  <c:v>588.11300180979094</c:v>
                </c:pt>
                <c:pt idx="58">
                  <c:v>613.60077697318252</c:v>
                </c:pt>
                <c:pt idx="59">
                  <c:v>639.06660371731391</c:v>
                </c:pt>
                <c:pt idx="60">
                  <c:v>664.51147855649094</c:v>
                </c:pt>
                <c:pt idx="61">
                  <c:v>593.66671778108605</c:v>
                </c:pt>
                <c:pt idx="62">
                  <c:v>623.68882043396627</c:v>
                </c:pt>
                <c:pt idx="63">
                  <c:v>653.68101286378453</c:v>
                </c:pt>
                <c:pt idx="64">
                  <c:v>683.64485824233782</c:v>
                </c:pt>
                <c:pt idx="65">
                  <c:v>713.58177174919808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844448"/>
        <c:axId val="-209837920"/>
      </c:scatterChart>
      <c:valAx>
        <c:axId val="-209844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37920"/>
        <c:crosses val="autoZero"/>
        <c:crossBetween val="midCat"/>
      </c:valAx>
      <c:valAx>
        <c:axId val="-20983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44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1.5822906068505087</c:v>
                </c:pt>
                <c:pt idx="2">
                  <c:v>2.1590803556368559</c:v>
                </c:pt>
                <c:pt idx="3">
                  <c:v>2.9470321690360284</c:v>
                </c:pt>
                <c:pt idx="4">
                  <c:v>4.0237651443918931</c:v>
                </c:pt>
                <c:pt idx="5">
                  <c:v>5.4955372831531513</c:v>
                </c:pt>
                <c:pt idx="6">
                  <c:v>7.5078491752346848</c:v>
                </c:pt>
                <c:pt idx="7">
                  <c:v>10.259986327276664</c:v>
                </c:pt>
                <c:pt idx="8">
                  <c:v>14.024967387706489</c:v>
                </c:pt>
                <c:pt idx="9">
                  <c:v>19.176913563965442</c:v>
                </c:pt>
                <c:pt idx="10">
                  <c:v>26.228607762633402</c:v>
                </c:pt>
                <c:pt idx="11">
                  <c:v>35.883047403156439</c:v>
                </c:pt>
                <c:pt idx="12">
                  <c:v>49.104218396245834</c:v>
                </c:pt>
                <c:pt idx="13">
                  <c:v>67.2142752185148</c:v>
                </c:pt>
                <c:pt idx="14">
                  <c:v>92.02700399002704</c:v>
                </c:pt>
                <c:pt idx="15">
                  <c:v>119.77326037262911</c:v>
                </c:pt>
                <c:pt idx="16">
                  <c:v>147.36195981272613</c:v>
                </c:pt>
                <c:pt idx="17">
                  <c:v>174.82691123329161</c:v>
                </c:pt>
                <c:pt idx="18">
                  <c:v>202.19034050790356</c:v>
                </c:pt>
                <c:pt idx="19">
                  <c:v>229.46793498173523</c:v>
                </c:pt>
                <c:pt idx="20">
                  <c:v>169.07407109527108</c:v>
                </c:pt>
                <c:pt idx="21">
                  <c:v>209.06499793311082</c:v>
                </c:pt>
                <c:pt idx="22">
                  <c:v>248.87878199848305</c:v>
                </c:pt>
                <c:pt idx="23">
                  <c:v>288.54780123876236</c:v>
                </c:pt>
                <c:pt idx="24">
                  <c:v>328.09476299110776</c:v>
                </c:pt>
                <c:pt idx="25">
                  <c:v>371.68262431492644</c:v>
                </c:pt>
                <c:pt idx="26">
                  <c:v>415.15898415584189</c:v>
                </c:pt>
                <c:pt idx="27">
                  <c:v>458.53714453346976</c:v>
                </c:pt>
                <c:pt idx="28">
                  <c:v>501.82768554824059</c:v>
                </c:pt>
                <c:pt idx="29">
                  <c:v>545.03921412799457</c:v>
                </c:pt>
                <c:pt idx="30">
                  <c:v>390.51639235278827</c:v>
                </c:pt>
                <c:pt idx="31">
                  <c:v>433.00972113966594</c:v>
                </c:pt>
                <c:pt idx="32">
                  <c:v>475.41349600485609</c:v>
                </c:pt>
                <c:pt idx="33">
                  <c:v>517.73681339023631</c:v>
                </c:pt>
                <c:pt idx="34">
                  <c:v>559.98716245543392</c:v>
                </c:pt>
                <c:pt idx="35">
                  <c:v>598.81336638748473</c:v>
                </c:pt>
                <c:pt idx="36">
                  <c:v>637.58725238535828</c:v>
                </c:pt>
                <c:pt idx="37">
                  <c:v>676.31244299962793</c:v>
                </c:pt>
                <c:pt idx="38">
                  <c:v>714.99211280421071</c:v>
                </c:pt>
                <c:pt idx="39">
                  <c:v>753.62906550390051</c:v>
                </c:pt>
                <c:pt idx="40">
                  <c:v>593.58989511894583</c:v>
                </c:pt>
                <c:pt idx="41">
                  <c:v>629.0165715318908</c:v>
                </c:pt>
                <c:pt idx="42">
                  <c:v>664.40198758336305</c:v>
                </c:pt>
                <c:pt idx="43">
                  <c:v>699.74864561347249</c:v>
                </c:pt>
                <c:pt idx="44">
                  <c:v>735.05877497379925</c:v>
                </c:pt>
                <c:pt idx="45">
                  <c:v>766.43713183784848</c:v>
                </c:pt>
                <c:pt idx="46">
                  <c:v>797.78944575723233</c:v>
                </c:pt>
                <c:pt idx="47">
                  <c:v>829.11688231752885</c:v>
                </c:pt>
                <c:pt idx="48">
                  <c:v>860.42051199860259</c:v>
                </c:pt>
                <c:pt idx="49">
                  <c:v>891.70132117959167</c:v>
                </c:pt>
                <c:pt idx="50">
                  <c:v>772.00449779843473</c:v>
                </c:pt>
                <c:pt idx="51">
                  <c:v>799.64382174334071</c:v>
                </c:pt>
                <c:pt idx="52">
                  <c:v>827.26386061389655</c:v>
                </c:pt>
                <c:pt idx="53">
                  <c:v>854.86534783112813</c:v>
                </c:pt>
                <c:pt idx="54">
                  <c:v>882.44896567269086</c:v>
                </c:pt>
                <c:pt idx="55">
                  <c:v>906.50111140579645</c:v>
                </c:pt>
                <c:pt idx="56">
                  <c:v>930.54053593594938</c:v>
                </c:pt>
                <c:pt idx="57">
                  <c:v>954.56761364968497</c:v>
                </c:pt>
                <c:pt idx="58">
                  <c:v>978.58269858024141</c:v>
                </c:pt>
                <c:pt idx="59">
                  <c:v>1002.586125996227</c:v>
                </c:pt>
                <c:pt idx="60">
                  <c:v>911.67989537495123</c:v>
                </c:pt>
                <c:pt idx="61">
                  <c:v>932.57406943423291</c:v>
                </c:pt>
                <c:pt idx="62">
                  <c:v>953.45893822938058</c:v>
                </c:pt>
                <c:pt idx="63">
                  <c:v>974.33473399626234</c:v>
                </c:pt>
                <c:pt idx="64">
                  <c:v>995.20167822247868</c:v>
                </c:pt>
                <c:pt idx="65">
                  <c:v>1012.9225514835547</c:v>
                </c:pt>
                <c:pt idx="66">
                  <c:v>1030.637313252894</c:v>
                </c:pt>
                <c:pt idx="67">
                  <c:v>1048.3460832294754</c:v>
                </c:pt>
                <c:pt idx="68">
                  <c:v>1066.0489767443166</c:v>
                </c:pt>
                <c:pt idx="69">
                  <c:v>1083.7461049912113</c:v>
                </c:pt>
                <c:pt idx="70">
                  <c:v>1009.6003569545486</c:v>
                </c:pt>
                <c:pt idx="71">
                  <c:v>1023.994986083952</c:v>
                </c:pt>
                <c:pt idx="72">
                  <c:v>1038.3856304911808</c:v>
                </c:pt>
                <c:pt idx="73">
                  <c:v>1052.7723531139675</c:v>
                </c:pt>
                <c:pt idx="74">
                  <c:v>1067.1552150317514</c:v>
                </c:pt>
                <c:pt idx="75">
                  <c:v>1041.3370707780739</c:v>
                </c:pt>
                <c:pt idx="76">
                  <c:v>1052.4035112744266</c:v>
                </c:pt>
                <c:pt idx="77">
                  <c:v>1063.46766645242</c:v>
                </c:pt>
                <c:pt idx="78">
                  <c:v>1074.5295634140714</c:v>
                </c:pt>
                <c:pt idx="79">
                  <c:v>1085.5892286584906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840640"/>
        <c:axId val="-209849344"/>
      </c:scatterChart>
      <c:valAx>
        <c:axId val="-2098406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49344"/>
        <c:crosses val="autoZero"/>
        <c:crossBetween val="midCat"/>
      </c:valAx>
      <c:valAx>
        <c:axId val="-20984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40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150.87513847478246</c:v>
                </c:pt>
                <c:pt idx="22">
                  <c:v>164.05970215478601</c:v>
                </c:pt>
                <c:pt idx="23">
                  <c:v>177.21922452403726</c:v>
                </c:pt>
                <c:pt idx="24">
                  <c:v>190.35582818013089</c:v>
                </c:pt>
                <c:pt idx="25">
                  <c:v>203.47131846209797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244.88086471160261</c:v>
                </c:pt>
                <c:pt idx="32">
                  <c:v>264.43843589912387</c:v>
                </c:pt>
                <c:pt idx="33">
                  <c:v>283.96339386484857</c:v>
                </c:pt>
                <c:pt idx="34">
                  <c:v>303.45829588181323</c:v>
                </c:pt>
                <c:pt idx="35">
                  <c:v>322.92534379451848</c:v>
                </c:pt>
                <c:pt idx="36">
                  <c:v>241.98049682860949</c:v>
                </c:pt>
                <c:pt idx="37">
                  <c:v>262.26703366253639</c:v>
                </c:pt>
                <c:pt idx="38">
                  <c:v>282.51816051208368</c:v>
                </c:pt>
                <c:pt idx="39">
                  <c:v>302.73677181781744</c:v>
                </c:pt>
                <c:pt idx="40">
                  <c:v>322.92534379451837</c:v>
                </c:pt>
                <c:pt idx="41">
                  <c:v>343.44578806718232</c:v>
                </c:pt>
                <c:pt idx="42">
                  <c:v>363.93929728008408</c:v>
                </c:pt>
                <c:pt idx="43">
                  <c:v>384.40760067247987</c:v>
                </c:pt>
                <c:pt idx="44">
                  <c:v>404.85222837562537</c:v>
                </c:pt>
                <c:pt idx="45">
                  <c:v>425.27454344239982</c:v>
                </c:pt>
                <c:pt idx="46">
                  <c:v>344.52504925832596</c:v>
                </c:pt>
                <c:pt idx="47">
                  <c:v>364.29860280650684</c:v>
                </c:pt>
                <c:pt idx="48">
                  <c:v>384.04871588248375</c:v>
                </c:pt>
                <c:pt idx="49">
                  <c:v>403.77676289014676</c:v>
                </c:pt>
                <c:pt idx="50">
                  <c:v>423.48397302905897</c:v>
                </c:pt>
                <c:pt idx="51">
                  <c:v>441.74027828737439</c:v>
                </c:pt>
                <c:pt idx="52">
                  <c:v>459.98041834329564</c:v>
                </c:pt>
                <c:pt idx="53">
                  <c:v>478.20512408967215</c:v>
                </c:pt>
                <c:pt idx="54">
                  <c:v>496.4150661959215</c:v>
                </c:pt>
                <c:pt idx="55">
                  <c:v>514.61086214265561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514.25421410888737</c:v>
                </c:pt>
                <c:pt idx="62">
                  <c:v>529.94184508625551</c:v>
                </c:pt>
                <c:pt idx="63">
                  <c:v>545.61970516793383</c:v>
                </c:pt>
                <c:pt idx="64">
                  <c:v>561.28811451546585</c:v>
                </c:pt>
                <c:pt idx="65">
                  <c:v>576.94737396741846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563.77996485783649</c:v>
                </c:pt>
                <c:pt idx="72">
                  <c:v>577.3031621395595</c:v>
                </c:pt>
                <c:pt idx="73">
                  <c:v>590.81975093891435</c:v>
                </c:pt>
                <c:pt idx="74">
                  <c:v>604.32990368396679</c:v>
                </c:pt>
                <c:pt idx="75">
                  <c:v>617.83378446799861</c:v>
                </c:pt>
                <c:pt idx="76">
                  <c:v>530.65468456610142</c:v>
                </c:pt>
                <c:pt idx="77">
                  <c:v>543.12614035455283</c:v>
                </c:pt>
                <c:pt idx="78">
                  <c:v>555.59158520777885</c:v>
                </c:pt>
                <c:pt idx="79">
                  <c:v>568.05117296149115</c:v>
                </c:pt>
                <c:pt idx="80">
                  <c:v>580.50505015445844</c:v>
                </c:pt>
                <c:pt idx="81">
                  <c:v>592.95335652703079</c:v>
                </c:pt>
                <c:pt idx="82">
                  <c:v>605.39622547563897</c:v>
                </c:pt>
                <c:pt idx="83">
                  <c:v>617.83378446799861</c:v>
                </c:pt>
                <c:pt idx="84">
                  <c:v>630.26615542315471</c:v>
                </c:pt>
                <c:pt idx="85">
                  <c:v>642.69345505999615</c:v>
                </c:pt>
                <c:pt idx="86">
                  <c:v>554.34530677131272</c:v>
                </c:pt>
                <c:pt idx="87">
                  <c:v>565.55971684393</c:v>
                </c:pt>
                <c:pt idx="88">
                  <c:v>576.76947816434301</c:v>
                </c:pt>
                <c:pt idx="89">
                  <c:v>587.97469380198311</c:v>
                </c:pt>
                <c:pt idx="90">
                  <c:v>599.17546257826007</c:v>
                </c:pt>
                <c:pt idx="91">
                  <c:v>610.37187931946266</c:v>
                </c:pt>
                <c:pt idx="92">
                  <c:v>621.56403509014024</c:v>
                </c:pt>
                <c:pt idx="93">
                  <c:v>632.75201740881039</c:v>
                </c:pt>
                <c:pt idx="94">
                  <c:v>643.93591044762059</c:v>
                </c:pt>
                <c:pt idx="95">
                  <c:v>655.11579521742271</c:v>
                </c:pt>
                <c:pt idx="96">
                  <c:v>565.38174692254574</c:v>
                </c:pt>
                <c:pt idx="97">
                  <c:v>575.16836435383368</c:v>
                </c:pt>
                <c:pt idx="98">
                  <c:v>584.9515063079474</c:v>
                </c:pt>
                <c:pt idx="99">
                  <c:v>594.73123910211177</c:v>
                </c:pt>
                <c:pt idx="100">
                  <c:v>604.50762669483913</c:v>
                </c:pt>
                <c:pt idx="101">
                  <c:v>614.2807308074224</c:v>
                </c:pt>
                <c:pt idx="102">
                  <c:v>624.05061103730111</c:v>
                </c:pt>
                <c:pt idx="103">
                  <c:v>633.81732496395614</c:v>
                </c:pt>
                <c:pt idx="104">
                  <c:v>643.58092824794232</c:v>
                </c:pt>
                <c:pt idx="105">
                  <c:v>653.34147472360155</c:v>
                </c:pt>
                <c:pt idx="106">
                  <c:v>567.8732193983036</c:v>
                </c:pt>
                <c:pt idx="107">
                  <c:v>576.59158121606004</c:v>
                </c:pt>
                <c:pt idx="108">
                  <c:v>585.30719229177305</c:v>
                </c:pt>
                <c:pt idx="109">
                  <c:v>594.02009936274032</c:v>
                </c:pt>
                <c:pt idx="110">
                  <c:v>602.73034768336299</c:v>
                </c:pt>
                <c:pt idx="111">
                  <c:v>611.43798109340639</c:v>
                </c:pt>
                <c:pt idx="112">
                  <c:v>620.14304208216913</c:v>
                </c:pt>
                <c:pt idx="113">
                  <c:v>628.8455718488633</c:v>
                </c:pt>
                <c:pt idx="114">
                  <c:v>637.54561035947995</c:v>
                </c:pt>
                <c:pt idx="115">
                  <c:v>646.24319640038709</c:v>
                </c:pt>
                <c:pt idx="116">
                  <c:v>566.62751179237478</c:v>
                </c:pt>
                <c:pt idx="117">
                  <c:v>574.10090346679817</c:v>
                </c:pt>
                <c:pt idx="118">
                  <c:v>581.57226419525443</c:v>
                </c:pt>
                <c:pt idx="119">
                  <c:v>589.04162375287922</c:v>
                </c:pt>
                <c:pt idx="120">
                  <c:v>596.5090110979769</c:v>
                </c:pt>
                <c:pt idx="121">
                  <c:v>603.97445440459546</c:v>
                </c:pt>
                <c:pt idx="122">
                  <c:v>611.43798109340605</c:v>
                </c:pt>
                <c:pt idx="123">
                  <c:v>618.89961786100037</c:v>
                </c:pt>
                <c:pt idx="124">
                  <c:v>626.35939070769678</c:v>
                </c:pt>
                <c:pt idx="125">
                  <c:v>633.81732496395534</c:v>
                </c:pt>
                <c:pt idx="126">
                  <c:v>560.93211702073916</c:v>
                </c:pt>
                <c:pt idx="127">
                  <c:v>568.05117296149081</c:v>
                </c:pt>
                <c:pt idx="128">
                  <c:v>575.16836435383323</c:v>
                </c:pt>
                <c:pt idx="129">
                  <c:v>582.28371752891576</c:v>
                </c:pt>
                <c:pt idx="130">
                  <c:v>589.39725812175027</c:v>
                </c:pt>
                <c:pt idx="131">
                  <c:v>596.5090110979769</c:v>
                </c:pt>
                <c:pt idx="132">
                  <c:v>603.61900077928851</c:v>
                </c:pt>
                <c:pt idx="133">
                  <c:v>610.72725086759363</c:v>
                </c:pt>
                <c:pt idx="134">
                  <c:v>617.83378446799804</c:v>
                </c:pt>
                <c:pt idx="135">
                  <c:v>624.93862411067119</c:v>
                </c:pt>
                <c:pt idx="136">
                  <c:v>555.05747305784064</c:v>
                </c:pt>
                <c:pt idx="137">
                  <c:v>561.64410728476457</c:v>
                </c:pt>
                <c:pt idx="138">
                  <c:v>568.22912535937337</c:v>
                </c:pt>
                <c:pt idx="139">
                  <c:v>574.81254865788685</c:v>
                </c:pt>
                <c:pt idx="140">
                  <c:v>581.39439802679851</c:v>
                </c:pt>
                <c:pt idx="141">
                  <c:v>587.9746938019822</c:v>
                </c:pt>
                <c:pt idx="142">
                  <c:v>594.5534558268979</c:v>
                </c:pt>
                <c:pt idx="143">
                  <c:v>601.13070346995062</c:v>
                </c:pt>
                <c:pt idx="144">
                  <c:v>607.70645564105166</c:v>
                </c:pt>
                <c:pt idx="145">
                  <c:v>614.28073080742172</c:v>
                </c:pt>
                <c:pt idx="146">
                  <c:v>550.96225460584549</c:v>
                </c:pt>
                <c:pt idx="147">
                  <c:v>557.01583171739867</c:v>
                </c:pt>
                <c:pt idx="148">
                  <c:v>563.06803117603783</c:v>
                </c:pt>
                <c:pt idx="149">
                  <c:v>569.11886988378899</c:v>
                </c:pt>
                <c:pt idx="150">
                  <c:v>575.16836435383254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840096"/>
        <c:axId val="-209836832"/>
      </c:scatterChart>
      <c:valAx>
        <c:axId val="-209840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36832"/>
        <c:crosses val="autoZero"/>
        <c:crossBetween val="midCat"/>
      </c:valAx>
      <c:valAx>
        <c:axId val="-20983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40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7917520"/>
        <c:axId val="-217915344"/>
      </c:scatterChart>
      <c:valAx>
        <c:axId val="-217917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7915344"/>
        <c:crosses val="autoZero"/>
        <c:crossBetween val="midCat"/>
      </c:valAx>
      <c:valAx>
        <c:axId val="-21791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7917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7914256"/>
        <c:axId val="-218815600"/>
      </c:scatterChart>
      <c:valAx>
        <c:axId val="-21791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8815600"/>
        <c:crosses val="autoZero"/>
        <c:crossBetween val="midCat"/>
      </c:valAx>
      <c:valAx>
        <c:axId val="-21881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791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8813424"/>
        <c:axId val="-218812880"/>
      </c:scatterChart>
      <c:valAx>
        <c:axId val="-218813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8812880"/>
        <c:crosses val="autoZero"/>
        <c:crossBetween val="midCat"/>
      </c:valAx>
      <c:valAx>
        <c:axId val="-21881288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8813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C66" sqref="C65:C6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06" zoomScale="90" zoomScaleNormal="90" workbookViewId="0">
      <selection activeCell="H117" sqref="H117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5.5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0.36299999999999999</v>
      </c>
      <c r="D9" s="36">
        <f t="shared" ref="D9:D18" si="0">C9*$C$5</f>
        <v>1.9964999999999999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4</v>
      </c>
      <c r="C10" s="35">
        <v>0.08</v>
      </c>
      <c r="D10" s="36">
        <f t="shared" si="0"/>
        <v>0.44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41</v>
      </c>
      <c r="C11" s="35">
        <v>0.20200000000000001</v>
      </c>
      <c r="D11" s="36">
        <f t="shared" si="0"/>
        <v>1.111</v>
      </c>
      <c r="E11" s="37">
        <v>65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35</v>
      </c>
      <c r="C12" s="35">
        <v>0.20200000000000001</v>
      </c>
      <c r="D12" s="36">
        <f t="shared" si="0"/>
        <v>1.111</v>
      </c>
      <c r="E12" s="37">
        <v>65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156</v>
      </c>
      <c r="C13" s="35">
        <v>3.2000000000000001E-2</v>
      </c>
      <c r="D13" s="36">
        <f t="shared" si="0"/>
        <v>0.17599999999999999</v>
      </c>
      <c r="E13" s="37">
        <v>79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11</v>
      </c>
      <c r="C14" s="35">
        <v>0.121</v>
      </c>
      <c r="D14" s="36">
        <f t="shared" si="0"/>
        <v>0.66549999999999998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5.5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53">
        <v>73</v>
      </c>
      <c r="C36" s="53"/>
      <c r="D36" s="53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53">
        <v>109</v>
      </c>
      <c r="C37" s="53">
        <v>1</v>
      </c>
      <c r="D37" s="53"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53">
        <v>121</v>
      </c>
      <c r="C38" s="53"/>
      <c r="D38" s="53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53">
        <v>175</v>
      </c>
      <c r="C39" s="53">
        <v>2</v>
      </c>
      <c r="D39" s="53"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53">
        <v>175</v>
      </c>
      <c r="C40" s="53"/>
      <c r="D40" s="53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53">
        <v>232</v>
      </c>
      <c r="C41" s="53">
        <v>3</v>
      </c>
      <c r="D41" s="53"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53">
        <v>231</v>
      </c>
      <c r="C42" s="53"/>
      <c r="D42" s="53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53">
        <v>282</v>
      </c>
      <c r="C43" s="53">
        <v>4</v>
      </c>
      <c r="D43" s="53"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273</v>
      </c>
      <c r="C44" s="53"/>
      <c r="D44" s="53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317</v>
      </c>
      <c r="C45" s="53">
        <v>5</v>
      </c>
      <c r="D45" s="53"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302</v>
      </c>
      <c r="C46" s="53"/>
      <c r="D46" s="53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340</v>
      </c>
      <c r="C47" s="53">
        <v>6</v>
      </c>
      <c r="D47" s="53"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85</v>
      </c>
      <c r="B48" s="53">
        <v>354</v>
      </c>
      <c r="C48" s="53">
        <v>7</v>
      </c>
      <c r="D48" s="53">
        <v>56</v>
      </c>
      <c r="E48" s="54"/>
      <c r="F48" s="54"/>
      <c r="G48" s="54"/>
      <c r="H48" s="54"/>
      <c r="I48" s="52">
        <f t="shared" si="1"/>
        <v>7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95</v>
      </c>
      <c r="B49" s="53">
        <v>361</v>
      </c>
      <c r="C49" s="53">
        <v>8</v>
      </c>
      <c r="D49" s="53">
        <v>56</v>
      </c>
      <c r="E49" s="54"/>
      <c r="F49" s="54"/>
      <c r="G49" s="54"/>
      <c r="H49" s="54"/>
      <c r="I49" s="52">
        <f t="shared" si="1"/>
        <v>6.3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105</v>
      </c>
      <c r="B50" s="53">
        <v>360</v>
      </c>
      <c r="C50" s="53">
        <v>9</v>
      </c>
      <c r="D50" s="53">
        <v>53</v>
      </c>
      <c r="E50" s="54"/>
      <c r="F50" s="54"/>
      <c r="G50" s="54"/>
      <c r="H50" s="54"/>
      <c r="I50" s="52">
        <f t="shared" si="1"/>
        <v>5.5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115</v>
      </c>
      <c r="B51" s="53">
        <v>356</v>
      </c>
      <c r="C51" s="53">
        <v>10</v>
      </c>
      <c r="D51" s="53">
        <v>49</v>
      </c>
      <c r="E51" s="54"/>
      <c r="F51" s="54"/>
      <c r="G51" s="54"/>
      <c r="H51" s="54"/>
      <c r="I51" s="52">
        <f t="shared" si="1"/>
        <v>4.9000000000000004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125</v>
      </c>
      <c r="B52" s="53">
        <v>349</v>
      </c>
      <c r="C52" s="53">
        <v>11</v>
      </c>
      <c r="D52" s="53">
        <v>45</v>
      </c>
      <c r="E52" s="54"/>
      <c r="F52" s="54"/>
      <c r="G52" s="54"/>
      <c r="H52" s="54"/>
      <c r="I52" s="52">
        <f t="shared" si="1"/>
        <v>4.2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135</v>
      </c>
      <c r="B53" s="53">
        <v>344</v>
      </c>
      <c r="C53" s="53">
        <v>12</v>
      </c>
      <c r="D53" s="53">
        <v>43</v>
      </c>
      <c r="E53" s="54"/>
      <c r="F53" s="54"/>
      <c r="G53" s="54"/>
      <c r="H53" s="54"/>
      <c r="I53" s="52">
        <f t="shared" si="1"/>
        <v>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145</v>
      </c>
      <c r="B54" s="53">
        <v>338</v>
      </c>
      <c r="C54" s="53">
        <v>13</v>
      </c>
      <c r="D54" s="53">
        <v>39</v>
      </c>
      <c r="E54" s="54"/>
      <c r="F54" s="54"/>
      <c r="G54" s="54"/>
      <c r="H54" s="54"/>
      <c r="I54" s="52">
        <f t="shared" si="1"/>
        <v>3.7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316</v>
      </c>
      <c r="C55" s="53">
        <v>14</v>
      </c>
      <c r="D55" s="53">
        <v>316</v>
      </c>
      <c r="E55" s="54"/>
      <c r="F55" s="54"/>
      <c r="G55" s="54"/>
      <c r="H55" s="54"/>
      <c r="I55" s="52">
        <f t="shared" si="1"/>
        <v>3.4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Aulne glutineux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3">
        <v>37</v>
      </c>
      <c r="C62" s="53"/>
      <c r="D62" s="63"/>
      <c r="E62" s="54"/>
      <c r="F62" s="54"/>
      <c r="G62" s="54"/>
      <c r="H62" s="54"/>
      <c r="I62" s="56">
        <f>IFERROR(B62/A62,"")</f>
        <v>2.4666666666666668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3">
        <f>80+15</f>
        <v>95</v>
      </c>
      <c r="C63" s="53">
        <v>1</v>
      </c>
      <c r="D63" s="63">
        <f>28+15</f>
        <v>43</v>
      </c>
      <c r="E63" s="54"/>
      <c r="F63" s="54"/>
      <c r="G63" s="54"/>
      <c r="H63" s="54">
        <v>1</v>
      </c>
      <c r="I63" s="52">
        <f>IF(A63&lt;&gt;0,(B63-(B62-D62))/(A63-A62),"")</f>
        <v>11.6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3">
        <v>115</v>
      </c>
      <c r="C64" s="53"/>
      <c r="D64" s="63"/>
      <c r="E64" s="54"/>
      <c r="F64" s="54"/>
      <c r="G64" s="54"/>
      <c r="H64" s="54"/>
      <c r="I64" s="52">
        <f>IF(A64&lt;&gt;0,(B64-(B63-D63))/(A64-A63),"")</f>
        <v>12.6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f>147+28</f>
        <v>175</v>
      </c>
      <c r="C65" s="53">
        <v>2</v>
      </c>
      <c r="D65" s="63">
        <f>28+28</f>
        <v>56</v>
      </c>
      <c r="E65" s="54"/>
      <c r="F65" s="54"/>
      <c r="G65" s="54"/>
      <c r="H65" s="54">
        <v>1</v>
      </c>
      <c r="I65" s="52">
        <f>IF(A65&lt;&gt;0,(B65-(B64-D64))/(A65-A64),"")</f>
        <v>12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63">
        <v>172</v>
      </c>
      <c r="C66" s="53"/>
      <c r="D66" s="63"/>
      <c r="E66" s="54"/>
      <c r="F66" s="54"/>
      <c r="G66" s="54"/>
      <c r="H66" s="54"/>
      <c r="I66" s="52">
        <f t="shared" ref="I66:I81" si="2">IF(A66&lt;&gt;0,(B66-(B65-D65))/(A66-A65),"")</f>
        <v>10.6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63">
        <f>192+28</f>
        <v>220</v>
      </c>
      <c r="C67" s="53">
        <v>3</v>
      </c>
      <c r="D67" s="63">
        <f>28+28</f>
        <v>56</v>
      </c>
      <c r="E67" s="54"/>
      <c r="F67" s="54"/>
      <c r="G67" s="54"/>
      <c r="H67" s="54"/>
      <c r="I67" s="52">
        <f t="shared" si="2"/>
        <v>9.6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63">
        <v>45</v>
      </c>
      <c r="B68" s="63">
        <v>205</v>
      </c>
      <c r="C68" s="63"/>
      <c r="D68" s="63"/>
      <c r="E68" s="93"/>
      <c r="F68" s="93"/>
      <c r="G68" s="93"/>
      <c r="H68" s="93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63">
        <v>50</v>
      </c>
      <c r="B69" s="63">
        <f>218+22</f>
        <v>240</v>
      </c>
      <c r="C69" s="63">
        <v>4</v>
      </c>
      <c r="D69" s="63">
        <f>17+22</f>
        <v>39</v>
      </c>
      <c r="E69" s="93"/>
      <c r="F69" s="93"/>
      <c r="G69" s="93"/>
      <c r="H69" s="93"/>
      <c r="I69" s="52">
        <f t="shared" si="2"/>
        <v>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63">
        <v>55</v>
      </c>
      <c r="B70" s="63">
        <v>233</v>
      </c>
      <c r="C70" s="63"/>
      <c r="D70" s="63"/>
      <c r="E70" s="93"/>
      <c r="F70" s="93"/>
      <c r="G70" s="93"/>
      <c r="H70" s="93"/>
      <c r="I70" s="52">
        <f t="shared" si="2"/>
        <v>6.4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63">
        <v>60</v>
      </c>
      <c r="B71" s="63">
        <f>245+13</f>
        <v>258</v>
      </c>
      <c r="C71" s="63">
        <v>5</v>
      </c>
      <c r="D71" s="63">
        <f>12+13</f>
        <v>25</v>
      </c>
      <c r="E71" s="93"/>
      <c r="F71" s="93"/>
      <c r="G71" s="93"/>
      <c r="H71" s="93"/>
      <c r="I71" s="52">
        <f t="shared" si="2"/>
        <v>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63">
        <v>65</v>
      </c>
      <c r="B72" s="63">
        <v>255</v>
      </c>
      <c r="C72" s="63"/>
      <c r="D72" s="63"/>
      <c r="E72" s="93"/>
      <c r="F72" s="93"/>
      <c r="G72" s="93"/>
      <c r="H72" s="93"/>
      <c r="I72" s="52">
        <f t="shared" si="2"/>
        <v>4.4000000000000004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63">
        <v>70</v>
      </c>
      <c r="B73" s="63">
        <f>263+11</f>
        <v>274</v>
      </c>
      <c r="C73" s="63">
        <v>6</v>
      </c>
      <c r="D73" s="63">
        <f>10+11</f>
        <v>21</v>
      </c>
      <c r="E73" s="93"/>
      <c r="F73" s="93"/>
      <c r="G73" s="93"/>
      <c r="H73" s="93"/>
      <c r="I73" s="52">
        <f t="shared" si="2"/>
        <v>3.8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63">
        <v>75</v>
      </c>
      <c r="B74" s="63">
        <v>270</v>
      </c>
      <c r="C74" s="63"/>
      <c r="D74" s="63"/>
      <c r="E74" s="68"/>
      <c r="F74" s="68"/>
      <c r="G74" s="68"/>
      <c r="H74" s="68"/>
      <c r="I74" s="52">
        <f t="shared" si="2"/>
        <v>3.4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63">
        <v>80</v>
      </c>
      <c r="B75" s="63">
        <v>293</v>
      </c>
      <c r="C75" s="63">
        <v>7</v>
      </c>
      <c r="D75" s="63">
        <v>293</v>
      </c>
      <c r="E75" s="68"/>
      <c r="F75" s="68"/>
      <c r="G75" s="68"/>
      <c r="H75" s="68"/>
      <c r="I75" s="52">
        <f t="shared" si="2"/>
        <v>4.5999999999999996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sylvestre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87</v>
      </c>
      <c r="C88" s="63"/>
      <c r="D88" s="63"/>
      <c r="E88" s="54"/>
      <c r="F88" s="54"/>
      <c r="G88" s="54"/>
      <c r="H88" s="93"/>
      <c r="I88" s="56">
        <f>IFERROR(B88/A88,"")</f>
        <v>4.3499999999999996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148</v>
      </c>
      <c r="C89" s="63">
        <v>1</v>
      </c>
      <c r="D89" s="63">
        <v>54</v>
      </c>
      <c r="E89" s="54"/>
      <c r="F89" s="54"/>
      <c r="G89" s="54">
        <v>0.5</v>
      </c>
      <c r="H89" s="93">
        <v>0.5</v>
      </c>
      <c r="I89" s="56">
        <f t="shared" ref="I89:I107" si="3">IF(A89&lt;&gt;0,(B89-(B88-D88))/(A89-A88),"")</f>
        <v>12.2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v>179</v>
      </c>
      <c r="C90" s="63"/>
      <c r="D90" s="63"/>
      <c r="E90" s="93"/>
      <c r="F90" s="93"/>
      <c r="G90" s="93"/>
      <c r="H90" s="93"/>
      <c r="I90" s="56">
        <f t="shared" si="3"/>
        <v>17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v>281</v>
      </c>
      <c r="C91" s="63">
        <v>2</v>
      </c>
      <c r="D91" s="63">
        <v>113</v>
      </c>
      <c r="E91" s="93"/>
      <c r="F91" s="93"/>
      <c r="G91" s="93"/>
      <c r="H91" s="93"/>
      <c r="I91" s="56">
        <f t="shared" si="3"/>
        <v>20.399999999999999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v>263</v>
      </c>
      <c r="C92" s="63"/>
      <c r="D92" s="63"/>
      <c r="E92" s="93"/>
      <c r="F92" s="93"/>
      <c r="G92" s="93"/>
      <c r="H92" s="93"/>
      <c r="I92" s="56">
        <f t="shared" si="3"/>
        <v>19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f>297+51</f>
        <v>348</v>
      </c>
      <c r="C93" s="63">
        <v>3</v>
      </c>
      <c r="D93" s="63">
        <f>51+45</f>
        <v>96</v>
      </c>
      <c r="E93" s="93"/>
      <c r="F93" s="93"/>
      <c r="G93" s="93"/>
      <c r="H93" s="93"/>
      <c r="I93" s="56">
        <f t="shared" si="3"/>
        <v>17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v>338</v>
      </c>
      <c r="C94" s="63"/>
      <c r="D94" s="63"/>
      <c r="E94" s="93"/>
      <c r="F94" s="93"/>
      <c r="G94" s="93"/>
      <c r="H94" s="93"/>
      <c r="I94" s="56">
        <f t="shared" si="3"/>
        <v>17.2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55</v>
      </c>
      <c r="B95" s="63">
        <f>379+42</f>
        <v>421</v>
      </c>
      <c r="C95" s="63">
        <v>4</v>
      </c>
      <c r="D95" s="63">
        <f>42+33</f>
        <v>75</v>
      </c>
      <c r="E95" s="93"/>
      <c r="F95" s="93"/>
      <c r="G95" s="93"/>
      <c r="H95" s="93"/>
      <c r="I95" s="56">
        <f t="shared" si="3"/>
        <v>16.600000000000001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60</v>
      </c>
      <c r="B96" s="63">
        <v>413</v>
      </c>
      <c r="C96" s="63"/>
      <c r="D96" s="63"/>
      <c r="E96" s="93"/>
      <c r="F96" s="93"/>
      <c r="G96" s="93"/>
      <c r="H96" s="93"/>
      <c r="I96" s="56">
        <f t="shared" si="3"/>
        <v>13.4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65</v>
      </c>
      <c r="B97" s="63">
        <f>442+20+16</f>
        <v>478</v>
      </c>
      <c r="C97" s="63">
        <v>5</v>
      </c>
      <c r="D97" s="63">
        <v>478</v>
      </c>
      <c r="E97" s="93"/>
      <c r="F97" s="93"/>
      <c r="G97" s="93"/>
      <c r="H97" s="93"/>
      <c r="I97" s="56">
        <f t="shared" si="3"/>
        <v>13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Pin laricio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17</v>
      </c>
      <c r="B114" s="63">
        <f>103</f>
        <v>103</v>
      </c>
      <c r="C114" s="53"/>
      <c r="D114" s="63"/>
      <c r="E114" s="54"/>
      <c r="F114" s="54"/>
      <c r="G114" s="54"/>
      <c r="H114" s="54"/>
      <c r="I114" s="56">
        <f>IFERROR(B114/A114,"")</f>
        <v>6.0588235294117645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3">
        <f>122+15</f>
        <v>137</v>
      </c>
      <c r="C115" s="53">
        <v>1</v>
      </c>
      <c r="D115" s="63">
        <f>15+15</f>
        <v>30</v>
      </c>
      <c r="E115" s="54"/>
      <c r="F115" s="54"/>
      <c r="G115" s="54">
        <v>0.5</v>
      </c>
      <c r="H115" s="54">
        <v>0.5</v>
      </c>
      <c r="I115" s="56">
        <f t="shared" ref="I115:I133" si="4">IF(A115&lt;&gt;0,(B115-(B114-D114))/(A115-A114),"")</f>
        <v>11.333333333333334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f>168</f>
        <v>168</v>
      </c>
      <c r="C116" s="53"/>
      <c r="D116" s="63"/>
      <c r="E116" s="54"/>
      <c r="F116" s="54"/>
      <c r="G116" s="54"/>
      <c r="H116" s="54"/>
      <c r="I116" s="56">
        <f t="shared" si="4"/>
        <v>12.2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3">
        <f>202+36</f>
        <v>238</v>
      </c>
      <c r="C117" s="53">
        <v>2</v>
      </c>
      <c r="D117" s="63">
        <f>54+36</f>
        <v>90</v>
      </c>
      <c r="E117" s="54"/>
      <c r="F117" s="54"/>
      <c r="G117" s="54">
        <v>0.5</v>
      </c>
      <c r="H117" s="54">
        <v>0.5</v>
      </c>
      <c r="I117" s="56">
        <f t="shared" si="4"/>
        <v>14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3">
        <f>244</f>
        <v>244</v>
      </c>
      <c r="C118" s="53"/>
      <c r="D118" s="63"/>
      <c r="E118" s="54"/>
      <c r="F118" s="54"/>
      <c r="G118" s="54"/>
      <c r="H118" s="54"/>
      <c r="I118" s="56">
        <f t="shared" si="4"/>
        <v>19.2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3">
        <f>284+52</f>
        <v>336</v>
      </c>
      <c r="C119" s="53">
        <v>3</v>
      </c>
      <c r="D119" s="63">
        <f>48+52</f>
        <v>100</v>
      </c>
      <c r="E119" s="54"/>
      <c r="F119" s="54"/>
      <c r="G119" s="54"/>
      <c r="H119" s="54"/>
      <c r="I119" s="56">
        <f t="shared" si="4"/>
        <v>18.399999999999999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45</v>
      </c>
      <c r="B120" s="63">
        <f>327</f>
        <v>327</v>
      </c>
      <c r="C120" s="63"/>
      <c r="D120" s="63"/>
      <c r="E120" s="93"/>
      <c r="F120" s="93"/>
      <c r="G120" s="93"/>
      <c r="H120" s="93"/>
      <c r="I120" s="56">
        <f t="shared" si="4"/>
        <v>18.2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50</v>
      </c>
      <c r="B121" s="63">
        <f>367+57</f>
        <v>424</v>
      </c>
      <c r="C121" s="63">
        <v>4</v>
      </c>
      <c r="D121" s="63">
        <f>47+57</f>
        <v>104</v>
      </c>
      <c r="E121" s="93"/>
      <c r="F121" s="93"/>
      <c r="G121" s="93"/>
      <c r="H121" s="93"/>
      <c r="I121" s="56">
        <f t="shared" si="4"/>
        <v>19.399999999999999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55</v>
      </c>
      <c r="B122" s="63">
        <f>415</f>
        <v>415</v>
      </c>
      <c r="C122" s="63"/>
      <c r="D122" s="63"/>
      <c r="E122" s="93"/>
      <c r="F122" s="93"/>
      <c r="G122" s="93"/>
      <c r="H122" s="93"/>
      <c r="I122" s="56">
        <f t="shared" si="4"/>
        <v>19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60</v>
      </c>
      <c r="B123" s="63">
        <f>468+48</f>
        <v>516</v>
      </c>
      <c r="C123" s="63">
        <v>5</v>
      </c>
      <c r="D123" s="63">
        <f>48+32</f>
        <v>80</v>
      </c>
      <c r="E123" s="93"/>
      <c r="F123" s="93"/>
      <c r="G123" s="93"/>
      <c r="H123" s="93"/>
      <c r="I123" s="56">
        <f t="shared" si="4"/>
        <v>20.2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65</v>
      </c>
      <c r="B124" s="63">
        <v>555</v>
      </c>
      <c r="C124" s="63">
        <v>6</v>
      </c>
      <c r="D124" s="63">
        <v>555</v>
      </c>
      <c r="E124" s="93"/>
      <c r="F124" s="93"/>
      <c r="G124" s="93"/>
      <c r="H124" s="93"/>
      <c r="I124" s="56">
        <f t="shared" si="4"/>
        <v>23.8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Séquoia toujours vert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14</v>
      </c>
      <c r="B140" s="63">
        <v>92</v>
      </c>
      <c r="C140" s="53"/>
      <c r="D140" s="63"/>
      <c r="E140" s="54"/>
      <c r="F140" s="54"/>
      <c r="G140" s="54"/>
      <c r="H140" s="54"/>
      <c r="I140" s="60">
        <f>IFERROR(B140/A140,"")</f>
        <v>6.5714285714285712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19</v>
      </c>
      <c r="B141" s="63">
        <v>235</v>
      </c>
      <c r="C141" s="53">
        <v>1</v>
      </c>
      <c r="D141" s="63">
        <v>105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28.6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24</v>
      </c>
      <c r="B142" s="63">
        <v>339</v>
      </c>
      <c r="C142" s="53"/>
      <c r="D142" s="63"/>
      <c r="E142" s="54"/>
      <c r="F142" s="54"/>
      <c r="G142" s="54"/>
      <c r="H142" s="54"/>
      <c r="I142" s="60">
        <f t="shared" si="5"/>
        <v>41.8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29</v>
      </c>
      <c r="B143" s="63">
        <f>465+105</f>
        <v>570</v>
      </c>
      <c r="C143" s="53">
        <v>2</v>
      </c>
      <c r="D143" s="63">
        <f>105+105</f>
        <v>210</v>
      </c>
      <c r="E143" s="54"/>
      <c r="F143" s="54"/>
      <c r="G143" s="54"/>
      <c r="H143" s="54">
        <v>1</v>
      </c>
      <c r="I143" s="60">
        <f t="shared" si="5"/>
        <v>46.2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34</v>
      </c>
      <c r="B144" s="63">
        <v>586</v>
      </c>
      <c r="C144" s="53"/>
      <c r="D144" s="63"/>
      <c r="E144" s="54"/>
      <c r="F144" s="54"/>
      <c r="G144" s="54"/>
      <c r="H144" s="54"/>
      <c r="I144" s="60">
        <f t="shared" si="5"/>
        <v>45.2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39</v>
      </c>
      <c r="B145" s="63">
        <f>689+105</f>
        <v>794</v>
      </c>
      <c r="C145" s="53">
        <v>3</v>
      </c>
      <c r="D145" s="63">
        <v>210</v>
      </c>
      <c r="E145" s="54"/>
      <c r="F145" s="54"/>
      <c r="G145" s="54"/>
      <c r="H145" s="54"/>
      <c r="I145" s="60">
        <f t="shared" si="5"/>
        <v>41.6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44</v>
      </c>
      <c r="B146" s="63">
        <v>774</v>
      </c>
      <c r="C146" s="53"/>
      <c r="D146" s="63"/>
      <c r="E146" s="54"/>
      <c r="F146" s="54"/>
      <c r="G146" s="54"/>
      <c r="H146" s="54"/>
      <c r="I146" s="60">
        <f t="shared" si="5"/>
        <v>38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49</v>
      </c>
      <c r="B147" s="63">
        <f>857+86</f>
        <v>943</v>
      </c>
      <c r="C147" s="53">
        <v>4</v>
      </c>
      <c r="D147" s="63">
        <f>73+86</f>
        <v>159</v>
      </c>
      <c r="E147" s="54"/>
      <c r="F147" s="54"/>
      <c r="G147" s="54"/>
      <c r="H147" s="54"/>
      <c r="I147" s="60">
        <f>IF(A147&lt;&gt;0,(B147-(B146-D146))/(A147-A146),"")</f>
        <v>33.799999999999997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54</v>
      </c>
      <c r="B148" s="63">
        <v>933</v>
      </c>
      <c r="C148" s="53"/>
      <c r="D148" s="63"/>
      <c r="E148" s="54"/>
      <c r="F148" s="54"/>
      <c r="G148" s="54"/>
      <c r="H148" s="54"/>
      <c r="I148" s="60">
        <f t="shared" si="5"/>
        <v>29.8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59</v>
      </c>
      <c r="B149" s="63">
        <f>999+64</f>
        <v>1063</v>
      </c>
      <c r="C149" s="53">
        <v>5</v>
      </c>
      <c r="D149" s="63">
        <f>57+64</f>
        <v>121</v>
      </c>
      <c r="E149" s="54"/>
      <c r="F149" s="54"/>
      <c r="G149" s="54"/>
      <c r="H149" s="54"/>
      <c r="I149" s="60">
        <f t="shared" si="5"/>
        <v>26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64</v>
      </c>
      <c r="B150" s="63">
        <v>1055</v>
      </c>
      <c r="C150" s="53"/>
      <c r="D150" s="63"/>
      <c r="E150" s="54"/>
      <c r="F150" s="54"/>
      <c r="G150" s="54"/>
      <c r="H150" s="54"/>
      <c r="I150" s="60">
        <f t="shared" si="5"/>
        <v>22.6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69</v>
      </c>
      <c r="B151" s="63">
        <f>1100+51</f>
        <v>1151</v>
      </c>
      <c r="C151" s="53">
        <v>6</v>
      </c>
      <c r="D151" s="63">
        <f>45+51</f>
        <v>96</v>
      </c>
      <c r="E151" s="54"/>
      <c r="F151" s="54"/>
      <c r="G151" s="54"/>
      <c r="H151" s="54"/>
      <c r="I151" s="60">
        <f t="shared" si="5"/>
        <v>19.2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74</v>
      </c>
      <c r="B152" s="63">
        <v>1133</v>
      </c>
      <c r="C152" s="53">
        <v>7</v>
      </c>
      <c r="D152" s="63">
        <v>40</v>
      </c>
      <c r="E152" s="57"/>
      <c r="F152" s="57"/>
      <c r="G152" s="57"/>
      <c r="H152" s="57"/>
      <c r="I152" s="60">
        <f t="shared" si="5"/>
        <v>15.6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79</v>
      </c>
      <c r="B153" s="63">
        <v>1153</v>
      </c>
      <c r="C153" s="53">
        <v>8</v>
      </c>
      <c r="D153" s="63">
        <v>1153</v>
      </c>
      <c r="E153" s="57"/>
      <c r="F153" s="57"/>
      <c r="G153" s="57"/>
      <c r="H153" s="57"/>
      <c r="I153" s="60">
        <f t="shared" si="5"/>
        <v>12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Chêne pédonculé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53">
        <v>73</v>
      </c>
      <c r="C166" s="53"/>
      <c r="D166" s="53"/>
      <c r="E166" s="54"/>
      <c r="F166" s="54"/>
      <c r="G166" s="54"/>
      <c r="H166" s="54"/>
      <c r="I166" s="52">
        <f>IFERROR(B166/A166,"")</f>
        <v>3.65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53">
        <v>109</v>
      </c>
      <c r="C167" s="53">
        <v>1</v>
      </c>
      <c r="D167" s="53">
        <v>34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7.2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53">
        <v>121</v>
      </c>
      <c r="C168" s="53"/>
      <c r="D168" s="53"/>
      <c r="E168" s="54"/>
      <c r="F168" s="54"/>
      <c r="G168" s="54"/>
      <c r="H168" s="54"/>
      <c r="I168" s="52">
        <f t="shared" si="6"/>
        <v>9.1999999999999993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53">
        <v>175</v>
      </c>
      <c r="C169" s="53">
        <v>2</v>
      </c>
      <c r="D169" s="53">
        <v>56</v>
      </c>
      <c r="E169" s="54"/>
      <c r="F169" s="54"/>
      <c r="G169" s="54"/>
      <c r="H169" s="54"/>
      <c r="I169" s="52">
        <f t="shared" si="6"/>
        <v>10.8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53">
        <v>175</v>
      </c>
      <c r="C170" s="53"/>
      <c r="D170" s="53"/>
      <c r="E170" s="54"/>
      <c r="F170" s="54"/>
      <c r="G170" s="54"/>
      <c r="H170" s="54"/>
      <c r="I170" s="52">
        <f t="shared" si="6"/>
        <v>11.2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53">
        <v>232</v>
      </c>
      <c r="C171" s="53">
        <v>3</v>
      </c>
      <c r="D171" s="53">
        <v>56</v>
      </c>
      <c r="E171" s="54"/>
      <c r="F171" s="54"/>
      <c r="G171" s="54"/>
      <c r="H171" s="54"/>
      <c r="I171" s="52">
        <f t="shared" si="6"/>
        <v>11.4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53">
        <v>231</v>
      </c>
      <c r="C172" s="53"/>
      <c r="D172" s="53"/>
      <c r="E172" s="54"/>
      <c r="F172" s="54"/>
      <c r="G172" s="54"/>
      <c r="H172" s="54"/>
      <c r="I172" s="52">
        <f t="shared" si="6"/>
        <v>11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53">
        <v>282</v>
      </c>
      <c r="C173" s="53">
        <v>4</v>
      </c>
      <c r="D173" s="53">
        <v>56</v>
      </c>
      <c r="E173" s="54"/>
      <c r="F173" s="54"/>
      <c r="G173" s="54"/>
      <c r="H173" s="54"/>
      <c r="I173" s="52">
        <f t="shared" si="6"/>
        <v>10.199999999999999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273</v>
      </c>
      <c r="C174" s="53"/>
      <c r="D174" s="53"/>
      <c r="E174" s="54"/>
      <c r="F174" s="54"/>
      <c r="G174" s="54"/>
      <c r="H174" s="54"/>
      <c r="I174" s="52">
        <f t="shared" si="6"/>
        <v>9.4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53">
        <v>317</v>
      </c>
      <c r="C175" s="53">
        <v>5</v>
      </c>
      <c r="D175" s="53">
        <v>56</v>
      </c>
      <c r="E175" s="54"/>
      <c r="F175" s="54"/>
      <c r="G175" s="54"/>
      <c r="H175" s="54"/>
      <c r="I175" s="52">
        <f t="shared" si="6"/>
        <v>8.8000000000000007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53">
        <v>302</v>
      </c>
      <c r="C176" s="53"/>
      <c r="D176" s="53"/>
      <c r="E176" s="54"/>
      <c r="F176" s="54"/>
      <c r="G176" s="54"/>
      <c r="H176" s="54"/>
      <c r="I176" s="52">
        <f t="shared" si="6"/>
        <v>8.1999999999999993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53">
        <v>340</v>
      </c>
      <c r="C177" s="53">
        <v>6</v>
      </c>
      <c r="D177" s="53">
        <v>56</v>
      </c>
      <c r="E177" s="54"/>
      <c r="F177" s="54"/>
      <c r="G177" s="54"/>
      <c r="H177" s="54"/>
      <c r="I177" s="52">
        <f t="shared" si="6"/>
        <v>7.6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85</v>
      </c>
      <c r="B178" s="53">
        <v>354</v>
      </c>
      <c r="C178" s="53">
        <v>7</v>
      </c>
      <c r="D178" s="53">
        <v>56</v>
      </c>
      <c r="E178" s="54"/>
      <c r="F178" s="54"/>
      <c r="G178" s="54"/>
      <c r="H178" s="54"/>
      <c r="I178" s="52">
        <f t="shared" si="6"/>
        <v>7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95</v>
      </c>
      <c r="B179" s="53">
        <v>361</v>
      </c>
      <c r="C179" s="53">
        <v>8</v>
      </c>
      <c r="D179" s="53">
        <v>56</v>
      </c>
      <c r="E179" s="54"/>
      <c r="F179" s="54"/>
      <c r="G179" s="54"/>
      <c r="H179" s="54"/>
      <c r="I179" s="52">
        <f t="shared" si="6"/>
        <v>6.3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105</v>
      </c>
      <c r="B180" s="53">
        <v>360</v>
      </c>
      <c r="C180" s="53">
        <v>9</v>
      </c>
      <c r="D180" s="53">
        <v>53</v>
      </c>
      <c r="E180" s="54"/>
      <c r="F180" s="54"/>
      <c r="G180" s="54"/>
      <c r="H180" s="54"/>
      <c r="I180" s="52">
        <f t="shared" si="6"/>
        <v>5.5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115</v>
      </c>
      <c r="B181" s="53">
        <v>356</v>
      </c>
      <c r="C181" s="53">
        <v>10</v>
      </c>
      <c r="D181" s="53">
        <v>49</v>
      </c>
      <c r="E181" s="54"/>
      <c r="F181" s="54"/>
      <c r="G181" s="54"/>
      <c r="H181" s="54"/>
      <c r="I181" s="52">
        <f t="shared" si="6"/>
        <v>4.9000000000000004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125</v>
      </c>
      <c r="B182" s="53">
        <v>349</v>
      </c>
      <c r="C182" s="53">
        <v>11</v>
      </c>
      <c r="D182" s="53">
        <v>45</v>
      </c>
      <c r="E182" s="54"/>
      <c r="F182" s="54"/>
      <c r="G182" s="54"/>
      <c r="H182" s="54"/>
      <c r="I182" s="52">
        <f t="shared" si="6"/>
        <v>4.2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135</v>
      </c>
      <c r="B183" s="53">
        <v>344</v>
      </c>
      <c r="C183" s="53">
        <v>12</v>
      </c>
      <c r="D183" s="53">
        <v>43</v>
      </c>
      <c r="E183" s="54"/>
      <c r="F183" s="54"/>
      <c r="G183" s="54"/>
      <c r="H183" s="54"/>
      <c r="I183" s="52">
        <f t="shared" si="6"/>
        <v>4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145</v>
      </c>
      <c r="B184" s="53">
        <v>338</v>
      </c>
      <c r="C184" s="53">
        <v>13</v>
      </c>
      <c r="D184" s="53">
        <v>39</v>
      </c>
      <c r="E184" s="54"/>
      <c r="F184" s="54"/>
      <c r="G184" s="54"/>
      <c r="H184" s="54"/>
      <c r="I184" s="52">
        <f t="shared" si="6"/>
        <v>3.7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150</v>
      </c>
      <c r="B185" s="53">
        <v>316</v>
      </c>
      <c r="C185" s="53">
        <v>14</v>
      </c>
      <c r="D185" s="53">
        <v>316</v>
      </c>
      <c r="E185" s="54"/>
      <c r="F185" s="54"/>
      <c r="G185" s="54"/>
      <c r="H185" s="54"/>
      <c r="I185" s="52">
        <f t="shared" si="6"/>
        <v>3.4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8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disablePrompts="1"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Aulne glutineux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Pin sylvestre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Pin laricio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Séquoia toujours vert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Chêne pédonculé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415.89259563928869</v>
      </c>
      <c r="T3" s="62">
        <f>IF('Données projet'!E9&gt;30,$R$33-$H$33,LOOKUP('Données projet'!$E$9,$A$3:$A$203,R3:R203)-LOOKUP('Données projet'!$E$9,$A$3:$A$203,$H$3:$H$203))</f>
        <v>240.19413322685813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214.08705070588002</v>
      </c>
      <c r="AO3" s="62">
        <f>IF('Données projet'!E10&gt;30,$AM$33-$H$33,LOOKUP('Données projet'!$E$10,$A$3:$A$203,AM3:AM203)-LOOKUP('Données projet'!$E$10,$A$3:$A$203,$H$3:$H$203))</f>
        <v>251.33527585147152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239.41486198585676</v>
      </c>
      <c r="BJ3" s="62">
        <f>IF('Données projet'!E11&gt;30,$BH$33-$H$33,LOOKUP('Données projet'!$E$11,$A$3:$A$203,BH3:BH203)-LOOKUP('Données projet'!$E$11,$A$3:$A$203,$H$3:$H$203))</f>
        <v>224.9174498508774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288.65195492450403</v>
      </c>
      <c r="CE3" s="62">
        <f>IF('Données projet'!E12&gt;30,$CC$33-$H$33,LOOKUP('Données projet'!$E$12,$A$3:$A$203,CC3:CC203)-LOOKUP('Données projet'!$E$12,$A$3:$A$203,$H$3:$H$203))</f>
        <v>310.66800441693891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572.6451446653349</v>
      </c>
      <c r="CZ3" s="62">
        <f>IF('Données projet'!E13&gt;30,$CX$33-$H$33,LOOKUP('Données projet'!$E$13,$A$3:$A$203,CX3:CX203)-LOOKUP('Données projet'!$E$13,$A$3:$A$203,$H$3:$H$203))</f>
        <v>389.15977992931374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383.83934938682984</v>
      </c>
      <c r="DU3" s="62">
        <f>IF('Données projet'!E14&gt;30,$DS$33-$H$33,LOOKUP('Données projet'!$E$14,$A$3:$A$203,DS3:DS203)-LOOKUP('Données projet'!$E$14,$A$3:$A$203,$H$3:$H$203))</f>
        <v>223.93106361972281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258.08783604613262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415.89259563928869</v>
      </c>
      <c r="T4" s="62">
        <f>$T$3</f>
        <v>240.19413322685813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2.4666666666666668</v>
      </c>
      <c r="AI4" s="14">
        <f>IF('Données projet'!$A$62&gt;35,AI3+AH4-AQ3,IF(A4&lt;'Données projet'!$A$62,$AF$205^A4,IF(A4='Données projet'!$A$62,'Données projet'!$B$62,AI3+AH4-AQ3)))</f>
        <v>1.2721747796233518</v>
      </c>
      <c r="AJ4" s="14">
        <f>AI4*VLOOKUP('Données projet'!$B$10,Paramètres!$A$1:$I$89,3,0)*VLOOKUP('Données projet'!$B$10,Paramètres!$A$1:$I$89,5,0)</f>
        <v>0.83352891560922016</v>
      </c>
      <c r="AK4" s="14">
        <f>EXP(-1.0587+0.8836*LN(AJ4)+0.284)</f>
        <v>0.39235353441936577</v>
      </c>
      <c r="AL4" s="22">
        <f t="shared" ref="AL4:AL67" si="4">(AJ4+AK4)*0.475*44/12</f>
        <v>2.1350786004664535</v>
      </c>
      <c r="AM4" s="62">
        <f t="shared" ref="AM4:AM67" si="5">AL4+(AD4+AE4)*44/12</f>
        <v>260.0239674893553</v>
      </c>
      <c r="AN4" s="62">
        <f ca="1">AVERAGE(OFFSET($AM$3,0,0,'Données projet'!$E$10+1,1))-AVERAGE(OFFSET($H$3,0,0,'Données projet'!$E$10+1,1))</f>
        <v>214.08705070588002</v>
      </c>
      <c r="AO4" s="62">
        <f>$AO$3</f>
        <v>251.33527585147152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4.3499999999999996</v>
      </c>
      <c r="BD4" s="13">
        <f>IF('Données projet'!$A$88&gt;35,BD3+BC4-BL3,IF(A4&lt;'Données projet'!$A$88,$BA$205^A4,IF(A4='Données projet'!$A$88,'Données projet'!$B$88,BD3+BC4-BL3)))</f>
        <v>1.2501898326862695</v>
      </c>
      <c r="BE4" s="14">
        <f>BD4*VLOOKUP('Données projet'!$B$11,Paramètres!$A$1:$I$89,3,0)*VLOOKUP('Données projet'!$B$11,Paramètres!$A$1:$I$89,5,0)</f>
        <v>0.71510858429654611</v>
      </c>
      <c r="BF4" s="14">
        <f>EXP(-1.0587+0.8836*LN(BE4)+0.284)</f>
        <v>0.34266926771935219</v>
      </c>
      <c r="BG4" s="22">
        <f t="shared" ref="BG4:BG67" si="7">(BE4+BF4)*0.475*44/12</f>
        <v>1.8422964255943561</v>
      </c>
      <c r="BH4" s="62">
        <f t="shared" ref="BH4:BH67" si="8">BG4+(AY4+AZ4)*44/12</f>
        <v>259.73118531448324</v>
      </c>
      <c r="BI4" s="62">
        <f ca="1">AVERAGE(OFFSET($BH$3,0,0,'Données projet'!$E$11+1,1))-AVERAGE(OFFSET($H$3,0,0,'Données projet'!$E$11+1,1))</f>
        <v>239.41486198585676</v>
      </c>
      <c r="BJ4" s="62">
        <f>$BJ$3</f>
        <v>224.9174498508774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6.0588235294117645</v>
      </c>
      <c r="BY4" s="13">
        <f>IF('Données projet'!$A$114&gt;35,BY3+BX4-CG3,IF(A4&lt;'Données projet'!$A$114,$BV$205^A4,IF(A4='Données projet'!$A$114,'Données projet'!$B$114,BY3+BX4-CG3)))</f>
        <v>1.3134156586844881</v>
      </c>
      <c r="BZ4" s="14">
        <f>BY4*VLOOKUP('Données projet'!$B$12,Paramètres!$A$1:$I$89,3,0)*VLOOKUP('Données projet'!$B$12,Paramètres!$A$1:$I$89,5,0)</f>
        <v>0.78542256389332388</v>
      </c>
      <c r="CA4" s="14">
        <f>EXP(-1.0587+0.8836*LN(BZ4)+0.284)</f>
        <v>0.3722763145534399</v>
      </c>
      <c r="CB4" s="22">
        <f t="shared" ref="CB4:CB67" si="10">(BZ4+CA4)*0.475*44/12</f>
        <v>2.0163255466281131</v>
      </c>
      <c r="CC4" s="62">
        <f t="shared" ref="CC4:CC67" si="11">CB4+(BT4+BU4)*44/12</f>
        <v>259.905214435517</v>
      </c>
      <c r="CD4" s="62">
        <f ca="1">AVERAGE(OFFSET($CC$3,0,0,'Données projet'!$E$12+1,1))-AVERAGE(OFFSET($H$3,0,0,'Données projet'!$E$12+1,1))</f>
        <v>288.65195492450403</v>
      </c>
      <c r="CE4" s="62">
        <f>$CE$3</f>
        <v>310.66800441693891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6.5714285714285712</v>
      </c>
      <c r="CT4" s="13">
        <f>IF('Données projet'!$A$140&gt;35,CT3+CS4-DB3,IF(A4&lt;'Données projet'!$A$140,$CQ$205^A4,IF(A4='Données projet'!$A$140,'Données projet'!$B$140,CT3+CS4-DB3)))</f>
        <v>1.3812444916919526</v>
      </c>
      <c r="CU4" s="18">
        <f>CT4*VLOOKUP('Données projet'!$B$13,Paramètres!$A$1:$I$89,3,0)*VLOOKUP('Données projet'!$B$13,Paramètres!$A$1:$I$89,5,0)</f>
        <v>0.61051006532784313</v>
      </c>
      <c r="CV4" s="14">
        <f>EXP(-1.0587+0.8836*LN(CU4)+0.284)</f>
        <v>0.29798214913177906</v>
      </c>
      <c r="CW4" s="22">
        <f t="shared" ref="CW4:CW67" si="13">(CU4+CV4)*0.475*44/12</f>
        <v>1.5822906068505087</v>
      </c>
      <c r="CX4" s="62">
        <f t="shared" ref="CX4:CX67" si="14">CW4+(CO4+CP4)*44/12</f>
        <v>259.47117949573936</v>
      </c>
      <c r="CY4" s="62">
        <f ca="1">AVERAGE(OFFSET($CX$3,0,0,'Données projet'!$E$13+1,1))-AVERAGE(OFFSET($H$3,0,0,'Données projet'!$E$13+1,1))</f>
        <v>572.6451446653349</v>
      </c>
      <c r="CZ4" s="62">
        <f>$CZ$3</f>
        <v>389.15977992931374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3.65</v>
      </c>
      <c r="DO4" s="13">
        <f>IF('Données projet'!$A$166&gt;35,DO3+DN4-DW3,IF(A4&lt;'Données projet'!$A$166,$DL$205^A4,IF(A4='Données projet'!$A$166,'Données projet'!$B$166,DO3+DN4-DW3)))</f>
        <v>1.2392705892426346</v>
      </c>
      <c r="DP4" s="18">
        <f>DO4*VLOOKUP('Données projet'!$B$14,Paramètres!$A$1:$I$89,3,0)*VLOOKUP('Données projet'!$B$14,Paramètres!$A$1:$I$89,5,0)</f>
        <v>1.0439615443779955</v>
      </c>
      <c r="DQ4" s="14">
        <f>EXP(-1.0587+0.8836*LN(DP4)+0.284)</f>
        <v>0.478698084995758</v>
      </c>
      <c r="DR4" s="22">
        <f t="shared" ref="DR4:DR67" si="16">(DP4+DQ4)*0.475*44/12</f>
        <v>2.6519655211592874</v>
      </c>
      <c r="DS4" s="62">
        <f t="shared" ref="DS4:DS67" si="17">DR4+(DJ4+DK4)*44/12</f>
        <v>260.54085441004815</v>
      </c>
      <c r="DT4" s="62">
        <f ca="1">AVERAGE(OFFSET($DS$3,0,0,'Données projet'!$E$14+1,1))-AVERAGE(OFFSET($H$3,0,0,'Données projet'!$E$14+1,1))</f>
        <v>383.83934938682984</v>
      </c>
      <c r="DU4" s="62">
        <f>$DU$3</f>
        <v>223.93106361972281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259.43610890414124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415.89259563928869</v>
      </c>
      <c r="T5" s="62">
        <f t="shared" ref="T5:T68" si="34">$T$3</f>
        <v>240.19413322685813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2.4666666666666668</v>
      </c>
      <c r="AI5" s="14">
        <f>IF('Données projet'!$A$62&gt;35,AI4+AH5-AQ4,IF(A5&lt;'Données projet'!$A$62,$AF$205^A5,IF(A5='Données projet'!$A$62,'Données projet'!$B$62,AI4+AH5-AQ4)))</f>
        <v>1.6184286699097237</v>
      </c>
      <c r="AJ5" s="14">
        <f>AI5*VLOOKUP('Données projet'!$B$10,Paramètres!$A$1:$I$89,3,0)*VLOOKUP('Données projet'!$B$10,Paramètres!$A$1:$I$89,5,0)</f>
        <v>1.0603944645248509</v>
      </c>
      <c r="AK5" s="14">
        <f t="shared" ref="AK5:AK68" si="35">EXP(-1.0587+0.8836*LN(AJ5)+0.284)</f>
        <v>0.48535007986351425</v>
      </c>
      <c r="AL5" s="22">
        <f t="shared" si="4"/>
        <v>2.6921717481430694</v>
      </c>
      <c r="AM5" s="62">
        <f t="shared" si="5"/>
        <v>261.80328285925424</v>
      </c>
      <c r="AN5" s="62">
        <f ca="1">AVERAGE(OFFSET($AM$3,0,0,'Données projet'!$E$10+1,1))-AVERAGE(OFFSET($H$3,0,0,'Données projet'!$E$10+1,1))</f>
        <v>214.08705070588002</v>
      </c>
      <c r="AO5" s="62">
        <f t="shared" ref="AO5:AO68" si="36">$AO$3</f>
        <v>251.33527585147152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4.3499999999999996</v>
      </c>
      <c r="BD5" s="13">
        <f>IF('Données projet'!$A$88&gt;35,BD4+BC5-BL4,IF(A5&lt;'Données projet'!$A$88,$BA$205^A5,IF(A5='Données projet'!$A$88,'Données projet'!$B$88,BD4+BC5-BL4)))</f>
        <v>1.5629746177521224</v>
      </c>
      <c r="BE5" s="14">
        <f>BD5*VLOOKUP('Données projet'!$B$11,Paramètres!$A$1:$I$89,3,0)*VLOOKUP('Données projet'!$B$11,Paramètres!$A$1:$I$89,5,0)</f>
        <v>0.89402148135421411</v>
      </c>
      <c r="BF5" s="14">
        <f t="shared" ref="BF5:BF68" si="37">EXP(-1.0587+0.8836*LN(BE5)+0.284)</f>
        <v>0.41741025730441833</v>
      </c>
      <c r="BG5" s="22">
        <f t="shared" si="7"/>
        <v>2.2840769448304514</v>
      </c>
      <c r="BH5" s="62">
        <f t="shared" si="8"/>
        <v>261.39518805594162</v>
      </c>
      <c r="BI5" s="62">
        <f ca="1">AVERAGE(OFFSET($BH$3,0,0,'Données projet'!$E$11+1,1))-AVERAGE(OFFSET($H$3,0,0,'Données projet'!$E$11+1,1))</f>
        <v>239.41486198585676</v>
      </c>
      <c r="BJ5" s="62">
        <f t="shared" ref="BJ5:BJ68" si="38">$BJ$3</f>
        <v>224.9174498508774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6.0588235294117645</v>
      </c>
      <c r="BY5" s="13">
        <f>IF('Données projet'!$A$114&gt;35,BY4+BX5-CG4,IF(A5&lt;'Données projet'!$A$114,$BV$205^A5,IF(A5='Données projet'!$A$114,'Données projet'!$B$114,BY4+BX5-CG4)))</f>
        <v>1.7250606924776077</v>
      </c>
      <c r="BZ5" s="14">
        <f>BY5*VLOOKUP('Données projet'!$B$12,Paramètres!$A$1:$I$89,3,0)*VLOOKUP('Données projet'!$B$12,Paramètres!$A$1:$I$89,5,0)</f>
        <v>1.0315862941016096</v>
      </c>
      <c r="CA5" s="14">
        <f t="shared" ref="CA5:CA68" si="39">EXP(-1.0587+0.8836*LN(BZ5)+0.284)</f>
        <v>0.47368058088508075</v>
      </c>
      <c r="CB5" s="22">
        <f t="shared" si="10"/>
        <v>2.621673140601819</v>
      </c>
      <c r="CC5" s="62">
        <f t="shared" si="11"/>
        <v>261.73278425171299</v>
      </c>
      <c r="CD5" s="62">
        <f ca="1">AVERAGE(OFFSET($CC$3,0,0,'Données projet'!$E$12+1,1))-AVERAGE(OFFSET($H$3,0,0,'Données projet'!$E$12+1,1))</f>
        <v>288.65195492450403</v>
      </c>
      <c r="CE5" s="62">
        <f t="shared" ref="CE5:CE68" si="40">$CE$3</f>
        <v>310.66800441693891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6.5714285714285712</v>
      </c>
      <c r="CT5" s="13">
        <f>IF('Données projet'!$A$140&gt;35,CT4+CS5-DB4,IF(A5&lt;'Données projet'!$A$140,$CQ$205^A5,IF(A5='Données projet'!$A$140,'Données projet'!$B$140,CT4+CS5-DB4)))</f>
        <v>1.9078363458293606</v>
      </c>
      <c r="CU5" s="18">
        <f>CT5*VLOOKUP('Données projet'!$B$13,Paramètres!$A$1:$I$89,3,0)*VLOOKUP('Données projet'!$B$13,Paramètres!$A$1:$I$89,5,0)</f>
        <v>0.84326366485657744</v>
      </c>
      <c r="CV5" s="14">
        <f t="shared" ref="CV5:CV68" si="41">EXP(-1.0587+0.8836*LN(CU5)+0.284)</f>
        <v>0.39639969723156959</v>
      </c>
      <c r="CW5" s="22">
        <f t="shared" si="13"/>
        <v>2.1590803556368559</v>
      </c>
      <c r="CX5" s="62">
        <f t="shared" si="14"/>
        <v>261.27019146674797</v>
      </c>
      <c r="CY5" s="62">
        <f ca="1">AVERAGE(OFFSET($CX$3,0,0,'Données projet'!$E$13+1,1))-AVERAGE(OFFSET($H$3,0,0,'Données projet'!$E$13+1,1))</f>
        <v>572.6451446653349</v>
      </c>
      <c r="CZ5" s="62">
        <f t="shared" ref="CZ5:CZ68" si="42">$CZ$3</f>
        <v>389.15977992931374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3.65</v>
      </c>
      <c r="DO5" s="13">
        <f>IF('Données projet'!$A$166&gt;35,DO4+DN5-DW4,IF(A5&lt;'Données projet'!$A$166,$DL$205^A5,IF(A5='Données projet'!$A$166,'Données projet'!$B$166,DO4+DN5-DW4)))</f>
        <v>1.5357915933617867</v>
      </c>
      <c r="DP5" s="18">
        <f>DO5*VLOOKUP('Données projet'!$B$14,Paramètres!$A$1:$I$89,3,0)*VLOOKUP('Données projet'!$B$14,Paramètres!$A$1:$I$89,5,0)</f>
        <v>1.2937508382479692</v>
      </c>
      <c r="DQ5" s="14">
        <f t="shared" ref="DQ5:DQ68" si="43">EXP(-1.0587+0.8836*LN(DP5)+0.284)</f>
        <v>0.57860648124254321</v>
      </c>
      <c r="DR5" s="22">
        <f t="shared" si="16"/>
        <v>3.2610223314459752</v>
      </c>
      <c r="DS5" s="62">
        <f t="shared" si="17"/>
        <v>262.37213344255713</v>
      </c>
      <c r="DT5" s="62">
        <f ca="1">AVERAGE(OFFSET($DS$3,0,0,'Données projet'!$E$14+1,1))-AVERAGE(OFFSET($H$3,0,0,'Données projet'!$E$14+1,1))</f>
        <v>383.83934938682984</v>
      </c>
      <c r="DU5" s="62">
        <f t="shared" ref="DU5:DU68" si="44">$DU$3</f>
        <v>223.93106361972281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260.7608398448956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415.89259563928869</v>
      </c>
      <c r="T6" s="62">
        <f t="shared" si="34"/>
        <v>240.19413322685813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2.4666666666666668</v>
      </c>
      <c r="AI6" s="14">
        <f>IF('Données projet'!$A$62&gt;35,AI5+AH6-AQ5,IF(A6&lt;'Données projet'!$A$62,$AF$205^A6,IF(A6='Données projet'!$A$62,'Données projet'!$B$62,AI5+AH6-AQ5)))</f>
        <v>2.0589241364785171</v>
      </c>
      <c r="AJ6" s="14">
        <f>AI6*VLOOKUP('Données projet'!$B$10,Paramètres!$A$1:$I$89,3,0)*VLOOKUP('Données projet'!$B$10,Paramètres!$A$1:$I$89,5,0)</f>
        <v>1.3490070942207244</v>
      </c>
      <c r="AK6" s="14">
        <f t="shared" si="35"/>
        <v>0.60038888236887178</v>
      </c>
      <c r="AL6" s="22">
        <f t="shared" si="4"/>
        <v>3.3951979925602132</v>
      </c>
      <c r="AM6" s="62">
        <f t="shared" si="5"/>
        <v>263.72853132589353</v>
      </c>
      <c r="AN6" s="62">
        <f ca="1">AVERAGE(OFFSET($AM$3,0,0,'Données projet'!$E$10+1,1))-AVERAGE(OFFSET($H$3,0,0,'Données projet'!$E$10+1,1))</f>
        <v>214.08705070588002</v>
      </c>
      <c r="AO6" s="62">
        <f t="shared" si="36"/>
        <v>251.33527585147152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4.3499999999999996</v>
      </c>
      <c r="BD6" s="13">
        <f>IF('Données projet'!$A$88&gt;35,BD5+BC6-BL5,IF(A6&lt;'Données projet'!$A$88,$BA$205^A6,IF(A6='Données projet'!$A$88,'Données projet'!$B$88,BD5+BC6-BL5)))</f>
        <v>1.954014975860412</v>
      </c>
      <c r="BE6" s="14">
        <f>BD6*VLOOKUP('Données projet'!$B$11,Paramètres!$A$1:$I$89,3,0)*VLOOKUP('Données projet'!$B$11,Paramètres!$A$1:$I$89,5,0)</f>
        <v>1.1176965661921556</v>
      </c>
      <c r="BF6" s="14">
        <f t="shared" si="37"/>
        <v>0.50845330852849346</v>
      </c>
      <c r="BG6" s="22">
        <f t="shared" si="7"/>
        <v>2.8322110318051301</v>
      </c>
      <c r="BH6" s="62">
        <f t="shared" si="8"/>
        <v>263.16554436513843</v>
      </c>
      <c r="BI6" s="62">
        <f ca="1">AVERAGE(OFFSET($BH$3,0,0,'Données projet'!$E$11+1,1))-AVERAGE(OFFSET($H$3,0,0,'Données projet'!$E$11+1,1))</f>
        <v>239.41486198585676</v>
      </c>
      <c r="BJ6" s="62">
        <f t="shared" si="38"/>
        <v>224.9174498508774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6.0588235294117645</v>
      </c>
      <c r="BY6" s="13">
        <f>IF('Données projet'!$A$114&gt;35,BY5+BX6-CG5,IF(A6&lt;'Données projet'!$A$114,$BV$205^A6,IF(A6='Données projet'!$A$114,'Données projet'!$B$114,BY5+BX6-CG5)))</f>
        <v>2.2657217256811961</v>
      </c>
      <c r="BZ6" s="14">
        <f>BY6*VLOOKUP('Données projet'!$B$12,Paramètres!$A$1:$I$89,3,0)*VLOOKUP('Données projet'!$B$12,Paramètres!$A$1:$I$89,5,0)</f>
        <v>1.3549015919573553</v>
      </c>
      <c r="CA6" s="14">
        <f t="shared" si="39"/>
        <v>0.60270633380684457</v>
      </c>
      <c r="CB6" s="22">
        <f t="shared" si="10"/>
        <v>3.4095004707059817</v>
      </c>
      <c r="CC6" s="62">
        <f t="shared" si="11"/>
        <v>263.74283380403932</v>
      </c>
      <c r="CD6" s="62">
        <f ca="1">AVERAGE(OFFSET($CC$3,0,0,'Données projet'!$E$12+1,1))-AVERAGE(OFFSET($H$3,0,0,'Données projet'!$E$12+1,1))</f>
        <v>288.65195492450403</v>
      </c>
      <c r="CE6" s="62">
        <f t="shared" si="40"/>
        <v>310.66800441693891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6.5714285714285712</v>
      </c>
      <c r="CT6" s="13">
        <f>IF('Données projet'!$A$140&gt;35,CT5+CS6-DB5,IF(A6&lt;'Données projet'!$A$140,$CQ$205^A6,IF(A6='Données projet'!$A$140,'Données projet'!$B$140,CT5+CS6-DB5)))</f>
        <v>2.6351884437265074</v>
      </c>
      <c r="CU6" s="18">
        <f>CT6*VLOOKUP('Données projet'!$B$13,Paramètres!$A$1:$I$89,3,0)*VLOOKUP('Données projet'!$B$13,Paramètres!$A$1:$I$89,5,0)</f>
        <v>1.1647532921271164</v>
      </c>
      <c r="CV6" s="14">
        <f t="shared" si="41"/>
        <v>0.52732259440074691</v>
      </c>
      <c r="CW6" s="22">
        <f t="shared" si="13"/>
        <v>2.9470321690360284</v>
      </c>
      <c r="CX6" s="62">
        <f t="shared" si="14"/>
        <v>263.28036550236936</v>
      </c>
      <c r="CY6" s="62">
        <f ca="1">AVERAGE(OFFSET($CX$3,0,0,'Données projet'!$E$13+1,1))-AVERAGE(OFFSET($H$3,0,0,'Données projet'!$E$13+1,1))</f>
        <v>572.6451446653349</v>
      </c>
      <c r="CZ6" s="62">
        <f t="shared" si="42"/>
        <v>389.15977992931374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3.65</v>
      </c>
      <c r="DO6" s="13">
        <f>IF('Données projet'!$A$166&gt;35,DO5+DN6-DW5,IF(A6&lt;'Données projet'!$A$166,$DL$205^A6,IF(A6='Données projet'!$A$166,'Données projet'!$B$166,DO5+DN6-DW5)))</f>
        <v>1.9032613528593461</v>
      </c>
      <c r="DP6" s="18">
        <f>DO6*VLOOKUP('Données projet'!$B$14,Paramètres!$A$1:$I$89,3,0)*VLOOKUP('Données projet'!$B$14,Paramètres!$A$1:$I$89,5,0)</f>
        <v>1.6033073636487132</v>
      </c>
      <c r="DQ6" s="14">
        <f t="shared" si="43"/>
        <v>0.69936661672428513</v>
      </c>
      <c r="DR6" s="22">
        <f t="shared" si="16"/>
        <v>4.0104905158163051</v>
      </c>
      <c r="DS6" s="62">
        <f t="shared" si="17"/>
        <v>264.3438238491496</v>
      </c>
      <c r="DT6" s="62">
        <f ca="1">AVERAGE(OFFSET($DS$3,0,0,'Données projet'!$E$14+1,1))-AVERAGE(OFFSET($H$3,0,0,'Données projet'!$E$14+1,1))</f>
        <v>383.83934938682984</v>
      </c>
      <c r="DU6" s="62">
        <f t="shared" si="44"/>
        <v>223.93106361972281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262.07105900009446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415.89259563928869</v>
      </c>
      <c r="T7" s="62">
        <f t="shared" si="34"/>
        <v>240.19413322685813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2.4666666666666668</v>
      </c>
      <c r="AI7" s="14">
        <f>IF('Données projet'!$A$62&gt;35,AI6+AH7-AQ6,IF(A7&lt;'Données projet'!$A$62,$AF$205^A7,IF(A7='Données projet'!$A$62,'Données projet'!$B$62,AI6+AH7-AQ6)))</f>
        <v>2.6193113595857573</v>
      </c>
      <c r="AJ7" s="14">
        <f>AI7*VLOOKUP('Données projet'!$B$10,Paramètres!$A$1:$I$89,3,0)*VLOOKUP('Données projet'!$B$10,Paramètres!$A$1:$I$89,5,0)</f>
        <v>1.7161728028005883</v>
      </c>
      <c r="AK7" s="14">
        <f t="shared" si="35"/>
        <v>0.74269444886773317</v>
      </c>
      <c r="AL7" s="22">
        <f t="shared" si="4"/>
        <v>4.2825271299889929</v>
      </c>
      <c r="AM7" s="62">
        <f t="shared" si="5"/>
        <v>265.83808268554452</v>
      </c>
      <c r="AN7" s="62">
        <f ca="1">AVERAGE(OFFSET($AM$3,0,0,'Données projet'!$E$10+1,1))-AVERAGE(OFFSET($H$3,0,0,'Données projet'!$E$10+1,1))</f>
        <v>214.08705070588002</v>
      </c>
      <c r="AO7" s="62">
        <f t="shared" si="36"/>
        <v>251.33527585147152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4.3499999999999996</v>
      </c>
      <c r="BD7" s="13">
        <f>IF('Données projet'!$A$88&gt;35,BD6+BC7-BL6,IF(A7&lt;'Données projet'!$A$88,$BA$205^A7,IF(A7='Données projet'!$A$88,'Données projet'!$B$88,BD6+BC7-BL6)))</f>
        <v>2.4428896557373934</v>
      </c>
      <c r="BE7" s="14">
        <f>BD7*VLOOKUP('Données projet'!$B$11,Paramètres!$A$1:$I$89,3,0)*VLOOKUP('Données projet'!$B$11,Paramètres!$A$1:$I$89,5,0)</f>
        <v>1.397332883081789</v>
      </c>
      <c r="BF7" s="14">
        <f t="shared" si="37"/>
        <v>0.61935413044971876</v>
      </c>
      <c r="BG7" s="22">
        <f t="shared" si="7"/>
        <v>3.5123965485673754</v>
      </c>
      <c r="BH7" s="62">
        <f t="shared" si="8"/>
        <v>265.06795210412292</v>
      </c>
      <c r="BI7" s="62">
        <f ca="1">AVERAGE(OFFSET($BH$3,0,0,'Données projet'!$E$11+1,1))-AVERAGE(OFFSET($H$3,0,0,'Données projet'!$E$11+1,1))</f>
        <v>239.41486198585676</v>
      </c>
      <c r="BJ7" s="62">
        <f t="shared" si="38"/>
        <v>224.9174498508774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6.0588235294117645</v>
      </c>
      <c r="BY7" s="13">
        <f>IF('Données projet'!$A$114&gt;35,BY6+BX7-CG6,IF(A7&lt;'Données projet'!$A$114,$BV$205^A7,IF(A7='Données projet'!$A$114,'Données projet'!$B$114,BY6+BX7-CG6)))</f>
        <v>2.9758343927313233</v>
      </c>
      <c r="BZ7" s="14">
        <f>BY7*VLOOKUP('Données projet'!$B$12,Paramètres!$A$1:$I$89,3,0)*VLOOKUP('Données projet'!$B$12,Paramètres!$A$1:$I$89,5,0)</f>
        <v>1.7795489668533315</v>
      </c>
      <c r="CA7" s="14">
        <f t="shared" si="39"/>
        <v>0.76687738419028983</v>
      </c>
      <c r="CB7" s="22">
        <f t="shared" si="10"/>
        <v>4.4350258947343066</v>
      </c>
      <c r="CC7" s="62">
        <f t="shared" si="11"/>
        <v>265.99058145028982</v>
      </c>
      <c r="CD7" s="62">
        <f ca="1">AVERAGE(OFFSET($CC$3,0,0,'Données projet'!$E$12+1,1))-AVERAGE(OFFSET($H$3,0,0,'Données projet'!$E$12+1,1))</f>
        <v>288.65195492450403</v>
      </c>
      <c r="CE7" s="62">
        <f t="shared" si="40"/>
        <v>310.66800441693891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6.5714285714285712</v>
      </c>
      <c r="CT7" s="13">
        <f>IF('Données projet'!$A$140&gt;35,CT6+CS7-DB6,IF(A7&lt;'Données projet'!$A$140,$CQ$205^A7,IF(A7='Données projet'!$A$140,'Données projet'!$B$140,CT6+CS7-DB6)))</f>
        <v>3.6398395224675273</v>
      </c>
      <c r="CU7" s="18">
        <f>CT7*VLOOKUP('Données projet'!$B$13,Paramètres!$A$1:$I$89,3,0)*VLOOKUP('Données projet'!$B$13,Paramètres!$A$1:$I$89,5,0)</f>
        <v>1.6088090689306473</v>
      </c>
      <c r="CV7" s="14">
        <f t="shared" si="41"/>
        <v>0.70148670775369337</v>
      </c>
      <c r="CW7" s="22">
        <f t="shared" si="13"/>
        <v>4.0237651443918931</v>
      </c>
      <c r="CX7" s="62">
        <f t="shared" si="14"/>
        <v>265.57932069994746</v>
      </c>
      <c r="CY7" s="62">
        <f ca="1">AVERAGE(OFFSET($CX$3,0,0,'Données projet'!$E$13+1,1))-AVERAGE(OFFSET($H$3,0,0,'Données projet'!$E$13+1,1))</f>
        <v>572.6451446653349</v>
      </c>
      <c r="CZ7" s="62">
        <f t="shared" si="42"/>
        <v>389.15977992931374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3.65</v>
      </c>
      <c r="DO7" s="13">
        <f>IF('Données projet'!$A$166&gt;35,DO6+DN7-DW6,IF(A7&lt;'Données projet'!$A$166,$DL$205^A7,IF(A7='Données projet'!$A$166,'Données projet'!$B$166,DO6+DN7-DW6)))</f>
        <v>2.3586558182407358</v>
      </c>
      <c r="DP7" s="18">
        <f>DO7*VLOOKUP('Données projet'!$B$14,Paramètres!$A$1:$I$89,3,0)*VLOOKUP('Données projet'!$B$14,Paramètres!$A$1:$I$89,5,0)</f>
        <v>1.9869316612859962</v>
      </c>
      <c r="DQ7" s="14">
        <f t="shared" si="43"/>
        <v>0.84533042826968274</v>
      </c>
      <c r="DR7" s="22">
        <f t="shared" si="16"/>
        <v>4.9328564726428068</v>
      </c>
      <c r="DS7" s="62">
        <f t="shared" si="17"/>
        <v>266.48841202819835</v>
      </c>
      <c r="DT7" s="62">
        <f ca="1">AVERAGE(OFFSET($DS$3,0,0,'Données projet'!$E$14+1,1))-AVERAGE(OFFSET($H$3,0,0,'Données projet'!$E$14+1,1))</f>
        <v>383.83934938682984</v>
      </c>
      <c r="DU7" s="62">
        <f t="shared" si="44"/>
        <v>223.93106361972281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263.37085912145096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415.89259563928869</v>
      </c>
      <c r="T8" s="62">
        <f t="shared" si="34"/>
        <v>240.19413322685813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2.4666666666666668</v>
      </c>
      <c r="AI8" s="14">
        <f>IF('Données projet'!$A$62&gt;35,AI7+AH8-AQ7,IF(A8&lt;'Données projet'!$A$62,$AF$205^A8,IF(A8='Données projet'!$A$62,'Données projet'!$B$62,AI7+AH8-AQ7)))</f>
        <v>3.332221851645953</v>
      </c>
      <c r="AJ8" s="14">
        <f>AI8*VLOOKUP('Données projet'!$B$10,Paramètres!$A$1:$I$89,3,0)*VLOOKUP('Données projet'!$B$10,Paramètres!$A$1:$I$89,5,0)</f>
        <v>2.1832717571984284</v>
      </c>
      <c r="AK8" s="14">
        <f t="shared" si="35"/>
        <v>0.91872961105241191</v>
      </c>
      <c r="AL8" s="22">
        <f t="shared" si="4"/>
        <v>5.4026523830368793</v>
      </c>
      <c r="AM8" s="62">
        <f t="shared" si="5"/>
        <v>268.18043016081464</v>
      </c>
      <c r="AN8" s="62">
        <f ca="1">AVERAGE(OFFSET($AM$3,0,0,'Données projet'!$E$10+1,1))-AVERAGE(OFFSET($H$3,0,0,'Données projet'!$E$10+1,1))</f>
        <v>214.08705070588002</v>
      </c>
      <c r="AO8" s="62">
        <f t="shared" si="36"/>
        <v>251.33527585147152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4.3499999999999996</v>
      </c>
      <c r="BD8" s="13">
        <f>IF('Données projet'!$A$88&gt;35,BD7+BC8-BL7,IF(A8&lt;'Données projet'!$A$88,$BA$205^A8,IF(A8='Données projet'!$A$88,'Données projet'!$B$88,BD7+BC8-BL7)))</f>
        <v>3.0540758099773502</v>
      </c>
      <c r="BE8" s="14">
        <f>BD8*VLOOKUP('Données projet'!$B$11,Paramètres!$A$1:$I$89,3,0)*VLOOKUP('Données projet'!$B$11,Paramètres!$A$1:$I$89,5,0)</f>
        <v>1.7469313633070445</v>
      </c>
      <c r="BF8" s="14">
        <f t="shared" si="37"/>
        <v>0.75444398231038468</v>
      </c>
      <c r="BG8" s="22">
        <f t="shared" si="7"/>
        <v>4.3565620602836894</v>
      </c>
      <c r="BH8" s="62">
        <f t="shared" si="8"/>
        <v>267.13433983806146</v>
      </c>
      <c r="BI8" s="62">
        <f ca="1">AVERAGE(OFFSET($BH$3,0,0,'Données projet'!$E$11+1,1))-AVERAGE(OFFSET($H$3,0,0,'Données projet'!$E$11+1,1))</f>
        <v>239.41486198585676</v>
      </c>
      <c r="BJ8" s="62">
        <f t="shared" si="38"/>
        <v>224.9174498508774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6.0588235294117645</v>
      </c>
      <c r="BY8" s="13">
        <f>IF('Données projet'!$A$114&gt;35,BY7+BX8-CG7,IF(A8&lt;'Données projet'!$A$114,$BV$205^A8,IF(A8='Données projet'!$A$114,'Données projet'!$B$114,BY7+BX8-CG7)))</f>
        <v>3.9085074890651645</v>
      </c>
      <c r="BZ8" s="14">
        <f>BY8*VLOOKUP('Données projet'!$B$12,Paramètres!$A$1:$I$89,3,0)*VLOOKUP('Données projet'!$B$12,Paramètres!$A$1:$I$89,5,0)</f>
        <v>2.3372874784609685</v>
      </c>
      <c r="CA8" s="14">
        <f t="shared" si="39"/>
        <v>0.97576695215387577</v>
      </c>
      <c r="CB8" s="22">
        <f t="shared" si="10"/>
        <v>5.770236466654187</v>
      </c>
      <c r="CC8" s="62">
        <f t="shared" si="11"/>
        <v>268.54801424443195</v>
      </c>
      <c r="CD8" s="62">
        <f ca="1">AVERAGE(OFFSET($CC$3,0,0,'Données projet'!$E$12+1,1))-AVERAGE(OFFSET($H$3,0,0,'Données projet'!$E$12+1,1))</f>
        <v>288.65195492450403</v>
      </c>
      <c r="CE8" s="62">
        <f t="shared" si="40"/>
        <v>310.66800441693891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6.5714285714285712</v>
      </c>
      <c r="CT8" s="13">
        <f>IF('Données projet'!$A$140&gt;35,CT7+CS8-DB7,IF(A8&lt;'Données projet'!$A$140,$CQ$205^A8,IF(A8='Données projet'!$A$140,'Données projet'!$B$140,CT7+CS8-DB7)))</f>
        <v>5.027508291050939</v>
      </c>
      <c r="CU8" s="18">
        <f>CT8*VLOOKUP('Données projet'!$B$13,Paramètres!$A$1:$I$89,3,0)*VLOOKUP('Données projet'!$B$13,Paramètres!$A$1:$I$89,5,0)</f>
        <v>2.2221586646445153</v>
      </c>
      <c r="CV8" s="14">
        <f t="shared" si="41"/>
        <v>0.93317374673528442</v>
      </c>
      <c r="CW8" s="22">
        <f t="shared" si="13"/>
        <v>5.4955372831531513</v>
      </c>
      <c r="CX8" s="62">
        <f t="shared" si="14"/>
        <v>268.27331506093094</v>
      </c>
      <c r="CY8" s="62">
        <f ca="1">AVERAGE(OFFSET($CX$3,0,0,'Données projet'!$E$13+1,1))-AVERAGE(OFFSET($H$3,0,0,'Données projet'!$E$13+1,1))</f>
        <v>572.6451446653349</v>
      </c>
      <c r="CZ8" s="62">
        <f t="shared" si="42"/>
        <v>389.15977992931374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3.65</v>
      </c>
      <c r="DO8" s="13">
        <f>IF('Données projet'!$A$166&gt;35,DO7+DN8-DW7,IF(A8&lt;'Données projet'!$A$166,$DL$205^A8,IF(A8='Données projet'!$A$166,'Données projet'!$B$166,DO7+DN8-DW7)))</f>
        <v>2.9230127856917649</v>
      </c>
      <c r="DP8" s="18">
        <f>DO8*VLOOKUP('Données projet'!$B$14,Paramètres!$A$1:$I$89,3,0)*VLOOKUP('Données projet'!$B$14,Paramètres!$A$1:$I$89,5,0)</f>
        <v>2.462345970666743</v>
      </c>
      <c r="DQ8" s="14">
        <f t="shared" si="43"/>
        <v>1.021758139251189</v>
      </c>
      <c r="DR8" s="22">
        <f t="shared" si="16"/>
        <v>6.068147991440398</v>
      </c>
      <c r="DS8" s="62">
        <f t="shared" si="17"/>
        <v>268.84592576921818</v>
      </c>
      <c r="DT8" s="62">
        <f ca="1">AVERAGE(OFFSET($DS$3,0,0,'Données projet'!$E$14+1,1))-AVERAGE(OFFSET($H$3,0,0,'Données projet'!$E$14+1,1))</f>
        <v>383.83934938682984</v>
      </c>
      <c r="DU8" s="62">
        <f t="shared" si="44"/>
        <v>223.93106361972281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264.66257488541947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415.89259563928869</v>
      </c>
      <c r="T9" s="62">
        <f t="shared" si="34"/>
        <v>240.19413322685813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2.4666666666666668</v>
      </c>
      <c r="AI9" s="14">
        <f>IF('Données projet'!$A$62&gt;35,AI8+AH9-AQ8,IF(A9&lt;'Données projet'!$A$62,$AF$205^A9,IF(A9='Données projet'!$A$62,'Données projet'!$B$62,AI8+AH9-AQ8)))</f>
        <v>4.2391685997738069</v>
      </c>
      <c r="AJ9" s="14">
        <f>AI9*VLOOKUP('Données projet'!$B$10,Paramètres!$A$1:$I$89,3,0)*VLOOKUP('Données projet'!$B$10,Paramètres!$A$1:$I$89,5,0)</f>
        <v>2.7775032665717982</v>
      </c>
      <c r="AK9" s="14">
        <f t="shared" si="35"/>
        <v>1.1364890359842124</v>
      </c>
      <c r="AL9" s="22">
        <f t="shared" si="4"/>
        <v>6.8168699269517186</v>
      </c>
      <c r="AM9" s="62">
        <f t="shared" si="5"/>
        <v>270.81686992695171</v>
      </c>
      <c r="AN9" s="62">
        <f ca="1">AVERAGE(OFFSET($AM$3,0,0,'Données projet'!$E$10+1,1))-AVERAGE(OFFSET($H$3,0,0,'Données projet'!$E$10+1,1))</f>
        <v>214.08705070588002</v>
      </c>
      <c r="AO9" s="62">
        <f t="shared" si="36"/>
        <v>251.33527585147152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4.3499999999999996</v>
      </c>
      <c r="BD9" s="13">
        <f>IF('Données projet'!$A$88&gt;35,BD8+BC9-BL8,IF(A9&lt;'Données projet'!$A$88,$BA$205^A9,IF(A9='Données projet'!$A$88,'Données projet'!$B$88,BD8+BC9-BL8)))</f>
        <v>3.8181745258867665</v>
      </c>
      <c r="BE9" s="14">
        <f>BD9*VLOOKUP('Données projet'!$B$11,Paramètres!$A$1:$I$89,3,0)*VLOOKUP('Données projet'!$B$11,Paramètres!$A$1:$I$89,5,0)</f>
        <v>2.1839958288072303</v>
      </c>
      <c r="BF9" s="14">
        <f t="shared" si="37"/>
        <v>0.91899883194620979</v>
      </c>
      <c r="BG9" s="22">
        <f t="shared" si="7"/>
        <v>5.4043823674789087</v>
      </c>
      <c r="BH9" s="62">
        <f t="shared" si="8"/>
        <v>269.40438236747889</v>
      </c>
      <c r="BI9" s="62">
        <f ca="1">AVERAGE(OFFSET($BH$3,0,0,'Données projet'!$E$11+1,1))-AVERAGE(OFFSET($H$3,0,0,'Données projet'!$E$11+1,1))</f>
        <v>239.41486198585676</v>
      </c>
      <c r="BJ9" s="62">
        <f t="shared" si="38"/>
        <v>224.9174498508774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6.0588235294117645</v>
      </c>
      <c r="BY9" s="13">
        <f>IF('Données projet'!$A$114&gt;35,BY8+BX9-CG8,IF(A9&lt;'Données projet'!$A$114,$BV$205^A9,IF(A9='Données projet'!$A$114,'Données projet'!$B$114,BY8+BX9-CG8)))</f>
        <v>5.1334949382237776</v>
      </c>
      <c r="BZ9" s="14">
        <f>BY9*VLOOKUP('Données projet'!$B$12,Paramètres!$A$1:$I$89,3,0)*VLOOKUP('Données projet'!$B$12,Paramètres!$A$1:$I$89,5,0)</f>
        <v>3.0698299730578196</v>
      </c>
      <c r="CA9" s="14">
        <f t="shared" si="39"/>
        <v>1.2415559052128844</v>
      </c>
      <c r="CB9" s="22">
        <f t="shared" si="10"/>
        <v>7.5089970713214749</v>
      </c>
      <c r="CC9" s="62">
        <f t="shared" si="11"/>
        <v>271.50899707132146</v>
      </c>
      <c r="CD9" s="62">
        <f ca="1">AVERAGE(OFFSET($CC$3,0,0,'Données projet'!$E$12+1,1))-AVERAGE(OFFSET($H$3,0,0,'Données projet'!$E$12+1,1))</f>
        <v>288.65195492450403</v>
      </c>
      <c r="CE9" s="62">
        <f t="shared" si="40"/>
        <v>310.66800441693891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6.5714285714285712</v>
      </c>
      <c r="CT9" s="13">
        <f>IF('Données projet'!$A$140&gt;35,CT8+CS9-DB8,IF(A9&lt;'Données projet'!$A$140,$CQ$205^A9,IF(A9='Données projet'!$A$140,'Données projet'!$B$140,CT8+CS9-DB8)))</f>
        <v>6.9442181339497324</v>
      </c>
      <c r="CU9" s="18">
        <f>CT9*VLOOKUP('Données projet'!$B$13,Paramètres!$A$1:$I$89,3,0)*VLOOKUP('Données projet'!$B$13,Paramètres!$A$1:$I$89,5,0)</f>
        <v>3.0693444152057823</v>
      </c>
      <c r="CV9" s="14">
        <f t="shared" si="41"/>
        <v>1.2413823839720273</v>
      </c>
      <c r="CW9" s="22">
        <f t="shared" si="13"/>
        <v>7.5078491752346848</v>
      </c>
      <c r="CX9" s="62">
        <f t="shared" si="14"/>
        <v>271.5078491752347</v>
      </c>
      <c r="CY9" s="62">
        <f ca="1">AVERAGE(OFFSET($CX$3,0,0,'Données projet'!$E$13+1,1))-AVERAGE(OFFSET($H$3,0,0,'Données projet'!$E$13+1,1))</f>
        <v>572.6451446653349</v>
      </c>
      <c r="CZ9" s="62">
        <f t="shared" si="42"/>
        <v>389.15977992931374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3.65</v>
      </c>
      <c r="DO9" s="13">
        <f>IF('Données projet'!$A$166&gt;35,DO8+DN9-DW8,IF(A9&lt;'Données projet'!$A$166,$DL$205^A9,IF(A9='Données projet'!$A$166,'Données projet'!$B$166,DO8+DN9-DW8)))</f>
        <v>3.6224037772879885</v>
      </c>
      <c r="DP9" s="18">
        <f>DO9*VLOOKUP('Données projet'!$B$14,Paramètres!$A$1:$I$89,3,0)*VLOOKUP('Données projet'!$B$14,Paramètres!$A$1:$I$89,5,0)</f>
        <v>3.0515129419874016</v>
      </c>
      <c r="DQ9" s="14">
        <f t="shared" si="43"/>
        <v>1.2350078267772846</v>
      </c>
      <c r="DR9" s="22">
        <f t="shared" si="16"/>
        <v>7.4656903389318279</v>
      </c>
      <c r="DS9" s="62">
        <f t="shared" si="17"/>
        <v>271.46569033893184</v>
      </c>
      <c r="DT9" s="62">
        <f ca="1">AVERAGE(OFFSET($DS$3,0,0,'Données projet'!$E$14+1,1))-AVERAGE(OFFSET($H$3,0,0,'Données projet'!$E$14+1,1))</f>
        <v>383.83934938682984</v>
      </c>
      <c r="DU9" s="62">
        <f t="shared" si="44"/>
        <v>223.93106361972281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265.94771136763848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415.89259563928869</v>
      </c>
      <c r="T10" s="62">
        <f t="shared" si="34"/>
        <v>240.19413322685813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2.4666666666666668</v>
      </c>
      <c r="AI10" s="14">
        <f>IF('Données projet'!$A$62&gt;35,AI9+AH10-AQ9,IF(A10&lt;'Données projet'!$A$62,$AF$205^A10,IF(A10='Données projet'!$A$62,'Données projet'!$B$62,AI9+AH10-AQ9)))</f>
        <v>5.3929633792034757</v>
      </c>
      <c r="AJ10" s="14">
        <f>AI10*VLOOKUP('Données projet'!$B$10,Paramètres!$A$1:$I$89,3,0)*VLOOKUP('Données projet'!$B$10,Paramètres!$A$1:$I$89,5,0)</f>
        <v>3.5334696060541173</v>
      </c>
      <c r="AK10" s="14">
        <f t="shared" si="35"/>
        <v>1.4058623052682262</v>
      </c>
      <c r="AL10" s="22">
        <f t="shared" si="4"/>
        <v>8.6026697455530794</v>
      </c>
      <c r="AM10" s="62">
        <f t="shared" si="5"/>
        <v>273.82489196777533</v>
      </c>
      <c r="AN10" s="62">
        <f ca="1">AVERAGE(OFFSET($AM$3,0,0,'Données projet'!$E$10+1,1))-AVERAGE(OFFSET($H$3,0,0,'Données projet'!$E$10+1,1))</f>
        <v>214.08705070588002</v>
      </c>
      <c r="AO10" s="62">
        <f t="shared" si="36"/>
        <v>251.33527585147152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4.3499999999999996</v>
      </c>
      <c r="BD10" s="13">
        <f>IF('Données projet'!$A$88&gt;35,BD9+BC10-BL9,IF(A10&lt;'Données projet'!$A$88,$BA$205^A10,IF(A10='Données projet'!$A$88,'Données projet'!$B$88,BD9+BC10-BL9)))</f>
        <v>4.7734429716853528</v>
      </c>
      <c r="BE10" s="14">
        <f>BD10*VLOOKUP('Données projet'!$B$11,Paramètres!$A$1:$I$89,3,0)*VLOOKUP('Données projet'!$B$11,Paramètres!$A$1:$I$89,5,0)</f>
        <v>2.7304093798040219</v>
      </c>
      <c r="BF10" s="14">
        <f t="shared" si="37"/>
        <v>1.119445410025206</v>
      </c>
      <c r="BG10" s="22">
        <f t="shared" si="7"/>
        <v>6.7051637589525717</v>
      </c>
      <c r="BH10" s="62">
        <f t="shared" si="8"/>
        <v>271.92738598117478</v>
      </c>
      <c r="BI10" s="62">
        <f ca="1">AVERAGE(OFFSET($BH$3,0,0,'Données projet'!$E$11+1,1))-AVERAGE(OFFSET($H$3,0,0,'Données projet'!$E$11+1,1))</f>
        <v>239.41486198585676</v>
      </c>
      <c r="BJ10" s="62">
        <f t="shared" si="38"/>
        <v>224.9174498508774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6.0588235294117645</v>
      </c>
      <c r="BY10" s="13">
        <f>IF('Données projet'!$A$114&gt;35,BY9+BX10-CG9,IF(A10&lt;'Données projet'!$A$114,$BV$205^A10,IF(A10='Données projet'!$A$114,'Données projet'!$B$114,BY9+BX10-CG9)))</f>
        <v>6.742412635640668</v>
      </c>
      <c r="BZ10" s="14">
        <f>BY10*VLOOKUP('Données projet'!$B$12,Paramètres!$A$1:$I$89,3,0)*VLOOKUP('Données projet'!$B$12,Paramètres!$A$1:$I$89,5,0)</f>
        <v>4.0319627561131197</v>
      </c>
      <c r="CA10" s="14">
        <f t="shared" si="39"/>
        <v>1.5797430548005489</v>
      </c>
      <c r="CB10" s="22">
        <f t="shared" si="10"/>
        <v>9.7737209540079721</v>
      </c>
      <c r="CC10" s="62">
        <f t="shared" si="11"/>
        <v>274.99594317623018</v>
      </c>
      <c r="CD10" s="62">
        <f ca="1">AVERAGE(OFFSET($CC$3,0,0,'Données projet'!$E$12+1,1))-AVERAGE(OFFSET($H$3,0,0,'Données projet'!$E$12+1,1))</f>
        <v>288.65195492450403</v>
      </c>
      <c r="CE10" s="62">
        <f t="shared" si="40"/>
        <v>310.66800441693891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6.5714285714285712</v>
      </c>
      <c r="CT10" s="13">
        <f>IF('Données projet'!$A$140&gt;35,CT9+CS10-DB9,IF(A10&lt;'Données projet'!$A$140,$CQ$205^A10,IF(A10='Données projet'!$A$140,'Données projet'!$B$140,CT9+CS10-DB9)))</f>
        <v>9.5916630466254365</v>
      </c>
      <c r="CU10" s="18">
        <f>CT10*VLOOKUP('Données projet'!$B$13,Paramètres!$A$1:$I$89,3,0)*VLOOKUP('Données projet'!$B$13,Paramètres!$A$1:$I$89,5,0)</f>
        <v>4.2395150666084431</v>
      </c>
      <c r="CV10" s="14">
        <f t="shared" si="41"/>
        <v>1.6513861739331823</v>
      </c>
      <c r="CW10" s="22">
        <f t="shared" si="13"/>
        <v>10.259986327276664</v>
      </c>
      <c r="CX10" s="62">
        <f t="shared" si="14"/>
        <v>275.48220854949886</v>
      </c>
      <c r="CY10" s="62">
        <f ca="1">AVERAGE(OFFSET($CX$3,0,0,'Données projet'!$E$13+1,1))-AVERAGE(OFFSET($H$3,0,0,'Données projet'!$E$13+1,1))</f>
        <v>572.6451446653349</v>
      </c>
      <c r="CZ10" s="62">
        <f t="shared" si="42"/>
        <v>389.15977992931374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3.65</v>
      </c>
      <c r="DO10" s="13">
        <f>IF('Données projet'!$A$166&gt;35,DO9+DN10-DW9,IF(A10&lt;'Données projet'!$A$166,$DL$205^A10,IF(A10='Données projet'!$A$166,'Données projet'!$B$166,DO9+DN10-DW9)))</f>
        <v>4.4891384635544309</v>
      </c>
      <c r="DP10" s="18">
        <f>DO10*VLOOKUP('Données projet'!$B$14,Paramètres!$A$1:$I$89,3,0)*VLOOKUP('Données projet'!$B$14,Paramètres!$A$1:$I$89,5,0)</f>
        <v>3.7816502416982529</v>
      </c>
      <c r="DQ10" s="14">
        <f t="shared" si="43"/>
        <v>1.492764553183741</v>
      </c>
      <c r="DR10" s="22">
        <f t="shared" si="16"/>
        <v>9.1862724344194735</v>
      </c>
      <c r="DS10" s="62">
        <f t="shared" si="17"/>
        <v>274.40849465664172</v>
      </c>
      <c r="DT10" s="62">
        <f ca="1">AVERAGE(OFFSET($DS$3,0,0,'Données projet'!$E$14+1,1))-AVERAGE(OFFSET($H$3,0,0,'Données projet'!$E$14+1,1))</f>
        <v>383.83934938682984</v>
      </c>
      <c r="DU10" s="62">
        <f t="shared" si="44"/>
        <v>223.93106361972281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267.22731691271065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415.89259563928869</v>
      </c>
      <c r="T11" s="62">
        <f t="shared" si="34"/>
        <v>240.19413322685813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2.4666666666666668</v>
      </c>
      <c r="AI11" s="14">
        <f>IF('Données projet'!$A$62&gt;35,AI10+AH11-AQ10,IF(A11&lt;'Données projet'!$A$62,$AF$205^A11,IF(A11='Données projet'!$A$62,'Données projet'!$B$62,AI10+AH11-AQ10)))</f>
        <v>6.8607919984549888</v>
      </c>
      <c r="AJ11" s="14">
        <f>AI11*VLOOKUP('Données projet'!$B$10,Paramètres!$A$1:$I$89,3,0)*VLOOKUP('Données projet'!$B$10,Paramètres!$A$1:$I$89,5,0)</f>
        <v>4.4951909173877089</v>
      </c>
      <c r="AK11" s="14">
        <f t="shared" si="35"/>
        <v>1.7390830520969034</v>
      </c>
      <c r="AL11" s="22">
        <f t="shared" si="4"/>
        <v>10.858027163519033</v>
      </c>
      <c r="AM11" s="62">
        <f t="shared" si="5"/>
        <v>277.30247160796347</v>
      </c>
      <c r="AN11" s="62">
        <f ca="1">AVERAGE(OFFSET($AM$3,0,0,'Données projet'!$E$10+1,1))-AVERAGE(OFFSET($H$3,0,0,'Données projet'!$E$10+1,1))</f>
        <v>214.08705070588002</v>
      </c>
      <c r="AO11" s="62">
        <f t="shared" si="36"/>
        <v>251.33527585147152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4.3499999999999996</v>
      </c>
      <c r="BD11" s="13">
        <f>IF('Données projet'!$A$88&gt;35,BD10+BC11-BL10,IF(A11&lt;'Données projet'!$A$88,$BA$205^A11,IF(A11='Données projet'!$A$88,'Données projet'!$B$88,BD10+BC11-BL10)))</f>
        <v>5.9677098701087603</v>
      </c>
      <c r="BE11" s="14">
        <f>BD11*VLOOKUP('Données projet'!$B$11,Paramètres!$A$1:$I$89,3,0)*VLOOKUP('Données projet'!$B$11,Paramètres!$A$1:$I$89,5,0)</f>
        <v>3.4135300457022111</v>
      </c>
      <c r="BF11" s="14">
        <f t="shared" si="37"/>
        <v>1.3636122076157884</v>
      </c>
      <c r="BG11" s="22">
        <f t="shared" si="7"/>
        <v>8.3201894245288486</v>
      </c>
      <c r="BH11" s="62">
        <f t="shared" si="8"/>
        <v>274.76463386897331</v>
      </c>
      <c r="BI11" s="62">
        <f ca="1">AVERAGE(OFFSET($BH$3,0,0,'Données projet'!$E$11+1,1))-AVERAGE(OFFSET($H$3,0,0,'Données projet'!$E$11+1,1))</f>
        <v>239.41486198585676</v>
      </c>
      <c r="BJ11" s="62">
        <f t="shared" si="38"/>
        <v>224.9174498508774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6.0588235294117645</v>
      </c>
      <c r="BY11" s="13">
        <f>IF('Données projet'!$A$114&gt;35,BY10+BX11-CG10,IF(A11&lt;'Données projet'!$A$114,$BV$205^A11,IF(A11='Données projet'!$A$114,'Données projet'!$B$114,BY10+BX11-CG10)))</f>
        <v>8.8555903329626044</v>
      </c>
      <c r="BZ11" s="14">
        <f>BY11*VLOOKUP('Données projet'!$B$12,Paramètres!$A$1:$I$89,3,0)*VLOOKUP('Données projet'!$B$12,Paramètres!$A$1:$I$89,5,0)</f>
        <v>5.2956430191116386</v>
      </c>
      <c r="CA11" s="14">
        <f t="shared" si="39"/>
        <v>2.0100489303078644</v>
      </c>
      <c r="CB11" s="22">
        <f t="shared" si="10"/>
        <v>12.724080145238965</v>
      </c>
      <c r="CC11" s="62">
        <f t="shared" si="11"/>
        <v>279.16852458968344</v>
      </c>
      <c r="CD11" s="62">
        <f ca="1">AVERAGE(OFFSET($CC$3,0,0,'Données projet'!$E$12+1,1))-AVERAGE(OFFSET($H$3,0,0,'Données projet'!$E$12+1,1))</f>
        <v>288.65195492450403</v>
      </c>
      <c r="CE11" s="62">
        <f t="shared" si="40"/>
        <v>310.66800441693891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6.5714285714285712</v>
      </c>
      <c r="CT11" s="13">
        <f>IF('Données projet'!$A$140&gt;35,CT10+CS11-DB10,IF(A11&lt;'Données projet'!$A$140,$CQ$205^A11,IF(A11='Données projet'!$A$140,'Données projet'!$B$140,CT10+CS11-DB10)))</f>
        <v>13.248431749316637</v>
      </c>
      <c r="CU11" s="18">
        <f>CT11*VLOOKUP('Données projet'!$B$13,Paramètres!$A$1:$I$89,3,0)*VLOOKUP('Données projet'!$B$13,Paramètres!$A$1:$I$89,5,0)</f>
        <v>5.8558068331979545</v>
      </c>
      <c r="CV11" s="14">
        <f t="shared" si="41"/>
        <v>2.1968060209875881</v>
      </c>
      <c r="CW11" s="22">
        <f t="shared" si="13"/>
        <v>14.024967387706489</v>
      </c>
      <c r="CX11" s="62">
        <f t="shared" si="14"/>
        <v>280.46941183215097</v>
      </c>
      <c r="CY11" s="62">
        <f ca="1">AVERAGE(OFFSET($CX$3,0,0,'Données projet'!$E$13+1,1))-AVERAGE(OFFSET($H$3,0,0,'Données projet'!$E$13+1,1))</f>
        <v>572.6451446653349</v>
      </c>
      <c r="CZ11" s="62">
        <f t="shared" si="42"/>
        <v>389.15977992931374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3.65</v>
      </c>
      <c r="DO11" s="13">
        <f>IF('Données projet'!$A$166&gt;35,DO10+DN11-DW10,IF(A11&lt;'Données projet'!$A$166,$DL$205^A11,IF(A11='Données projet'!$A$166,'Données projet'!$B$166,DO10+DN11-DW10)))</f>
        <v>5.563257268920875</v>
      </c>
      <c r="DP11" s="18">
        <f>DO11*VLOOKUP('Données projet'!$B$14,Paramètres!$A$1:$I$89,3,0)*VLOOKUP('Données projet'!$B$14,Paramètres!$A$1:$I$89,5,0)</f>
        <v>4.6864879233389463</v>
      </c>
      <c r="DQ11" s="14">
        <f t="shared" si="43"/>
        <v>1.8043173192324258</v>
      </c>
      <c r="DR11" s="22">
        <f t="shared" si="16"/>
        <v>11.304819130811806</v>
      </c>
      <c r="DS11" s="62">
        <f t="shared" si="17"/>
        <v>277.74926357525624</v>
      </c>
      <c r="DT11" s="62">
        <f ca="1">AVERAGE(OFFSET($DS$3,0,0,'Données projet'!$E$14+1,1))-AVERAGE(OFFSET($H$3,0,0,'Données projet'!$E$14+1,1))</f>
        <v>383.83934938682984</v>
      </c>
      <c r="DU11" s="62">
        <f t="shared" si="44"/>
        <v>223.93106361972281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268.5021620672548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415.89259563928869</v>
      </c>
      <c r="T12" s="62">
        <f t="shared" si="34"/>
        <v>240.19413322685813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2.4666666666666668</v>
      </c>
      <c r="AI12" s="14">
        <f>IF('Données projet'!$A$62&gt;35,AI11+AH12-AQ11,IF(A12&lt;'Données projet'!$A$62,$AF$205^A12,IF(A12='Données projet'!$A$62,'Données projet'!$B$62,AI11+AH12-AQ11)))</f>
        <v>8.7281265486761299</v>
      </c>
      <c r="AJ12" s="14">
        <f>AI12*VLOOKUP('Données projet'!$B$10,Paramètres!$A$1:$I$89,3,0)*VLOOKUP('Données projet'!$B$10,Paramètres!$A$1:$I$89,5,0)</f>
        <v>5.7186685146926006</v>
      </c>
      <c r="AK12" s="14">
        <f t="shared" si="35"/>
        <v>2.1512845537982104</v>
      </c>
      <c r="AL12" s="22">
        <f t="shared" si="4"/>
        <v>13.706834927621495</v>
      </c>
      <c r="AM12" s="62">
        <f t="shared" si="5"/>
        <v>281.3735015942882</v>
      </c>
      <c r="AN12" s="62">
        <f ca="1">AVERAGE(OFFSET($AM$3,0,0,'Données projet'!$E$10+1,1))-AVERAGE(OFFSET($H$3,0,0,'Données projet'!$E$10+1,1))</f>
        <v>214.08705070588002</v>
      </c>
      <c r="AO12" s="62">
        <f t="shared" si="36"/>
        <v>251.33527585147152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4.3499999999999996</v>
      </c>
      <c r="BD12" s="13">
        <f>IF('Données projet'!$A$88&gt;35,BD11+BC12-BL11,IF(A12&lt;'Données projet'!$A$88,$BA$205^A12,IF(A12='Données projet'!$A$88,'Données projet'!$B$88,BD11+BC12-BL11)))</f>
        <v>7.4607702040314701</v>
      </c>
      <c r="BE12" s="14">
        <f>BD12*VLOOKUP('Données projet'!$B$11,Paramètres!$A$1:$I$89,3,0)*VLOOKUP('Données projet'!$B$11,Paramètres!$A$1:$I$89,5,0)</f>
        <v>4.2675605567060009</v>
      </c>
      <c r="BF12" s="14">
        <f t="shared" si="37"/>
        <v>1.6610352198567104</v>
      </c>
      <c r="BG12" s="22">
        <f t="shared" si="7"/>
        <v>10.325637644180055</v>
      </c>
      <c r="BH12" s="62">
        <f t="shared" si="8"/>
        <v>277.99230431084675</v>
      </c>
      <c r="BI12" s="62">
        <f ca="1">AVERAGE(OFFSET($BH$3,0,0,'Données projet'!$E$11+1,1))-AVERAGE(OFFSET($H$3,0,0,'Données projet'!$E$11+1,1))</f>
        <v>239.41486198585676</v>
      </c>
      <c r="BJ12" s="62">
        <f t="shared" si="38"/>
        <v>224.9174498508774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6.0588235294117645</v>
      </c>
      <c r="BY12" s="13">
        <f>IF('Données projet'!$A$114&gt;35,BY11+BX12-CG11,IF(A12&lt;'Données projet'!$A$114,$BV$205^A12,IF(A12='Données projet'!$A$114,'Données projet'!$B$114,BY11+BX12-CG11)))</f>
        <v>11.631071010208064</v>
      </c>
      <c r="BZ12" s="14">
        <f>BY12*VLOOKUP('Données projet'!$B$12,Paramètres!$A$1:$I$89,3,0)*VLOOKUP('Données projet'!$B$12,Paramètres!$A$1:$I$89,5,0)</f>
        <v>6.9553804641044223</v>
      </c>
      <c r="CA12" s="14">
        <f t="shared" si="39"/>
        <v>2.5575657319423368</v>
      </c>
      <c r="CB12" s="22">
        <f t="shared" si="10"/>
        <v>16.568381291448102</v>
      </c>
      <c r="CC12" s="62">
        <f t="shared" si="11"/>
        <v>284.23504795811476</v>
      </c>
      <c r="CD12" s="62">
        <f ca="1">AVERAGE(OFFSET($CC$3,0,0,'Données projet'!$E$12+1,1))-AVERAGE(OFFSET($H$3,0,0,'Données projet'!$E$12+1,1))</f>
        <v>288.65195492450403</v>
      </c>
      <c r="CE12" s="62">
        <f t="shared" si="40"/>
        <v>310.66800441693891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6.5714285714285712</v>
      </c>
      <c r="CT12" s="13">
        <f>IF('Données projet'!$A$140&gt;35,CT11+CS12-DB11,IF(A12&lt;'Données projet'!$A$140,$CQ$205^A12,IF(A12='Données projet'!$A$140,'Données projet'!$B$140,CT11+CS12-DB11)))</f>
        <v>18.299323377300386</v>
      </c>
      <c r="CU12" s="18">
        <f>CT12*VLOOKUP('Données projet'!$B$13,Paramètres!$A$1:$I$89,3,0)*VLOOKUP('Données projet'!$B$13,Paramètres!$A$1:$I$89,5,0)</f>
        <v>8.0883009327667725</v>
      </c>
      <c r="CV12" s="14">
        <f t="shared" si="41"/>
        <v>2.9223671422373094</v>
      </c>
      <c r="CW12" s="22">
        <f t="shared" si="13"/>
        <v>19.176913563965442</v>
      </c>
      <c r="CX12" s="62">
        <f t="shared" si="14"/>
        <v>286.84358023063214</v>
      </c>
      <c r="CY12" s="62">
        <f ca="1">AVERAGE(OFFSET($CX$3,0,0,'Données projet'!$E$13+1,1))-AVERAGE(OFFSET($H$3,0,0,'Données projet'!$E$13+1,1))</f>
        <v>572.6451446653349</v>
      </c>
      <c r="CZ12" s="62">
        <f t="shared" si="42"/>
        <v>389.15977992931374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3.65</v>
      </c>
      <c r="DO12" s="13">
        <f>IF('Données projet'!$A$166&gt;35,DO11+DN12-DW11,IF(A12&lt;'Données projet'!$A$166,$DL$205^A12,IF(A12='Données projet'!$A$166,'Données projet'!$B$166,DO11+DN12-DW11)))</f>
        <v>6.8943811137639424</v>
      </c>
      <c r="DP12" s="18">
        <f>DO12*VLOOKUP('Données projet'!$B$14,Paramètres!$A$1:$I$89,3,0)*VLOOKUP('Données projet'!$B$14,Paramètres!$A$1:$I$89,5,0)</f>
        <v>5.8078266502347455</v>
      </c>
      <c r="DQ12" s="14">
        <f t="shared" si="43"/>
        <v>2.1808938198181922</v>
      </c>
      <c r="DR12" s="22">
        <f t="shared" si="16"/>
        <v>13.913688152008866</v>
      </c>
      <c r="DS12" s="62">
        <f t="shared" si="17"/>
        <v>281.58035481867557</v>
      </c>
      <c r="DT12" s="62">
        <f ca="1">AVERAGE(OFFSET($DS$3,0,0,'Données projet'!$E$14+1,1))-AVERAGE(OFFSET($H$3,0,0,'Données projet'!$E$14+1,1))</f>
        <v>383.83934938682984</v>
      </c>
      <c r="DU12" s="62">
        <f t="shared" si="44"/>
        <v>223.93106361972281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269.77283609992622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415.89259563928869</v>
      </c>
      <c r="T13" s="62">
        <f t="shared" si="34"/>
        <v>240.19413322685813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2.4666666666666668</v>
      </c>
      <c r="AI13" s="14">
        <f>IF('Données projet'!$A$62&gt;35,AI12+AH13-AQ12,IF(A13&lt;'Données projet'!$A$62,$AF$205^A13,IF(A13='Données projet'!$A$62,'Données projet'!$B$62,AI12+AH13-AQ12)))</f>
        <v>11.103702468586782</v>
      </c>
      <c r="AJ13" s="14">
        <f>AI13*VLOOKUP('Données projet'!$B$10,Paramètres!$A$1:$I$89,3,0)*VLOOKUP('Données projet'!$B$10,Paramètres!$A$1:$I$89,5,0)</f>
        <v>7.2751458574180594</v>
      </c>
      <c r="AK13" s="14">
        <f t="shared" si="35"/>
        <v>2.6611870122191768</v>
      </c>
      <c r="AL13" s="22">
        <f t="shared" si="4"/>
        <v>17.305779747951522</v>
      </c>
      <c r="AM13" s="62">
        <f t="shared" si="5"/>
        <v>286.19466863684039</v>
      </c>
      <c r="AN13" s="62">
        <f ca="1">AVERAGE(OFFSET($AM$3,0,0,'Données projet'!$E$10+1,1))-AVERAGE(OFFSET($H$3,0,0,'Données projet'!$E$10+1,1))</f>
        <v>214.08705070588002</v>
      </c>
      <c r="AO13" s="62">
        <f t="shared" si="36"/>
        <v>251.33527585147152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4.3499999999999996</v>
      </c>
      <c r="BD13" s="13">
        <f>IF('Données projet'!$A$88&gt;35,BD12+BC13-BL12,IF(A13&lt;'Données projet'!$A$88,$BA$205^A13,IF(A13='Données projet'!$A$88,'Données projet'!$B$88,BD12+BC13-BL12)))</f>
        <v>9.3273790530888085</v>
      </c>
      <c r="BE13" s="14">
        <f>BD13*VLOOKUP('Données projet'!$B$11,Paramètres!$A$1:$I$89,3,0)*VLOOKUP('Données projet'!$B$11,Paramètres!$A$1:$I$89,5,0)</f>
        <v>5.3352608183667982</v>
      </c>
      <c r="BF13" s="14">
        <f t="shared" si="37"/>
        <v>2.0233303766240684</v>
      </c>
      <c r="BG13" s="22">
        <f t="shared" si="7"/>
        <v>12.816212997942424</v>
      </c>
      <c r="BH13" s="62">
        <f t="shared" si="8"/>
        <v>281.7051018868313</v>
      </c>
      <c r="BI13" s="62">
        <f ca="1">AVERAGE(OFFSET($BH$3,0,0,'Données projet'!$E$11+1,1))-AVERAGE(OFFSET($H$3,0,0,'Données projet'!$E$11+1,1))</f>
        <v>239.41486198585676</v>
      </c>
      <c r="BJ13" s="62">
        <f t="shared" si="38"/>
        <v>224.9174498508774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6.0588235294117645</v>
      </c>
      <c r="BY13" s="13">
        <f>IF('Données projet'!$A$114&gt;35,BY12+BX13-CG12,IF(A13&lt;'Données projet'!$A$114,$BV$205^A13,IF(A13='Données projet'!$A$114,'Données projet'!$B$114,BY12+BX13-CG12)))</f>
        <v>15.276430792078479</v>
      </c>
      <c r="BZ13" s="14">
        <f>BY13*VLOOKUP('Données projet'!$B$12,Paramètres!$A$1:$I$89,3,0)*VLOOKUP('Données projet'!$B$12,Paramètres!$A$1:$I$89,5,0)</f>
        <v>9.1353056136629309</v>
      </c>
      <c r="CA13" s="14">
        <f t="shared" si="39"/>
        <v>3.254220519001934</v>
      </c>
      <c r="CB13" s="22">
        <f t="shared" si="10"/>
        <v>21.578424681057971</v>
      </c>
      <c r="CC13" s="62">
        <f t="shared" si="11"/>
        <v>290.46731356994684</v>
      </c>
      <c r="CD13" s="62">
        <f ca="1">AVERAGE(OFFSET($CC$3,0,0,'Données projet'!$E$12+1,1))-AVERAGE(OFFSET($H$3,0,0,'Données projet'!$E$12+1,1))</f>
        <v>288.65195492450403</v>
      </c>
      <c r="CE13" s="62">
        <f t="shared" si="40"/>
        <v>310.66800441693891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6.5714285714285712</v>
      </c>
      <c r="CT13" s="13">
        <f>IF('Données projet'!$A$140&gt;35,CT12+CS13-DB12,IF(A13&lt;'Données projet'!$A$140,$CQ$205^A13,IF(A13='Données projet'!$A$140,'Données projet'!$B$140,CT12+CS13-DB12)))</f>
        <v>25.275839616585937</v>
      </c>
      <c r="CU13" s="18">
        <f>CT13*VLOOKUP('Données projet'!$B$13,Paramètres!$A$1:$I$89,3,0)*VLOOKUP('Données projet'!$B$13,Paramètres!$A$1:$I$89,5,0)</f>
        <v>11.171921110530985</v>
      </c>
      <c r="CV13" s="14">
        <f t="shared" si="41"/>
        <v>3.8875666000719264</v>
      </c>
      <c r="CW13" s="22">
        <f t="shared" si="13"/>
        <v>26.228607762633402</v>
      </c>
      <c r="CX13" s="62">
        <f t="shared" si="14"/>
        <v>295.11749665152229</v>
      </c>
      <c r="CY13" s="62">
        <f ca="1">AVERAGE(OFFSET($CX$3,0,0,'Données projet'!$E$13+1,1))-AVERAGE(OFFSET($H$3,0,0,'Données projet'!$E$13+1,1))</f>
        <v>572.6451446653349</v>
      </c>
      <c r="CZ13" s="62">
        <f t="shared" si="42"/>
        <v>389.15977992931374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3.65</v>
      </c>
      <c r="DO13" s="13">
        <f>IF('Données projet'!$A$166&gt;35,DO12+DN13-DW12,IF(A13&lt;'Données projet'!$A$166,$DL$205^A13,IF(A13='Données projet'!$A$166,'Données projet'!$B$166,DO12+DN13-DW12)))</f>
        <v>8.5440037453175322</v>
      </c>
      <c r="DP13" s="18">
        <f>DO13*VLOOKUP('Données projet'!$B$14,Paramètres!$A$1:$I$89,3,0)*VLOOKUP('Données projet'!$B$14,Paramètres!$A$1:$I$89,5,0)</f>
        <v>7.1974687550554899</v>
      </c>
      <c r="DQ13" s="14">
        <f t="shared" si="43"/>
        <v>2.6360650660630816</v>
      </c>
      <c r="DR13" s="22">
        <f t="shared" si="16"/>
        <v>17.126738071781514</v>
      </c>
      <c r="DS13" s="62">
        <f t="shared" si="17"/>
        <v>286.01562696067037</v>
      </c>
      <c r="DT13" s="62">
        <f ca="1">AVERAGE(OFFSET($DS$3,0,0,'Données projet'!$E$14+1,1))-AVERAGE(OFFSET($H$3,0,0,'Données projet'!$E$14+1,1))</f>
        <v>383.83934938682984</v>
      </c>
      <c r="DU13" s="62">
        <f t="shared" si="44"/>
        <v>223.93106361972281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271.03980360576855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415.89259563928869</v>
      </c>
      <c r="T14" s="62">
        <f t="shared" si="34"/>
        <v>240.19413322685813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2.4666666666666668</v>
      </c>
      <c r="AI14" s="14">
        <f>IF('Données projet'!$A$62&gt;35,AI13+AH14-AQ13,IF(A14&lt;'Données projet'!$A$62,$AF$205^A14,IF(A14='Données projet'!$A$62,'Données projet'!$B$62,AI13+AH14-AQ13)))</f>
        <v>14.125850240977657</v>
      </c>
      <c r="AJ14" s="14">
        <f>AI14*VLOOKUP('Données projet'!$B$10,Paramètres!$A$1:$I$89,3,0)*VLOOKUP('Données projet'!$B$10,Paramètres!$A$1:$I$89,5,0)</f>
        <v>9.2552570778885617</v>
      </c>
      <c r="AK14" s="14">
        <f t="shared" si="35"/>
        <v>3.2919477349012349</v>
      </c>
      <c r="AL14" s="22">
        <f t="shared" si="4"/>
        <v>21.853048382275563</v>
      </c>
      <c r="AM14" s="62">
        <f t="shared" si="5"/>
        <v>291.96415949338672</v>
      </c>
      <c r="AN14" s="62">
        <f ca="1">AVERAGE(OFFSET($AM$3,0,0,'Données projet'!$E$10+1,1))-AVERAGE(OFFSET($H$3,0,0,'Données projet'!$E$10+1,1))</f>
        <v>214.08705070588002</v>
      </c>
      <c r="AO14" s="62">
        <f t="shared" si="36"/>
        <v>251.33527585147152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4.3499999999999996</v>
      </c>
      <c r="BD14" s="13">
        <f>IF('Données projet'!$A$88&gt;35,BD13+BC14-BL13,IF(A14&lt;'Données projet'!$A$88,$BA$205^A14,IF(A14='Données projet'!$A$88,'Données projet'!$B$88,BD13+BC14-BL13)))</f>
        <v>11.660994457782511</v>
      </c>
      <c r="BE14" s="14">
        <f>BD14*VLOOKUP('Données projet'!$B$11,Paramètres!$A$1:$I$89,3,0)*VLOOKUP('Données projet'!$B$11,Paramètres!$A$1:$I$89,5,0)</f>
        <v>6.670088829851597</v>
      </c>
      <c r="BF14" s="14">
        <f t="shared" si="37"/>
        <v>2.4646472055678945</v>
      </c>
      <c r="BG14" s="22">
        <f t="shared" si="7"/>
        <v>15.909665261688948</v>
      </c>
      <c r="BH14" s="62">
        <f t="shared" si="8"/>
        <v>286.02077637280007</v>
      </c>
      <c r="BI14" s="62">
        <f ca="1">AVERAGE(OFFSET($BH$3,0,0,'Données projet'!$E$11+1,1))-AVERAGE(OFFSET($H$3,0,0,'Données projet'!$E$11+1,1))</f>
        <v>239.41486198585676</v>
      </c>
      <c r="BJ14" s="62">
        <f t="shared" si="38"/>
        <v>224.9174498508774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6.0588235294117645</v>
      </c>
      <c r="BY14" s="13">
        <f>IF('Données projet'!$A$114&gt;35,BY13+BX14-CG13,IF(A14&lt;'Données projet'!$A$114,$BV$205^A14,IF(A14='Données projet'!$A$114,'Données projet'!$B$114,BY13+BX14-CG13)))</f>
        <v>20.064303411125749</v>
      </c>
      <c r="BZ14" s="14">
        <f>BY14*VLOOKUP('Données projet'!$B$12,Paramètres!$A$1:$I$89,3,0)*VLOOKUP('Données projet'!$B$12,Paramètres!$A$1:$I$89,5,0)</f>
        <v>11.998453439853199</v>
      </c>
      <c r="CA14" s="14">
        <f t="shared" si="39"/>
        <v>4.1406369556925151</v>
      </c>
      <c r="CB14" s="22">
        <f t="shared" si="10"/>
        <v>28.108915772242117</v>
      </c>
      <c r="CC14" s="62">
        <f t="shared" si="11"/>
        <v>298.22002688335328</v>
      </c>
      <c r="CD14" s="62">
        <f ca="1">AVERAGE(OFFSET($CC$3,0,0,'Données projet'!$E$12+1,1))-AVERAGE(OFFSET($H$3,0,0,'Données projet'!$E$12+1,1))</f>
        <v>288.65195492450403</v>
      </c>
      <c r="CE14" s="62">
        <f t="shared" si="40"/>
        <v>310.66800441693891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6.5714285714285712</v>
      </c>
      <c r="CT14" s="13">
        <f>IF('Données projet'!$A$140&gt;35,CT13+CS14-DB13,IF(A14&lt;'Données projet'!$A$140,$CQ$205^A14,IF(A14='Données projet'!$A$140,'Données projet'!$B$140,CT13+CS14-DB13)))</f>
        <v>34.912114243298561</v>
      </c>
      <c r="CU14" s="18">
        <f>CT14*VLOOKUP('Données projet'!$B$13,Paramètres!$A$1:$I$89,3,0)*VLOOKUP('Données projet'!$B$13,Paramètres!$A$1:$I$89,5,0)</f>
        <v>15.431154495537966</v>
      </c>
      <c r="CV14" s="14">
        <f t="shared" si="41"/>
        <v>5.1715521474226689</v>
      </c>
      <c r="CW14" s="22">
        <f t="shared" si="13"/>
        <v>35.883047403156439</v>
      </c>
      <c r="CX14" s="62">
        <f t="shared" si="14"/>
        <v>305.99415851426761</v>
      </c>
      <c r="CY14" s="62">
        <f ca="1">AVERAGE(OFFSET($CX$3,0,0,'Données projet'!$E$13+1,1))-AVERAGE(OFFSET($H$3,0,0,'Données projet'!$E$13+1,1))</f>
        <v>572.6451446653349</v>
      </c>
      <c r="CZ14" s="62">
        <f t="shared" si="42"/>
        <v>389.15977992931374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3.65</v>
      </c>
      <c r="DO14" s="13">
        <f>IF('Données projet'!$A$166&gt;35,DO13+DN14-DW13,IF(A14&lt;'Données projet'!$A$166,$DL$205^A14,IF(A14='Données projet'!$A$166,'Données projet'!$B$166,DO13+DN14-DW13)))</f>
        <v>10.588332555950936</v>
      </c>
      <c r="DP14" s="18">
        <f>DO14*VLOOKUP('Données projet'!$B$14,Paramètres!$A$1:$I$89,3,0)*VLOOKUP('Données projet'!$B$14,Paramètres!$A$1:$I$89,5,0)</f>
        <v>8.9196113451330703</v>
      </c>
      <c r="DQ14" s="14">
        <f t="shared" si="43"/>
        <v>3.186234455512118</v>
      </c>
      <c r="DR14" s="22">
        <f t="shared" si="16"/>
        <v>21.084348102790369</v>
      </c>
      <c r="DS14" s="62">
        <f t="shared" si="17"/>
        <v>291.19545921390153</v>
      </c>
      <c r="DT14" s="62">
        <f ca="1">AVERAGE(OFFSET($DS$3,0,0,'Données projet'!$E$14+1,1))-AVERAGE(OFFSET($H$3,0,0,'Données projet'!$E$14+1,1))</f>
        <v>383.83934938682984</v>
      </c>
      <c r="DU14" s="62">
        <f t="shared" si="44"/>
        <v>223.93106361972281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272.30343986297339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415.89259563928869</v>
      </c>
      <c r="T15" s="62">
        <f t="shared" si="34"/>
        <v>240.19413322685813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2.4666666666666668</v>
      </c>
      <c r="AI15" s="14">
        <f>IF('Données projet'!$A$62&gt;35,AI14+AH15-AQ14,IF(A15&lt;'Données projet'!$A$62,$AF$205^A15,IF(A15='Données projet'!$A$62,'Données projet'!$B$62,AI14+AH15-AQ14)))</f>
        <v>17.970550417308221</v>
      </c>
      <c r="AJ15" s="14">
        <f>AI15*VLOOKUP('Données projet'!$B$10,Paramètres!$A$1:$I$89,3,0)*VLOOKUP('Données projet'!$B$10,Paramètres!$A$1:$I$89,5,0)</f>
        <v>11.774304633420346</v>
      </c>
      <c r="AK15" s="14">
        <f t="shared" si="35"/>
        <v>4.0722128281711418</v>
      </c>
      <c r="AL15" s="22">
        <f t="shared" si="4"/>
        <v>27.599351245605177</v>
      </c>
      <c r="AM15" s="62">
        <f t="shared" si="5"/>
        <v>298.93268457893851</v>
      </c>
      <c r="AN15" s="62">
        <f ca="1">AVERAGE(OFFSET($AM$3,0,0,'Données projet'!$E$10+1,1))-AVERAGE(OFFSET($H$3,0,0,'Données projet'!$E$10+1,1))</f>
        <v>214.08705070588002</v>
      </c>
      <c r="AO15" s="62">
        <f t="shared" si="36"/>
        <v>251.33527585147152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4.3499999999999996</v>
      </c>
      <c r="BD15" s="13">
        <f>IF('Données projet'!$A$88&gt;35,BD14+BC15-BL14,IF(A15&lt;'Données projet'!$A$88,$BA$205^A15,IF(A15='Données projet'!$A$88,'Données projet'!$B$88,BD14+BC15-BL14)))</f>
        <v>14.578456710130634</v>
      </c>
      <c r="BE15" s="14">
        <f>BD15*VLOOKUP('Données projet'!$B$11,Paramètres!$A$1:$I$89,3,0)*VLOOKUP('Données projet'!$B$11,Paramètres!$A$1:$I$89,5,0)</f>
        <v>8.3388772381947245</v>
      </c>
      <c r="BF15" s="14">
        <f t="shared" si="37"/>
        <v>3.0022214454413154</v>
      </c>
      <c r="BG15" s="22">
        <f t="shared" si="7"/>
        <v>19.752413540666101</v>
      </c>
      <c r="BH15" s="62">
        <f t="shared" si="8"/>
        <v>291.08574687399943</v>
      </c>
      <c r="BI15" s="62">
        <f ca="1">AVERAGE(OFFSET($BH$3,0,0,'Données projet'!$E$11+1,1))-AVERAGE(OFFSET($H$3,0,0,'Données projet'!$E$11+1,1))</f>
        <v>239.41486198585676</v>
      </c>
      <c r="BJ15" s="62">
        <f t="shared" si="38"/>
        <v>224.9174498508774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6.0588235294117645</v>
      </c>
      <c r="BY15" s="13">
        <f>IF('Données projet'!$A$114&gt;35,BY14+BX15-CG14,IF(A15&lt;'Données projet'!$A$114,$BV$205^A15,IF(A15='Données projet'!$A$114,'Données projet'!$B$114,BY14+BX15-CG14)))</f>
        <v>26.35277028076915</v>
      </c>
      <c r="BZ15" s="14">
        <f>BY15*VLOOKUP('Données projet'!$B$12,Paramètres!$A$1:$I$89,3,0)*VLOOKUP('Données projet'!$B$12,Paramètres!$A$1:$I$89,5,0)</f>
        <v>15.758956627899952</v>
      </c>
      <c r="CA15" s="14">
        <f t="shared" si="39"/>
        <v>5.2685041774934476</v>
      </c>
      <c r="CB15" s="22">
        <f t="shared" si="10"/>
        <v>36.6228275693935</v>
      </c>
      <c r="CC15" s="62">
        <f t="shared" si="11"/>
        <v>307.95616090272682</v>
      </c>
      <c r="CD15" s="62">
        <f ca="1">AVERAGE(OFFSET($CC$3,0,0,'Données projet'!$E$12+1,1))-AVERAGE(OFFSET($H$3,0,0,'Données projet'!$E$12+1,1))</f>
        <v>288.65195492450403</v>
      </c>
      <c r="CE15" s="62">
        <f t="shared" si="40"/>
        <v>310.66800441693891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6.5714285714285712</v>
      </c>
      <c r="CT15" s="13">
        <f>IF('Données projet'!$A$140&gt;35,CT14+CS15-DB14,IF(A15&lt;'Données projet'!$A$140,$CQ$205^A15,IF(A15='Données projet'!$A$140,'Données projet'!$B$140,CT14+CS15-DB14)))</f>
        <v>48.222165491876297</v>
      </c>
      <c r="CU15" s="18">
        <f>CT15*VLOOKUP('Données projet'!$B$13,Paramètres!$A$1:$I$89,3,0)*VLOOKUP('Données projet'!$B$13,Paramètres!$A$1:$I$89,5,0)</f>
        <v>21.314197147409327</v>
      </c>
      <c r="CV15" s="14">
        <f t="shared" si="41"/>
        <v>6.879612458090671</v>
      </c>
      <c r="CW15" s="22">
        <f t="shared" si="13"/>
        <v>49.104218396245834</v>
      </c>
      <c r="CX15" s="62">
        <f t="shared" si="14"/>
        <v>320.43755172957913</v>
      </c>
      <c r="CY15" s="62">
        <f ca="1">AVERAGE(OFFSET($CX$3,0,0,'Données projet'!$E$13+1,1))-AVERAGE(OFFSET($H$3,0,0,'Données projet'!$E$13+1,1))</f>
        <v>572.6451446653349</v>
      </c>
      <c r="CZ15" s="62">
        <f t="shared" si="42"/>
        <v>389.15977992931374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3.65</v>
      </c>
      <c r="DO15" s="13">
        <f>IF('Données projet'!$A$166&gt;35,DO14+DN15-DW14,IF(A15&lt;'Données projet'!$A$166,$DL$205^A15,IF(A15='Données projet'!$A$166,'Données projet'!$B$166,DO14+DN15-DW14)))</f>
        <v>13.121809125710287</v>
      </c>
      <c r="DP15" s="18">
        <f>DO15*VLOOKUP('Données projet'!$B$14,Paramètres!$A$1:$I$89,3,0)*VLOOKUP('Données projet'!$B$14,Paramètres!$A$1:$I$89,5,0)</f>
        <v>11.053812007498347</v>
      </c>
      <c r="DQ15" s="14">
        <f t="shared" si="43"/>
        <v>3.8512289154738402</v>
      </c>
      <c r="DR15" s="22">
        <f t="shared" si="16"/>
        <v>25.959612940843225</v>
      </c>
      <c r="DS15" s="62">
        <f t="shared" si="17"/>
        <v>297.29294627417653</v>
      </c>
      <c r="DT15" s="62">
        <f ca="1">AVERAGE(OFFSET($DS$3,0,0,'Données projet'!$E$14+1,1))-AVERAGE(OFFSET($H$3,0,0,'Données projet'!$E$14+1,1))</f>
        <v>383.83934938682984</v>
      </c>
      <c r="DU15" s="62">
        <f t="shared" si="44"/>
        <v>223.93106361972281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273.56405403670931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415.89259563928869</v>
      </c>
      <c r="T16" s="62">
        <f t="shared" si="34"/>
        <v>240.19413322685813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2.4666666666666668</v>
      </c>
      <c r="AI16" s="14">
        <f>IF('Données projet'!$A$62&gt;35,AI15+AH16-AQ15,IF(A16&lt;'Données projet'!$A$62,$AF$205^A16,IF(A16='Données projet'!$A$62,'Données projet'!$B$62,AI15+AH16-AQ15)))</f>
        <v>22.86168101684942</v>
      </c>
      <c r="AJ16" s="14">
        <f>AI16*VLOOKUP('Données projet'!$B$10,Paramètres!$A$1:$I$89,3,0)*VLOOKUP('Données projet'!$B$10,Paramètres!$A$1:$I$89,5,0)</f>
        <v>14.97897340223974</v>
      </c>
      <c r="AK16" s="14">
        <f t="shared" si="35"/>
        <v>5.0374181649694805</v>
      </c>
      <c r="AL16" s="22">
        <f t="shared" si="4"/>
        <v>34.861881979556053</v>
      </c>
      <c r="AM16" s="62">
        <f t="shared" si="5"/>
        <v>307.41743753511162</v>
      </c>
      <c r="AN16" s="62">
        <f ca="1">AVERAGE(OFFSET($AM$3,0,0,'Données projet'!$E$10+1,1))-AVERAGE(OFFSET($H$3,0,0,'Données projet'!$E$10+1,1))</f>
        <v>214.08705070588002</v>
      </c>
      <c r="AO16" s="62">
        <f t="shared" si="36"/>
        <v>251.33527585147152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4.3499999999999996</v>
      </c>
      <c r="BD16" s="13">
        <f>IF('Données projet'!$A$88&gt;35,BD15+BC16-BL15,IF(A16&lt;'Données projet'!$A$88,$BA$205^A16,IF(A16='Données projet'!$A$88,'Données projet'!$B$88,BD15+BC16-BL15)))</f>
        <v>18.22583835526224</v>
      </c>
      <c r="BE16" s="14">
        <f>BD16*VLOOKUP('Données projet'!$B$11,Paramètres!$A$1:$I$89,3,0)*VLOOKUP('Données projet'!$B$11,Paramètres!$A$1:$I$89,5,0)</f>
        <v>10.425179539210003</v>
      </c>
      <c r="BF16" s="14">
        <f t="shared" si="37"/>
        <v>3.657048192173582</v>
      </c>
      <c r="BG16" s="22">
        <f t="shared" si="7"/>
        <v>24.526546632159739</v>
      </c>
      <c r="BH16" s="62">
        <f t="shared" si="8"/>
        <v>297.08210218771529</v>
      </c>
      <c r="BI16" s="62">
        <f ca="1">AVERAGE(OFFSET($BH$3,0,0,'Données projet'!$E$11+1,1))-AVERAGE(OFFSET($H$3,0,0,'Données projet'!$E$11+1,1))</f>
        <v>239.41486198585676</v>
      </c>
      <c r="BJ16" s="62">
        <f t="shared" si="38"/>
        <v>224.9174498508774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6.0588235294117645</v>
      </c>
      <c r="BY16" s="13">
        <f>IF('Données projet'!$A$114&gt;35,BY15+BX16-CG15,IF(A16&lt;'Données projet'!$A$114,$BV$205^A16,IF(A16='Données projet'!$A$114,'Données projet'!$B$114,BY15+BX16-CG15)))</f>
        <v>34.612141136477412</v>
      </c>
      <c r="BZ16" s="14">
        <f>BY16*VLOOKUP('Données projet'!$B$12,Paramètres!$A$1:$I$89,3,0)*VLOOKUP('Données projet'!$B$12,Paramètres!$A$1:$I$89,5,0)</f>
        <v>20.698060399613492</v>
      </c>
      <c r="CA16" s="14">
        <f t="shared" si="39"/>
        <v>6.7035909125299202</v>
      </c>
      <c r="CB16" s="22">
        <f t="shared" si="10"/>
        <v>47.724542701983104</v>
      </c>
      <c r="CC16" s="62">
        <f t="shared" si="11"/>
        <v>320.28009825753867</v>
      </c>
      <c r="CD16" s="62">
        <f ca="1">AVERAGE(OFFSET($CC$3,0,0,'Données projet'!$E$12+1,1))-AVERAGE(OFFSET($H$3,0,0,'Données projet'!$E$12+1,1))</f>
        <v>288.65195492450403</v>
      </c>
      <c r="CE16" s="62">
        <f t="shared" si="40"/>
        <v>310.66800441693891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6.5714285714285712</v>
      </c>
      <c r="CT16" s="13">
        <f>IF('Données projet'!$A$140&gt;35,CT15+CS16-DB15,IF(A16&lt;'Données projet'!$A$140,$CQ$205^A16,IF(A16='Données projet'!$A$140,'Données projet'!$B$140,CT15+CS16-DB15)))</f>
        <v>66.606600463111889</v>
      </c>
      <c r="CU16" s="18">
        <f>CT16*VLOOKUP('Données projet'!$B$13,Paramètres!$A$1:$I$89,3,0)*VLOOKUP('Données projet'!$B$13,Paramètres!$A$1:$I$89,5,0)</f>
        <v>29.440117404695457</v>
      </c>
      <c r="CV16" s="14">
        <f t="shared" si="41"/>
        <v>9.1518109504326617</v>
      </c>
      <c r="CW16" s="22">
        <f t="shared" si="13"/>
        <v>67.2142752185148</v>
      </c>
      <c r="CX16" s="62">
        <f t="shared" si="14"/>
        <v>339.76983077407033</v>
      </c>
      <c r="CY16" s="62">
        <f ca="1">AVERAGE(OFFSET($CX$3,0,0,'Données projet'!$E$13+1,1))-AVERAGE(OFFSET($H$3,0,0,'Données projet'!$E$13+1,1))</f>
        <v>572.6451446653349</v>
      </c>
      <c r="CZ16" s="62">
        <f t="shared" si="42"/>
        <v>389.15977992931374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3.65</v>
      </c>
      <c r="DO16" s="13">
        <f>IF('Données projet'!$A$166&gt;35,DO15+DN16-DW15,IF(A16&lt;'Données projet'!$A$166,$DL$205^A16,IF(A16='Données projet'!$A$166,'Données projet'!$B$166,DO15+DN16-DW15)))</f>
        <v>16.261472127148366</v>
      </c>
      <c r="DP16" s="18">
        <f>DO16*VLOOKUP('Données projet'!$B$14,Paramètres!$A$1:$I$89,3,0)*VLOOKUP('Données projet'!$B$14,Paramètres!$A$1:$I$89,5,0)</f>
        <v>13.698664119909786</v>
      </c>
      <c r="DQ16" s="14">
        <f t="shared" si="43"/>
        <v>4.6550134230463893</v>
      </c>
      <c r="DR16" s="22">
        <f t="shared" si="16"/>
        <v>31.965988387315338</v>
      </c>
      <c r="DS16" s="62">
        <f t="shared" si="17"/>
        <v>304.52154394287089</v>
      </c>
      <c r="DT16" s="62">
        <f ca="1">AVERAGE(OFFSET($DS$3,0,0,'Données projet'!$E$14+1,1))-AVERAGE(OFFSET($H$3,0,0,'Données projet'!$E$14+1,1))</f>
        <v>383.83934938682984</v>
      </c>
      <c r="DU16" s="62">
        <f t="shared" si="44"/>
        <v>223.93106361972281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274.82190502633887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415.89259563928869</v>
      </c>
      <c r="T17" s="62">
        <f t="shared" si="34"/>
        <v>240.19413322685813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2.4666666666666668</v>
      </c>
      <c r="AI17" s="14">
        <f>IF('Données projet'!$A$62&gt;35,AI16+AH17-AQ16,IF(A17&lt;'Données projet'!$A$62,$AF$205^A17,IF(A17='Données projet'!$A$62,'Données projet'!$B$62,AI16+AH17-AQ16)))</f>
        <v>29.084054009429774</v>
      </c>
      <c r="AJ17" s="14">
        <f>AI17*VLOOKUP('Données projet'!$B$10,Paramètres!$A$1:$I$89,3,0)*VLOOKUP('Données projet'!$B$10,Paramètres!$A$1:$I$89,5,0)</f>
        <v>19.055872186978391</v>
      </c>
      <c r="AK17" s="14">
        <f t="shared" si="35"/>
        <v>6.231398711093604</v>
      </c>
      <c r="AL17" s="22">
        <f t="shared" si="4"/>
        <v>44.041996814142045</v>
      </c>
      <c r="AM17" s="62">
        <f t="shared" si="5"/>
        <v>317.81977459191984</v>
      </c>
      <c r="AN17" s="62">
        <f ca="1">AVERAGE(OFFSET($AM$3,0,0,'Données projet'!$E$10+1,1))-AVERAGE(OFFSET($H$3,0,0,'Données projet'!$E$10+1,1))</f>
        <v>214.08705070588002</v>
      </c>
      <c r="AO17" s="62">
        <f t="shared" si="36"/>
        <v>251.33527585147152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4.3499999999999996</v>
      </c>
      <c r="BD17" s="13">
        <f>IF('Données projet'!$A$88&gt;35,BD16+BC17-BL16,IF(A17&lt;'Données projet'!$A$88,$BA$205^A17,IF(A17='Données projet'!$A$88,'Données projet'!$B$88,BD16+BC17-BL16)))</f>
        <v>22.785757803932292</v>
      </c>
      <c r="BE17" s="14">
        <f>BD17*VLOOKUP('Données projet'!$B$11,Paramètres!$A$1:$I$89,3,0)*VLOOKUP('Données projet'!$B$11,Paramètres!$A$1:$I$89,5,0)</f>
        <v>13.033453463849272</v>
      </c>
      <c r="BF17" s="14">
        <f t="shared" si="37"/>
        <v>4.4547018675746406</v>
      </c>
      <c r="BG17" s="22">
        <f t="shared" si="7"/>
        <v>30.45853720222998</v>
      </c>
      <c r="BH17" s="62">
        <f t="shared" si="8"/>
        <v>304.23631498000776</v>
      </c>
      <c r="BI17" s="62">
        <f ca="1">AVERAGE(OFFSET($BH$3,0,0,'Données projet'!$E$11+1,1))-AVERAGE(OFFSET($H$3,0,0,'Données projet'!$E$11+1,1))</f>
        <v>239.41486198585676</v>
      </c>
      <c r="BJ17" s="62">
        <f t="shared" si="38"/>
        <v>224.9174498508774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6.0588235294117645</v>
      </c>
      <c r="BY17" s="13">
        <f>IF('Données projet'!$A$114&gt;35,BY16+BX17-CG16,IF(A17&lt;'Données projet'!$A$114,$BV$205^A17,IF(A17='Données projet'!$A$114,'Données projet'!$B$114,BY16+BX17-CG16)))</f>
        <v>45.460128149246948</v>
      </c>
      <c r="BZ17" s="14">
        <f>BY17*VLOOKUP('Données projet'!$B$12,Paramètres!$A$1:$I$89,3,0)*VLOOKUP('Données projet'!$B$12,Paramètres!$A$1:$I$89,5,0)</f>
        <v>27.185156633249676</v>
      </c>
      <c r="CA17" s="14">
        <f t="shared" si="39"/>
        <v>8.5295806188263423</v>
      </c>
      <c r="CB17" s="22">
        <f t="shared" si="10"/>
        <v>62.203167380699057</v>
      </c>
      <c r="CC17" s="62">
        <f t="shared" si="11"/>
        <v>335.98094515847686</v>
      </c>
      <c r="CD17" s="62">
        <f ca="1">AVERAGE(OFFSET($CC$3,0,0,'Données projet'!$E$12+1,1))-AVERAGE(OFFSET($H$3,0,0,'Données projet'!$E$12+1,1))</f>
        <v>288.65195492450403</v>
      </c>
      <c r="CE17" s="62">
        <f t="shared" si="40"/>
        <v>310.66800441693891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>
        <f>VLOOKUP(A17,'Données projet'!$A$139:$I$159,2,0)</f>
        <v>92</v>
      </c>
      <c r="CR17" s="13">
        <f>VLOOKUP(A17,'Données projet'!$A$139:$I$159,9,0)</f>
        <v>6.5714285714285712</v>
      </c>
      <c r="CS17" s="13">
        <f t="array" ref="CS17">INDEX(CR:CR,MIN(IF(ISNUMBER(CR17:CR213),ROW(CR17:CR213),"")))</f>
        <v>6.5714285714285712</v>
      </c>
      <c r="CT17" s="13">
        <f>IF('Données projet'!$A$140&gt;35,CT16+CS17-DB16,IF(A17&lt;'Données projet'!$A$140,$CQ$205^A17,IF(A17='Données projet'!$A$140,'Données projet'!$B$140,CT16+CS17-DB16)))</f>
        <v>92</v>
      </c>
      <c r="CU17" s="18">
        <f>CT17*VLOOKUP('Données projet'!$B$13,Paramètres!$A$1:$I$89,3,0)*VLOOKUP('Données projet'!$B$13,Paramètres!$A$1:$I$89,5,0)</f>
        <v>40.664000000000001</v>
      </c>
      <c r="CV17" s="14">
        <f t="shared" si="41"/>
        <v>12.174471190446148</v>
      </c>
      <c r="CW17" s="22">
        <f t="shared" si="13"/>
        <v>92.02700399002704</v>
      </c>
      <c r="CX17" s="62">
        <f t="shared" si="14"/>
        <v>365.8047817678048</v>
      </c>
      <c r="CY17" s="62">
        <f ca="1">AVERAGE(OFFSET($CX$3,0,0,'Données projet'!$E$13+1,1))-AVERAGE(OFFSET($H$3,0,0,'Données projet'!$E$13+1,1))</f>
        <v>572.6451446653349</v>
      </c>
      <c r="CZ17" s="62">
        <f t="shared" si="42"/>
        <v>389.15977992931374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3.65</v>
      </c>
      <c r="DO17" s="13">
        <f>IF('Données projet'!$A$166&gt;35,DO16+DN17-DW16,IF(A17&lt;'Données projet'!$A$166,$DL$205^A17,IF(A17='Données projet'!$A$166,'Données projet'!$B$166,DO16+DN17-DW16)))</f>
        <v>20.152364144963837</v>
      </c>
      <c r="DP17" s="18">
        <f>DO17*VLOOKUP('Données projet'!$B$14,Paramètres!$A$1:$I$89,3,0)*VLOOKUP('Données projet'!$B$14,Paramètres!$A$1:$I$89,5,0)</f>
        <v>16.976351555717539</v>
      </c>
      <c r="DQ17" s="14">
        <f t="shared" si="43"/>
        <v>5.6265546516016363</v>
      </c>
      <c r="DR17" s="22">
        <f t="shared" si="16"/>
        <v>39.366728311080898</v>
      </c>
      <c r="DS17" s="62">
        <f t="shared" si="17"/>
        <v>313.14450608885869</v>
      </c>
      <c r="DT17" s="62">
        <f ca="1">AVERAGE(OFFSET($DS$3,0,0,'Données projet'!$E$14+1,1))-AVERAGE(OFFSET($H$3,0,0,'Données projet'!$E$14+1,1))</f>
        <v>383.83934938682984</v>
      </c>
      <c r="DU17" s="62">
        <f t="shared" si="44"/>
        <v>223.93106361972281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276.07721264982155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415.89259563928869</v>
      </c>
      <c r="T18" s="62">
        <f t="shared" si="34"/>
        <v>240.19413322685813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37</v>
      </c>
      <c r="AG18" s="13">
        <f>VLOOKUP(A18,'Données projet'!$A$61:$I$81,9,0)</f>
        <v>2.4666666666666668</v>
      </c>
      <c r="AH18" s="13">
        <f t="array" ref="AH18">INDEX(AG:AG,MIN(IF(ISNUMBER(AG18:AG214),ROW(AG18:AG214),"")))</f>
        <v>2.4666666666666668</v>
      </c>
      <c r="AI18" s="14">
        <f>IF('Données projet'!$A$62&gt;35,AI17+AH18-AQ17,IF(A18&lt;'Données projet'!$A$62,$AF$205^A18,IF(A18='Données projet'!$A$62,'Données projet'!$B$62,AI17+AH18-AQ17)))</f>
        <v>37</v>
      </c>
      <c r="AJ18" s="14">
        <f>AI18*VLOOKUP('Données projet'!$B$10,Paramètres!$A$1:$I$89,3,0)*VLOOKUP('Données projet'!$B$10,Paramètres!$A$1:$I$89,5,0)</f>
        <v>24.2424</v>
      </c>
      <c r="AK18" s="14">
        <f t="shared" si="35"/>
        <v>7.7083792976822032</v>
      </c>
      <c r="AL18" s="22">
        <f t="shared" si="4"/>
        <v>55.647607276796499</v>
      </c>
      <c r="AM18" s="62">
        <f t="shared" si="5"/>
        <v>330.64760727679652</v>
      </c>
      <c r="AN18" s="62">
        <f ca="1">AVERAGE(OFFSET($AM$3,0,0,'Données projet'!$E$10+1,1))-AVERAGE(OFFSET($H$3,0,0,'Données projet'!$E$10+1,1))</f>
        <v>214.08705070588002</v>
      </c>
      <c r="AO18" s="62">
        <f t="shared" si="36"/>
        <v>251.33527585147152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4.3499999999999996</v>
      </c>
      <c r="BD18" s="13">
        <f>IF('Données projet'!$A$88&gt;35,BD17+BC18-BL17,IF(A18&lt;'Données projet'!$A$88,$BA$205^A18,IF(A18='Données projet'!$A$88,'Données projet'!$B$88,BD17+BC18-BL17)))</f>
        <v>28.48652273652797</v>
      </c>
      <c r="BE18" s="14">
        <f>BD18*VLOOKUP('Données projet'!$B$11,Paramètres!$A$1:$I$89,3,0)*VLOOKUP('Données projet'!$B$11,Paramètres!$A$1:$I$89,5,0)</f>
        <v>16.294291005293999</v>
      </c>
      <c r="BF18" s="14">
        <f t="shared" si="37"/>
        <v>5.4263350347533716</v>
      </c>
      <c r="BG18" s="22">
        <f t="shared" si="7"/>
        <v>37.830090353082504</v>
      </c>
      <c r="BH18" s="62">
        <f t="shared" si="8"/>
        <v>312.83009035308248</v>
      </c>
      <c r="BI18" s="62">
        <f ca="1">AVERAGE(OFFSET($BH$3,0,0,'Données projet'!$E$11+1,1))-AVERAGE(OFFSET($H$3,0,0,'Données projet'!$E$11+1,1))</f>
        <v>239.41486198585676</v>
      </c>
      <c r="BJ18" s="62">
        <f t="shared" si="38"/>
        <v>224.9174498508774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6.0588235294117645</v>
      </c>
      <c r="BY18" s="13">
        <f>IF('Données projet'!$A$114&gt;35,BY17+BX18-CG17,IF(A18&lt;'Données projet'!$A$114,$BV$205^A18,IF(A18='Données projet'!$A$114,'Données projet'!$B$114,BY17+BX18-CG17)))</f>
        <v>59.708044157024418</v>
      </c>
      <c r="BZ18" s="14">
        <f>BY18*VLOOKUP('Données projet'!$B$12,Paramètres!$A$1:$I$89,3,0)*VLOOKUP('Données projet'!$B$12,Paramètres!$A$1:$I$89,5,0)</f>
        <v>35.705410405900608</v>
      </c>
      <c r="CA18" s="14">
        <f t="shared" si="39"/>
        <v>10.852951273782441</v>
      </c>
      <c r="CB18" s="22">
        <f t="shared" si="10"/>
        <v>81.089146592114631</v>
      </c>
      <c r="CC18" s="62">
        <f t="shared" si="11"/>
        <v>356.08914659211462</v>
      </c>
      <c r="CD18" s="62">
        <f ca="1">AVERAGE(OFFSET($CC$3,0,0,'Données projet'!$E$12+1,1))-AVERAGE(OFFSET($H$3,0,0,'Données projet'!$E$12+1,1))</f>
        <v>288.65195492450403</v>
      </c>
      <c r="CE18" s="62">
        <f t="shared" si="40"/>
        <v>310.66800441693891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28.6</v>
      </c>
      <c r="CT18" s="13">
        <f>IF('Données projet'!$A$140&gt;35,CT17+CS18-DB17,IF(A18&lt;'Données projet'!$A$140,$CQ$205^A18,IF(A18='Données projet'!$A$140,'Données projet'!$B$140,CT17+CS18-DB17)))</f>
        <v>120.6</v>
      </c>
      <c r="CU18" s="18">
        <f>CT18*VLOOKUP('Données projet'!$B$13,Paramètres!$A$1:$I$89,3,0)*VLOOKUP('Données projet'!$B$13,Paramètres!$A$1:$I$89,5,0)</f>
        <v>53.305199999999999</v>
      </c>
      <c r="CV18" s="14">
        <f t="shared" si="41"/>
        <v>15.464136099117203</v>
      </c>
      <c r="CW18" s="22">
        <f t="shared" si="13"/>
        <v>119.77326037262911</v>
      </c>
      <c r="CX18" s="62">
        <f t="shared" si="14"/>
        <v>394.77326037262912</v>
      </c>
      <c r="CY18" s="62">
        <f ca="1">AVERAGE(OFFSET($CX$3,0,0,'Données projet'!$E$13+1,1))-AVERAGE(OFFSET($H$3,0,0,'Données projet'!$E$13+1,1))</f>
        <v>572.6451446653349</v>
      </c>
      <c r="CZ18" s="62">
        <f t="shared" si="42"/>
        <v>389.15977992931374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3.65</v>
      </c>
      <c r="DO18" s="13">
        <f>IF('Données projet'!$A$166&gt;35,DO17+DN18-DW17,IF(A18&lt;'Données projet'!$A$166,$DL$205^A18,IF(A18='Données projet'!$A$166,'Données projet'!$B$166,DO17+DN18-DW17)))</f>
        <v>24.974232188561476</v>
      </c>
      <c r="DP18" s="18">
        <f>DO18*VLOOKUP('Données projet'!$B$14,Paramètres!$A$1:$I$89,3,0)*VLOOKUP('Données projet'!$B$14,Paramètres!$A$1:$I$89,5,0)</f>
        <v>21.03829319564419</v>
      </c>
      <c r="DQ18" s="14">
        <f t="shared" si="43"/>
        <v>6.8008648676982615</v>
      </c>
      <c r="DR18" s="22">
        <f t="shared" si="16"/>
        <v>48.486533626988098</v>
      </c>
      <c r="DS18" s="62">
        <f t="shared" si="17"/>
        <v>323.48653362698809</v>
      </c>
      <c r="DT18" s="62">
        <f ca="1">AVERAGE(OFFSET($DS$3,0,0,'Données projet'!$E$14+1,1))-AVERAGE(OFFSET($H$3,0,0,'Données projet'!$E$14+1,1))</f>
        <v>383.83934938682984</v>
      </c>
      <c r="DU18" s="62">
        <f t="shared" si="44"/>
        <v>223.93106361972281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277.33016575790663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415.89259563928869</v>
      </c>
      <c r="T19" s="62">
        <f t="shared" si="34"/>
        <v>240.19413322685813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11.6</v>
      </c>
      <c r="AI19" s="14">
        <f>IF('Données projet'!$A$62&gt;35,AI18+AH19-AQ18,IF(A19&lt;'Données projet'!$A$62,$AF$205^A19,IF(A19='Données projet'!$A$62,'Données projet'!$B$62,AI18+AH19-AQ18)))</f>
        <v>48.6</v>
      </c>
      <c r="AJ19" s="14">
        <f>AI19*VLOOKUP('Données projet'!$B$10,Paramètres!$A$1:$I$89,3,0)*VLOOKUP('Données projet'!$B$10,Paramètres!$A$1:$I$89,5,0)</f>
        <v>31.84272</v>
      </c>
      <c r="AK19" s="14">
        <f t="shared" si="35"/>
        <v>9.8087087787373655</v>
      </c>
      <c r="AL19" s="22">
        <f t="shared" si="4"/>
        <v>72.542905122967582</v>
      </c>
      <c r="AM19" s="62">
        <f t="shared" si="5"/>
        <v>348.7651273451898</v>
      </c>
      <c r="AN19" s="62">
        <f ca="1">AVERAGE(OFFSET($AM$3,0,0,'Données projet'!$E$10+1,1))-AVERAGE(OFFSET($H$3,0,0,'Données projet'!$E$10+1,1))</f>
        <v>214.08705070588002</v>
      </c>
      <c r="AO19" s="62">
        <f t="shared" si="36"/>
        <v>251.33527585147152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4.3499999999999996</v>
      </c>
      <c r="BD19" s="13">
        <f>IF('Données projet'!$A$88&gt;35,BD18+BC19-BL18,IF(A19&lt;'Données projet'!$A$88,$BA$205^A19,IF(A19='Données projet'!$A$88,'Données projet'!$B$88,BD18+BC19-BL18)))</f>
        <v>35.613561093793514</v>
      </c>
      <c r="BE19" s="14">
        <f>BD19*VLOOKUP('Données projet'!$B$11,Paramètres!$A$1:$I$89,3,0)*VLOOKUP('Données projet'!$B$11,Paramètres!$A$1:$I$89,5,0)</f>
        <v>20.37095694564989</v>
      </c>
      <c r="BF19" s="14">
        <f t="shared" si="37"/>
        <v>6.6098950692346214</v>
      </c>
      <c r="BG19" s="22">
        <f t="shared" si="7"/>
        <v>46.991650592590524</v>
      </c>
      <c r="BH19" s="62">
        <f t="shared" si="8"/>
        <v>323.21387281481276</v>
      </c>
      <c r="BI19" s="62">
        <f ca="1">AVERAGE(OFFSET($BH$3,0,0,'Données projet'!$E$11+1,1))-AVERAGE(OFFSET($H$3,0,0,'Données projet'!$E$11+1,1))</f>
        <v>239.41486198585676</v>
      </c>
      <c r="BJ19" s="62">
        <f t="shared" si="38"/>
        <v>224.9174498508774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6.0588235294117645</v>
      </c>
      <c r="BY19" s="13">
        <f>IF('Données projet'!$A$114&gt;35,BY18+BX19-CG18,IF(A19&lt;'Données projet'!$A$114,$BV$205^A19,IF(A19='Données projet'!$A$114,'Données projet'!$B$114,BY18+BX19-CG18)))</f>
        <v>78.42148014526073</v>
      </c>
      <c r="BZ19" s="14">
        <f>BY19*VLOOKUP('Données projet'!$B$12,Paramètres!$A$1:$I$89,3,0)*VLOOKUP('Données projet'!$B$12,Paramètres!$A$1:$I$89,5,0)</f>
        <v>46.896045126865928</v>
      </c>
      <c r="CA19" s="14">
        <f t="shared" si="39"/>
        <v>13.809184368469356</v>
      </c>
      <c r="CB19" s="22">
        <f t="shared" si="10"/>
        <v>105.72827470437562</v>
      </c>
      <c r="CC19" s="62">
        <f t="shared" si="11"/>
        <v>381.95049692659785</v>
      </c>
      <c r="CD19" s="62">
        <f ca="1">AVERAGE(OFFSET($CC$3,0,0,'Données projet'!$E$12+1,1))-AVERAGE(OFFSET($H$3,0,0,'Données projet'!$E$12+1,1))</f>
        <v>288.65195492450403</v>
      </c>
      <c r="CE19" s="62">
        <f t="shared" si="40"/>
        <v>310.66800441693891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28.6</v>
      </c>
      <c r="CT19" s="13">
        <f>IF('Données projet'!$A$140&gt;35,CT18+CS19-DB18,IF(A19&lt;'Données projet'!$A$140,$CQ$205^A19,IF(A19='Données projet'!$A$140,'Données projet'!$B$140,CT18+CS19-DB18)))</f>
        <v>149.19999999999999</v>
      </c>
      <c r="CU19" s="18">
        <f>CT19*VLOOKUP('Données projet'!$B$13,Paramètres!$A$1:$I$89,3,0)*VLOOKUP('Données projet'!$B$13,Paramètres!$A$1:$I$89,5,0)</f>
        <v>65.946400000000011</v>
      </c>
      <c r="CV19" s="14">
        <f t="shared" si="41"/>
        <v>18.663337691517388</v>
      </c>
      <c r="CW19" s="22">
        <f t="shared" si="13"/>
        <v>147.36195981272613</v>
      </c>
      <c r="CX19" s="62">
        <f t="shared" si="14"/>
        <v>423.58418203494836</v>
      </c>
      <c r="CY19" s="62">
        <f ca="1">AVERAGE(OFFSET($CX$3,0,0,'Données projet'!$E$13+1,1))-AVERAGE(OFFSET($H$3,0,0,'Données projet'!$E$13+1,1))</f>
        <v>572.6451446653349</v>
      </c>
      <c r="CZ19" s="62">
        <f t="shared" si="42"/>
        <v>389.15977992931374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3.65</v>
      </c>
      <c r="DO19" s="13">
        <f>IF('Données projet'!$A$166&gt;35,DO18+DN19-DW18,IF(A19&lt;'Données projet'!$A$166,$DL$205^A19,IF(A19='Données projet'!$A$166,'Données projet'!$B$166,DO18+DN19-DW18)))</f>
        <v>30.949831440200953</v>
      </c>
      <c r="DP19" s="18">
        <f>DO19*VLOOKUP('Données projet'!$B$14,Paramètres!$A$1:$I$89,3,0)*VLOOKUP('Données projet'!$B$14,Paramètres!$A$1:$I$89,5,0)</f>
        <v>26.072138005225284</v>
      </c>
      <c r="DQ19" s="14">
        <f t="shared" si="43"/>
        <v>8.2202636982343371</v>
      </c>
      <c r="DR19" s="22">
        <f t="shared" si="16"/>
        <v>59.725932966858835</v>
      </c>
      <c r="DS19" s="62">
        <f t="shared" si="17"/>
        <v>335.94815518908104</v>
      </c>
      <c r="DT19" s="62">
        <f ca="1">AVERAGE(OFFSET($DS$3,0,0,'Données projet'!$E$14+1,1))-AVERAGE(OFFSET($H$3,0,0,'Données projet'!$E$14+1,1))</f>
        <v>383.83934938682984</v>
      </c>
      <c r="DU19" s="62">
        <f t="shared" si="44"/>
        <v>223.93106361972281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278.58092826076489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415.89259563928869</v>
      </c>
      <c r="T20" s="62">
        <f t="shared" si="34"/>
        <v>240.19413322685813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11.6</v>
      </c>
      <c r="AI20" s="14">
        <f>IF('Données projet'!$A$62&gt;35,AI19+AH20-AQ19,IF(A20&lt;'Données projet'!$A$62,$AF$205^A20,IF(A20='Données projet'!$A$62,'Données projet'!$B$62,AI19+AH20-AQ19)))</f>
        <v>60.2</v>
      </c>
      <c r="AJ20" s="14">
        <f>AI20*VLOOKUP('Données projet'!$B$10,Paramètres!$A$1:$I$89,3,0)*VLOOKUP('Données projet'!$B$10,Paramètres!$A$1:$I$89,5,0)</f>
        <v>39.443039999999996</v>
      </c>
      <c r="AK20" s="14">
        <f t="shared" si="35"/>
        <v>11.850904343164059</v>
      </c>
      <c r="AL20" s="22">
        <f t="shared" si="4"/>
        <v>89.336953064344058</v>
      </c>
      <c r="AM20" s="62">
        <f t="shared" si="5"/>
        <v>366.78139750878853</v>
      </c>
      <c r="AN20" s="62">
        <f ca="1">AVERAGE(OFFSET($AM$3,0,0,'Données projet'!$E$10+1,1))-AVERAGE(OFFSET($H$3,0,0,'Données projet'!$E$10+1,1))</f>
        <v>214.08705070588002</v>
      </c>
      <c r="AO20" s="62">
        <f t="shared" si="36"/>
        <v>251.33527585147152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4.3499999999999996</v>
      </c>
      <c r="BD20" s="13">
        <f>IF('Données projet'!$A$88&gt;35,BD19+BC20-BL19,IF(A20&lt;'Données projet'!$A$88,$BA$205^A20,IF(A20='Données projet'!$A$88,'Données projet'!$B$88,BD19+BC20-BL19)))</f>
        <v>44.523711985211953</v>
      </c>
      <c r="BE20" s="14">
        <f>BD20*VLOOKUP('Données projet'!$B$11,Paramètres!$A$1:$I$89,3,0)*VLOOKUP('Données projet'!$B$11,Paramètres!$A$1:$I$89,5,0)</f>
        <v>25.46756325554124</v>
      </c>
      <c r="BF20" s="14">
        <f t="shared" si="37"/>
        <v>8.0516062031687525</v>
      </c>
      <c r="BG20" s="22">
        <f t="shared" si="7"/>
        <v>58.379220140586568</v>
      </c>
      <c r="BH20" s="62">
        <f t="shared" si="8"/>
        <v>335.823664585031</v>
      </c>
      <c r="BI20" s="62">
        <f ca="1">AVERAGE(OFFSET($BH$3,0,0,'Données projet'!$E$11+1,1))-AVERAGE(OFFSET($H$3,0,0,'Données projet'!$E$11+1,1))</f>
        <v>239.41486198585676</v>
      </c>
      <c r="BJ20" s="62">
        <f t="shared" si="38"/>
        <v>224.9174498508774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>
        <f>VLOOKUP(A20,'Données projet'!$A$113:$I$133,2,0)</f>
        <v>103</v>
      </c>
      <c r="BW20" s="13">
        <f>VLOOKUP(A20,'Données projet'!$A$113:$I$133,9,0)</f>
        <v>6.0588235294117645</v>
      </c>
      <c r="BX20" s="13">
        <f t="array" ref="BX20">INDEX(BW:BW,MIN(IF(ISNUMBER(BW20:BW216),ROW(BW20:BW216),"")))</f>
        <v>6.0588235294117645</v>
      </c>
      <c r="BY20" s="13">
        <f>IF('Données projet'!$A$114&gt;35,BY19+BX20-CG19,IF(A20&lt;'Données projet'!$A$114,$BV$205^A20,IF(A20='Données projet'!$A$114,'Données projet'!$B$114,BY19+BX20-CG19)))</f>
        <v>103</v>
      </c>
      <c r="BZ20" s="14">
        <f>BY20*VLOOKUP('Données projet'!$B$12,Paramètres!$A$1:$I$89,3,0)*VLOOKUP('Données projet'!$B$12,Paramètres!$A$1:$I$89,5,0)</f>
        <v>61.594000000000008</v>
      </c>
      <c r="CA20" s="14">
        <f t="shared" si="39"/>
        <v>17.570665168564613</v>
      </c>
      <c r="CB20" s="22">
        <f t="shared" si="10"/>
        <v>137.8784585019167</v>
      </c>
      <c r="CC20" s="62">
        <f t="shared" si="11"/>
        <v>415.32290294636118</v>
      </c>
      <c r="CD20" s="62">
        <f ca="1">AVERAGE(OFFSET($CC$3,0,0,'Données projet'!$E$12+1,1))-AVERAGE(OFFSET($H$3,0,0,'Données projet'!$E$12+1,1))</f>
        <v>288.65195492450403</v>
      </c>
      <c r="CE20" s="62">
        <f t="shared" si="40"/>
        <v>310.66800441693891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28.6</v>
      </c>
      <c r="CT20" s="13">
        <f>IF('Données projet'!$A$140&gt;35,CT19+CS20-DB19,IF(A20&lt;'Données projet'!$A$140,$CQ$205^A20,IF(A20='Données projet'!$A$140,'Données projet'!$B$140,CT19+CS20-DB19)))</f>
        <v>177.79999999999998</v>
      </c>
      <c r="CU20" s="18">
        <f>CT20*VLOOKUP('Données projet'!$B$13,Paramètres!$A$1:$I$89,3,0)*VLOOKUP('Données projet'!$B$13,Paramètres!$A$1:$I$89,5,0)</f>
        <v>78.587599999999995</v>
      </c>
      <c r="CV20" s="14">
        <f t="shared" si="41"/>
        <v>21.791487789449747</v>
      </c>
      <c r="CW20" s="22">
        <f t="shared" si="13"/>
        <v>174.82691123329161</v>
      </c>
      <c r="CX20" s="62">
        <f t="shared" si="14"/>
        <v>452.2713556777361</v>
      </c>
      <c r="CY20" s="62">
        <f ca="1">AVERAGE(OFFSET($CX$3,0,0,'Données projet'!$E$13+1,1))-AVERAGE(OFFSET($H$3,0,0,'Données projet'!$E$13+1,1))</f>
        <v>572.6451446653349</v>
      </c>
      <c r="CZ20" s="62">
        <f t="shared" si="42"/>
        <v>389.15977992931374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3.65</v>
      </c>
      <c r="DO20" s="13">
        <f>IF('Données projet'!$A$166&gt;35,DO19+DN20-DW19,IF(A20&lt;'Données projet'!$A$166,$DL$205^A20,IF(A20='Données projet'!$A$166,'Données projet'!$B$166,DO19+DN20-DW19)))</f>
        <v>38.355215845858055</v>
      </c>
      <c r="DP20" s="18">
        <f>DO20*VLOOKUP('Données projet'!$B$14,Paramètres!$A$1:$I$89,3,0)*VLOOKUP('Données projet'!$B$14,Paramètres!$A$1:$I$89,5,0)</f>
        <v>32.310433828550828</v>
      </c>
      <c r="DQ20" s="14">
        <f t="shared" si="43"/>
        <v>9.9359032392271498</v>
      </c>
      <c r="DR20" s="22">
        <f t="shared" si="16"/>
        <v>73.579037059713301</v>
      </c>
      <c r="DS20" s="62">
        <f t="shared" si="17"/>
        <v>351.02348150415776</v>
      </c>
      <c r="DT20" s="62">
        <f ca="1">AVERAGE(OFFSET($DS$3,0,0,'Données projet'!$E$14+1,1))-AVERAGE(OFFSET($H$3,0,0,'Données projet'!$E$14+1,1))</f>
        <v>383.83934938682984</v>
      </c>
      <c r="DU20" s="62">
        <f t="shared" si="44"/>
        <v>223.93106361972281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279.82964369567594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415.89259563928869</v>
      </c>
      <c r="T21" s="62">
        <f t="shared" si="34"/>
        <v>240.19413322685813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11.6</v>
      </c>
      <c r="AI21" s="14">
        <f>IF('Données projet'!$A$62&gt;35,AI20+AH21-AQ20,IF(A21&lt;'Données projet'!$A$62,$AF$205^A21,IF(A21='Données projet'!$A$62,'Données projet'!$B$62,AI20+AH21-AQ20)))</f>
        <v>71.8</v>
      </c>
      <c r="AJ21" s="14">
        <f>AI21*VLOOKUP('Données projet'!$B$10,Paramètres!$A$1:$I$89,3,0)*VLOOKUP('Données projet'!$B$10,Paramètres!$A$1:$I$89,5,0)</f>
        <v>47.04336</v>
      </c>
      <c r="AK21" s="14">
        <f t="shared" si="35"/>
        <v>13.847506953649479</v>
      </c>
      <c r="AL21" s="22">
        <f t="shared" si="4"/>
        <v>106.05159327760617</v>
      </c>
      <c r="AM21" s="62">
        <f t="shared" si="5"/>
        <v>384.71825994427286</v>
      </c>
      <c r="AN21" s="62">
        <f ca="1">AVERAGE(OFFSET($AM$3,0,0,'Données projet'!$E$10+1,1))-AVERAGE(OFFSET($H$3,0,0,'Données projet'!$E$10+1,1))</f>
        <v>214.08705070588002</v>
      </c>
      <c r="AO21" s="62">
        <f t="shared" si="36"/>
        <v>251.33527585147152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4.3499999999999996</v>
      </c>
      <c r="BD21" s="13">
        <f>IF('Données projet'!$A$88&gt;35,BD20+BC21-BL20,IF(A21&lt;'Données projet'!$A$88,$BA$205^A21,IF(A21='Données projet'!$A$88,'Données projet'!$B$88,BD20+BC21-BL20)))</f>
        <v>55.663092037363775</v>
      </c>
      <c r="BE21" s="14">
        <f>BD21*VLOOKUP('Données projet'!$B$11,Paramètres!$A$1:$I$89,3,0)*VLOOKUP('Données projet'!$B$11,Paramètres!$A$1:$I$89,5,0)</f>
        <v>31.839288645372083</v>
      </c>
      <c r="BF21" s="14">
        <f t="shared" si="37"/>
        <v>9.8077748242397096</v>
      </c>
      <c r="BG21" s="22">
        <f t="shared" si="7"/>
        <v>72.535302209573871</v>
      </c>
      <c r="BH21" s="62">
        <f t="shared" si="8"/>
        <v>351.20196887624058</v>
      </c>
      <c r="BI21" s="62">
        <f ca="1">AVERAGE(OFFSET($BH$3,0,0,'Données projet'!$E$11+1,1))-AVERAGE(OFFSET($H$3,0,0,'Données projet'!$E$11+1,1))</f>
        <v>239.41486198585676</v>
      </c>
      <c r="BJ21" s="62">
        <f t="shared" si="38"/>
        <v>224.9174498508774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11.333333333333334</v>
      </c>
      <c r="BY21" s="13">
        <f>IF('Données projet'!$A$114&gt;35,BY20+BX21-CG20,IF(A21&lt;'Données projet'!$A$114,$BV$205^A21,IF(A21='Données projet'!$A$114,'Données projet'!$B$114,BY20+BX21-CG20)))</f>
        <v>114.33333333333333</v>
      </c>
      <c r="BZ21" s="14">
        <f>BY21*VLOOKUP('Données projet'!$B$12,Paramètres!$A$1:$I$89,3,0)*VLOOKUP('Données projet'!$B$12,Paramètres!$A$1:$I$89,5,0)</f>
        <v>68.37133333333334</v>
      </c>
      <c r="CA21" s="14">
        <f t="shared" si="39"/>
        <v>19.268449754335993</v>
      </c>
      <c r="CB21" s="22">
        <f t="shared" si="10"/>
        <v>152.63928887769075</v>
      </c>
      <c r="CC21" s="62">
        <f t="shared" si="11"/>
        <v>431.3059555443574</v>
      </c>
      <c r="CD21" s="62">
        <f ca="1">AVERAGE(OFFSET($CC$3,0,0,'Données projet'!$E$12+1,1))-AVERAGE(OFFSET($H$3,0,0,'Données projet'!$E$12+1,1))</f>
        <v>288.65195492450403</v>
      </c>
      <c r="CE21" s="62">
        <f t="shared" si="40"/>
        <v>310.66800441693891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28.6</v>
      </c>
      <c r="CT21" s="13">
        <f>IF('Données projet'!$A$140&gt;35,CT20+CS21-DB20,IF(A21&lt;'Données projet'!$A$140,$CQ$205^A21,IF(A21='Données projet'!$A$140,'Données projet'!$B$140,CT20+CS21-DB20)))</f>
        <v>206.39999999999998</v>
      </c>
      <c r="CU21" s="18">
        <f>CT21*VLOOKUP('Données projet'!$B$13,Paramètres!$A$1:$I$89,3,0)*VLOOKUP('Données projet'!$B$13,Paramètres!$A$1:$I$89,5,0)</f>
        <v>91.228800000000007</v>
      </c>
      <c r="CV21" s="14">
        <f t="shared" si="41"/>
        <v>24.861347660040302</v>
      </c>
      <c r="CW21" s="22">
        <f t="shared" si="13"/>
        <v>202.19034050790356</v>
      </c>
      <c r="CX21" s="62">
        <f t="shared" si="14"/>
        <v>480.85700717457024</v>
      </c>
      <c r="CY21" s="62">
        <f ca="1">AVERAGE(OFFSET($CX$3,0,0,'Données projet'!$E$13+1,1))-AVERAGE(OFFSET($H$3,0,0,'Données projet'!$E$13+1,1))</f>
        <v>572.6451446653349</v>
      </c>
      <c r="CZ21" s="62">
        <f t="shared" si="42"/>
        <v>389.15977992931374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3.65</v>
      </c>
      <c r="DO21" s="13">
        <f>IF('Données projet'!$A$166&gt;35,DO20+DN21-DW20,IF(A21&lt;'Données projet'!$A$166,$DL$205^A21,IF(A21='Données projet'!$A$166,'Données projet'!$B$166,DO20+DN21-DW20)))</f>
        <v>47.532490941824946</v>
      </c>
      <c r="DP21" s="18">
        <f>DO21*VLOOKUP('Données projet'!$B$14,Paramètres!$A$1:$I$89,3,0)*VLOOKUP('Données projet'!$B$14,Paramètres!$A$1:$I$89,5,0)</f>
        <v>40.041370369393334</v>
      </c>
      <c r="DQ21" s="14">
        <f t="shared" si="43"/>
        <v>12.009611467876571</v>
      </c>
      <c r="DR21" s="22">
        <f t="shared" si="16"/>
        <v>90.655460033245092</v>
      </c>
      <c r="DS21" s="62">
        <f t="shared" si="17"/>
        <v>369.32212669991179</v>
      </c>
      <c r="DT21" s="62">
        <f ca="1">AVERAGE(OFFSET($DS$3,0,0,'Données projet'!$E$14+1,1))-AVERAGE(OFFSET($H$3,0,0,'Données projet'!$E$14+1,1))</f>
        <v>383.83934938682984</v>
      </c>
      <c r="DU21" s="62">
        <f t="shared" si="44"/>
        <v>223.93106361972281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281.07643875057323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415.89259563928869</v>
      </c>
      <c r="T22" s="62">
        <f t="shared" si="34"/>
        <v>240.19413322685813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11.6</v>
      </c>
      <c r="AI22" s="14">
        <f>IF('Données projet'!$A$62&gt;35,AI21+AH22-AQ21,IF(A22&lt;'Données projet'!$A$62,$AF$205^A22,IF(A22='Données projet'!$A$62,'Données projet'!$B$62,AI21+AH22-AQ21)))</f>
        <v>83.399999999999991</v>
      </c>
      <c r="AJ22" s="14">
        <f>AI22*VLOOKUP('Données projet'!$B$10,Paramètres!$A$1:$I$89,3,0)*VLOOKUP('Données projet'!$B$10,Paramètres!$A$1:$I$89,5,0)</f>
        <v>54.643679999999989</v>
      </c>
      <c r="AK22" s="14">
        <f t="shared" si="35"/>
        <v>15.806741657278613</v>
      </c>
      <c r="AL22" s="22">
        <f t="shared" si="4"/>
        <v>122.70115105309355</v>
      </c>
      <c r="AM22" s="62">
        <f t="shared" si="5"/>
        <v>402.59003994198241</v>
      </c>
      <c r="AN22" s="62">
        <f ca="1">AVERAGE(OFFSET($AM$3,0,0,'Données projet'!$E$10+1,1))-AVERAGE(OFFSET($H$3,0,0,'Données projet'!$E$10+1,1))</f>
        <v>214.08705070588002</v>
      </c>
      <c r="AO22" s="62">
        <f t="shared" si="36"/>
        <v>251.33527585147152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4.3499999999999996</v>
      </c>
      <c r="BD22" s="13">
        <f>IF('Données projet'!$A$88&gt;35,BD21+BC22-BL21,IF(A22&lt;'Données projet'!$A$88,$BA$205^A22,IF(A22='Données projet'!$A$88,'Données projet'!$B$88,BD21+BC22-BL21)))</f>
        <v>69.589431720992238</v>
      </c>
      <c r="BE22" s="14">
        <f>BD22*VLOOKUP('Données projet'!$B$11,Paramètres!$A$1:$I$89,3,0)*VLOOKUP('Données projet'!$B$11,Paramètres!$A$1:$I$89,5,0)</f>
        <v>39.805154944407562</v>
      </c>
      <c r="BF22" s="14">
        <f t="shared" si="37"/>
        <v>11.946988535670462</v>
      </c>
      <c r="BG22" s="22">
        <f t="shared" si="7"/>
        <v>90.13498322780255</v>
      </c>
      <c r="BH22" s="62">
        <f t="shared" si="8"/>
        <v>370.02387211669139</v>
      </c>
      <c r="BI22" s="62">
        <f ca="1">AVERAGE(OFFSET($BH$3,0,0,'Données projet'!$E$11+1,1))-AVERAGE(OFFSET($H$3,0,0,'Données projet'!$E$11+1,1))</f>
        <v>239.41486198585676</v>
      </c>
      <c r="BJ22" s="62">
        <f t="shared" si="38"/>
        <v>224.9174498508774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11.333333333333334</v>
      </c>
      <c r="BY22" s="13">
        <f>IF('Données projet'!$A$114&gt;35,BY21+BX22-CG21,IF(A22&lt;'Données projet'!$A$114,$BV$205^A22,IF(A22='Données projet'!$A$114,'Données projet'!$B$114,BY21+BX22-CG21)))</f>
        <v>125.66666666666666</v>
      </c>
      <c r="BZ22" s="14">
        <f>BY22*VLOOKUP('Données projet'!$B$12,Paramètres!$A$1:$I$89,3,0)*VLOOKUP('Données projet'!$B$12,Paramètres!$A$1:$I$89,5,0)</f>
        <v>75.148666666666671</v>
      </c>
      <c r="CA22" s="14">
        <f t="shared" si="39"/>
        <v>20.946723857947624</v>
      </c>
      <c r="CB22" s="22">
        <f t="shared" si="10"/>
        <v>167.36613849703656</v>
      </c>
      <c r="CC22" s="62">
        <f t="shared" si="11"/>
        <v>447.25502738592542</v>
      </c>
      <c r="CD22" s="62">
        <f ca="1">AVERAGE(OFFSET($CC$3,0,0,'Données projet'!$E$12+1,1))-AVERAGE(OFFSET($H$3,0,0,'Données projet'!$E$12+1,1))</f>
        <v>288.65195492450403</v>
      </c>
      <c r="CE22" s="62">
        <f t="shared" si="40"/>
        <v>310.66800441693891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>
        <f>VLOOKUP(A22,'Données projet'!$A$139:$I$159,2,0)</f>
        <v>235</v>
      </c>
      <c r="CR22" s="13">
        <f>VLOOKUP(A22,'Données projet'!$A$139:$I$159,9,0)</f>
        <v>28.6</v>
      </c>
      <c r="CS22" s="13">
        <f t="array" ref="CS22">INDEX(CR:CR,MIN(IF(ISNUMBER(CR22:CR218),ROW(CR22:CR218),"")))</f>
        <v>28.6</v>
      </c>
      <c r="CT22" s="13">
        <f>IF('Données projet'!$A$140&gt;35,CT21+CS22-DB21,IF(A22&lt;'Données projet'!$A$140,$CQ$205^A22,IF(A22='Données projet'!$A$140,'Données projet'!$B$140,CT21+CS22-DB21)))</f>
        <v>234.99999999999997</v>
      </c>
      <c r="CU22" s="18">
        <f>CT22*VLOOKUP('Données projet'!$B$13,Paramètres!$A$1:$I$89,3,0)*VLOOKUP('Données projet'!$B$13,Paramètres!$A$1:$I$89,5,0)</f>
        <v>103.86999999999999</v>
      </c>
      <c r="CV22" s="14">
        <f t="shared" si="41"/>
        <v>27.881924391426956</v>
      </c>
      <c r="CW22" s="22">
        <f t="shared" si="13"/>
        <v>229.46793498173523</v>
      </c>
      <c r="CX22" s="62">
        <f t="shared" si="14"/>
        <v>509.35682387062411</v>
      </c>
      <c r="CY22" s="62">
        <f ca="1">AVERAGE(OFFSET($CX$3,0,0,'Données projet'!$E$13+1,1))-AVERAGE(OFFSET($H$3,0,0,'Données projet'!$E$13+1,1))</f>
        <v>572.6451446653349</v>
      </c>
      <c r="CZ22" s="62">
        <f t="shared" si="42"/>
        <v>389.15977992931374</v>
      </c>
      <c r="DA22" s="16">
        <f>IF(ISNA(VLOOKUP(A22,'Données projet'!$A$139:$I$159,3,0)),0,VLOOKUP(A22,'Données projet'!$A$139:$I$159,3,0))</f>
        <v>1</v>
      </c>
      <c r="DB22" s="16">
        <f>IF(ISNA(VLOOKUP(A22,'Données projet'!$A$139:$I$159,4,0)),0,VLOOKUP(A22,'Données projet'!$A$139:$I$159,4,0))</f>
        <v>105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3.65</v>
      </c>
      <c r="DO22" s="13">
        <f>IF('Données projet'!$A$166&gt;35,DO21+DN22-DW21,IF(A22&lt;'Données projet'!$A$166,$DL$205^A22,IF(A22='Données projet'!$A$166,'Données projet'!$B$166,DO21+DN22-DW21)))</f>
        <v>58.90561805764559</v>
      </c>
      <c r="DP22" s="18">
        <f>DO22*VLOOKUP('Données projet'!$B$14,Paramètres!$A$1:$I$89,3,0)*VLOOKUP('Données projet'!$B$14,Paramètres!$A$1:$I$89,5,0)</f>
        <v>49.622092651760646</v>
      </c>
      <c r="DQ22" s="14">
        <f t="shared" si="43"/>
        <v>14.516120390537463</v>
      </c>
      <c r="DR22" s="22">
        <f t="shared" si="16"/>
        <v>111.70738771533587</v>
      </c>
      <c r="DS22" s="62">
        <f t="shared" si="17"/>
        <v>391.59627660422473</v>
      </c>
      <c r="DT22" s="62">
        <f ca="1">AVERAGE(OFFSET($DS$3,0,0,'Données projet'!$E$14+1,1))-AVERAGE(OFFSET($H$3,0,0,'Données projet'!$E$14+1,1))</f>
        <v>383.83934938682984</v>
      </c>
      <c r="DU22" s="62">
        <f t="shared" si="44"/>
        <v>223.93106361972281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282.32142602462875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415.89259563928869</v>
      </c>
      <c r="T23" s="62">
        <f t="shared" si="34"/>
        <v>240.19413322685813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95</v>
      </c>
      <c r="AG23" s="13">
        <f>VLOOKUP(A23,'Données projet'!$A$61:$I$81,9,0)</f>
        <v>11.6</v>
      </c>
      <c r="AH23" s="13">
        <f t="array" ref="AH23">INDEX(AG:AG,MIN(IF(ISNUMBER(AG23:AG219),ROW(AG23:AG219),"")))</f>
        <v>11.6</v>
      </c>
      <c r="AI23" s="14">
        <f>IF('Données projet'!$A$62&gt;35,AI22+AH23-AQ22,IF(A23&lt;'Données projet'!$A$62,$AF$205^A23,IF(A23='Données projet'!$A$62,'Données projet'!$B$62,AI22+AH23-AQ22)))</f>
        <v>94.999999999999986</v>
      </c>
      <c r="AJ23" s="14">
        <f>AI23*VLOOKUP('Données projet'!$B$10,Paramètres!$A$1:$I$89,3,0)*VLOOKUP('Données projet'!$B$10,Paramètres!$A$1:$I$89,5,0)</f>
        <v>62.243999999999986</v>
      </c>
      <c r="AK23" s="14">
        <f t="shared" si="35"/>
        <v>17.734404526076432</v>
      </c>
      <c r="AL23" s="22">
        <f t="shared" si="4"/>
        <v>139.29572121624975</v>
      </c>
      <c r="AM23" s="62">
        <f t="shared" si="5"/>
        <v>420.40683232736092</v>
      </c>
      <c r="AN23" s="62">
        <f ca="1">AVERAGE(OFFSET($AM$3,0,0,'Données projet'!$E$10+1,1))-AVERAGE(OFFSET($H$3,0,0,'Données projet'!$E$10+1,1))</f>
        <v>214.08705070588002</v>
      </c>
      <c r="AO23" s="62">
        <f t="shared" si="36"/>
        <v>251.33527585147152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43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87</v>
      </c>
      <c r="BB23" s="13">
        <f>VLOOKUP(A23,'Données projet'!$A$87:$I$107,9,0)</f>
        <v>4.3499999999999996</v>
      </c>
      <c r="BC23" s="13">
        <f t="array" ref="BC23">INDEX(BB:BB,MIN(IF(ISNUMBER(BB23:BB219),ROW(BB23:BB219),"")))</f>
        <v>4.3499999999999996</v>
      </c>
      <c r="BD23" s="13">
        <f>IF('Données projet'!$A$88&gt;35,BD22+BC23-BL22,IF(A23&lt;'Données projet'!$A$88,$BA$205^A23,IF(A23='Données projet'!$A$88,'Données projet'!$B$88,BD22+BC23-BL22)))</f>
        <v>87</v>
      </c>
      <c r="BE23" s="14">
        <f>BD23*VLOOKUP('Données projet'!$B$11,Paramètres!$A$1:$I$89,3,0)*VLOOKUP('Données projet'!$B$11,Paramètres!$A$1:$I$89,5,0)</f>
        <v>49.764000000000003</v>
      </c>
      <c r="BF23" s="14">
        <f t="shared" si="37"/>
        <v>14.552794862162434</v>
      </c>
      <c r="BG23" s="22">
        <f t="shared" si="7"/>
        <v>112.01841771826624</v>
      </c>
      <c r="BH23" s="62">
        <f t="shared" si="8"/>
        <v>393.12952882937736</v>
      </c>
      <c r="BI23" s="62">
        <f ca="1">AVERAGE(OFFSET($BH$3,0,0,'Données projet'!$E$11+1,1))-AVERAGE(OFFSET($H$3,0,0,'Données projet'!$E$11+1,1))</f>
        <v>239.41486198585676</v>
      </c>
      <c r="BJ23" s="62">
        <f t="shared" si="38"/>
        <v>224.9174498508774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137</v>
      </c>
      <c r="BW23" s="13">
        <f>VLOOKUP(A23,'Données projet'!$A$113:$I$133,9,0)</f>
        <v>11.333333333333334</v>
      </c>
      <c r="BX23" s="13">
        <f t="array" ref="BX23">INDEX(BW:BW,MIN(IF(ISNUMBER(BW23:BW219),ROW(BW23:BW219),"")))</f>
        <v>11.333333333333334</v>
      </c>
      <c r="BY23" s="13">
        <f>IF('Données projet'!$A$114&gt;35,BY22+BX23-CG22,IF(A23&lt;'Données projet'!$A$114,$BV$205^A23,IF(A23='Données projet'!$A$114,'Données projet'!$B$114,BY22+BX23-CG22)))</f>
        <v>137</v>
      </c>
      <c r="BZ23" s="14">
        <f>BY23*VLOOKUP('Données projet'!$B$12,Paramètres!$A$1:$I$89,3,0)*VLOOKUP('Données projet'!$B$12,Paramètres!$A$1:$I$89,5,0)</f>
        <v>81.926000000000002</v>
      </c>
      <c r="CA23" s="14">
        <f t="shared" si="39"/>
        <v>22.607447146245146</v>
      </c>
      <c r="CB23" s="22">
        <f t="shared" si="10"/>
        <v>182.06242044637693</v>
      </c>
      <c r="CC23" s="62">
        <f t="shared" si="11"/>
        <v>463.1735315574881</v>
      </c>
      <c r="CD23" s="62">
        <f ca="1">AVERAGE(OFFSET($CC$3,0,0,'Données projet'!$E$12+1,1))-AVERAGE(OFFSET($H$3,0,0,'Données projet'!$E$12+1,1))</f>
        <v>288.65195492450403</v>
      </c>
      <c r="CE23" s="62">
        <f t="shared" si="40"/>
        <v>310.66800441693891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30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0.5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10.1561237088124</v>
      </c>
      <c r="CN23" s="24">
        <f t="shared" si="12"/>
        <v>10.1561237088124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41.8</v>
      </c>
      <c r="CT23" s="13">
        <f>IF('Données projet'!$A$140&gt;35,CT22+CS23-DB22,IF(A23&lt;'Données projet'!$A$140,$CQ$205^A23,IF(A23='Données projet'!$A$140,'Données projet'!$B$140,CT22+CS23-DB22)))</f>
        <v>171.79999999999995</v>
      </c>
      <c r="CU23" s="18">
        <f>CT23*VLOOKUP('Données projet'!$B$13,Paramètres!$A$1:$I$89,3,0)*VLOOKUP('Données projet'!$B$13,Paramètres!$A$1:$I$89,5,0)</f>
        <v>75.935599999999994</v>
      </c>
      <c r="CV23" s="14">
        <f t="shared" si="41"/>
        <v>21.140421681495368</v>
      </c>
      <c r="CW23" s="22">
        <f t="shared" si="13"/>
        <v>169.07407109527108</v>
      </c>
      <c r="CX23" s="62">
        <f t="shared" si="14"/>
        <v>450.18518220638225</v>
      </c>
      <c r="CY23" s="62">
        <f ca="1">AVERAGE(OFFSET($CX$3,0,0,'Données projet'!$E$13+1,1))-AVERAGE(OFFSET($H$3,0,0,'Données projet'!$E$13+1,1))</f>
        <v>572.6451446653349</v>
      </c>
      <c r="CZ23" s="62">
        <f t="shared" si="42"/>
        <v>389.15977992931374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73</v>
      </c>
      <c r="DM23" s="13">
        <f>VLOOKUP(A23,'Données projet'!$A$165:$I$185,9,0)</f>
        <v>3.65</v>
      </c>
      <c r="DN23" s="13">
        <f t="array" ref="DN23">INDEX(DM:DM,MIN(IF(ISNUMBER(DM23:DM219),ROW(DM23:DM219),"")))</f>
        <v>3.65</v>
      </c>
      <c r="DO23" s="13">
        <f>IF('Données projet'!$A$166&gt;35,DO22+DN23-DW22,IF(A23&lt;'Données projet'!$A$166,$DL$205^A23,IF(A23='Données projet'!$A$166,'Données projet'!$B$166,DO22+DN23-DW22)))</f>
        <v>73</v>
      </c>
      <c r="DP23" s="18">
        <f>DO23*VLOOKUP('Données projet'!$B$14,Paramètres!$A$1:$I$89,3,0)*VLOOKUP('Données projet'!$B$14,Paramètres!$A$1:$I$89,5,0)</f>
        <v>61.495200000000004</v>
      </c>
      <c r="DQ23" s="14">
        <f t="shared" si="43"/>
        <v>17.545759224285259</v>
      </c>
      <c r="DR23" s="22">
        <f t="shared" si="16"/>
        <v>137.66300398229683</v>
      </c>
      <c r="DS23" s="62">
        <f t="shared" si="17"/>
        <v>418.774115093408</v>
      </c>
      <c r="DT23" s="62">
        <f ca="1">AVERAGE(OFFSET($DS$3,0,0,'Données projet'!$E$14+1,1))-AVERAGE(OFFSET($H$3,0,0,'Données projet'!$E$14+1,1))</f>
        <v>383.83934938682984</v>
      </c>
      <c r="DU23" s="62">
        <f t="shared" si="44"/>
        <v>223.93106361972281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283.56470622103035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2">
        <f t="shared" si="0"/>
        <v>444.08896575162873</v>
      </c>
      <c r="S24" s="62">
        <f ca="1">AVERAGE(OFFSET($R$3,0,0,'Données projet'!$E$9+1,1))-AVERAGE(OFFSET($H$3,0,0,'Données projet'!$E$9+1,1))</f>
        <v>415.89259563928869</v>
      </c>
      <c r="T24" s="62">
        <f t="shared" si="34"/>
        <v>240.19413322685813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12.6</v>
      </c>
      <c r="AI24" s="14">
        <f>IF('Données projet'!$A$62&gt;35,AI23+AH24-AQ23,IF(A24&lt;'Données projet'!$A$62,$AF$205^A24,IF(A24='Données projet'!$A$62,'Données projet'!$B$62,AI23+AH24-AQ23)))</f>
        <v>64.59999999999998</v>
      </c>
      <c r="AJ24" s="14">
        <f>AI24*VLOOKUP('Données projet'!$B$10,Paramètres!$A$1:$I$89,3,0)*VLOOKUP('Données projet'!$B$10,Paramètres!$A$1:$I$89,5,0)</f>
        <v>42.325919999999989</v>
      </c>
      <c r="AK24" s="14">
        <f t="shared" si="35"/>
        <v>12.613089745729766</v>
      </c>
      <c r="AL24" s="22">
        <f t="shared" si="4"/>
        <v>95.685441973812658</v>
      </c>
      <c r="AM24" s="62">
        <f t="shared" si="5"/>
        <v>378.01877530714597</v>
      </c>
      <c r="AN24" s="62">
        <f ca="1">AVERAGE(OFFSET($AM$3,0,0,'Données projet'!$E$10+1,1))-AVERAGE(OFFSET($H$3,0,0,'Données projet'!$E$10+1,1))</f>
        <v>214.08705070588002</v>
      </c>
      <c r="AO24" s="62">
        <f t="shared" si="36"/>
        <v>251.33527585147152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12.2</v>
      </c>
      <c r="BD24" s="13">
        <f>IF('Données projet'!$A$88&gt;35,BD23+BC24-BL23,IF(A24&lt;'Données projet'!$A$88,$BA$205^A24,IF(A24='Données projet'!$A$88,'Données projet'!$B$88,BD23+BC24-BL23)))</f>
        <v>99.2</v>
      </c>
      <c r="BE24" s="14">
        <f>BD24*VLOOKUP('Données projet'!$B$11,Paramètres!$A$1:$I$89,3,0)*VLOOKUP('Données projet'!$B$11,Paramètres!$A$1:$I$89,5,0)</f>
        <v>56.742400000000004</v>
      </c>
      <c r="BF24" s="14">
        <f t="shared" si="37"/>
        <v>16.341988834159622</v>
      </c>
      <c r="BG24" s="22">
        <f t="shared" si="7"/>
        <v>127.28864388616135</v>
      </c>
      <c r="BH24" s="62">
        <f t="shared" si="8"/>
        <v>409.62197721949468</v>
      </c>
      <c r="BI24" s="62">
        <f ca="1">AVERAGE(OFFSET($BH$3,0,0,'Données projet'!$E$11+1,1))-AVERAGE(OFFSET($H$3,0,0,'Données projet'!$E$11+1,1))</f>
        <v>239.41486198585676</v>
      </c>
      <c r="BJ24" s="62">
        <f t="shared" si="38"/>
        <v>224.9174498508774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12.2</v>
      </c>
      <c r="BY24" s="13">
        <f>IF('Données projet'!$A$114&gt;35,BY23+BX24-CG23,IF(A24&lt;'Données projet'!$A$114,$BV$205^A24,IF(A24='Données projet'!$A$114,'Données projet'!$B$114,BY23+BX24-CG23)))</f>
        <v>119.19999999999999</v>
      </c>
      <c r="BZ24" s="14">
        <f>BY24*VLOOKUP('Données projet'!$B$12,Paramètres!$A$1:$I$89,3,0)*VLOOKUP('Données projet'!$B$12,Paramètres!$A$1:$I$89,5,0)</f>
        <v>71.281599999999997</v>
      </c>
      <c r="CA24" s="14">
        <f t="shared" si="39"/>
        <v>19.991387177457259</v>
      </c>
      <c r="CB24" s="22">
        <f t="shared" si="10"/>
        <v>158.96711933407138</v>
      </c>
      <c r="CC24" s="62">
        <f t="shared" si="11"/>
        <v>441.30045266740467</v>
      </c>
      <c r="CD24" s="62">
        <f ca="1">AVERAGE(OFFSET($CC$3,0,0,'Données projet'!$E$12+1,1))-AVERAGE(OFFSET($H$3,0,0,'Données projet'!$E$12+1,1))</f>
        <v>288.65195492450403</v>
      </c>
      <c r="CE24" s="62">
        <f t="shared" si="40"/>
        <v>310.66800441693891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7.1814639450707176</v>
      </c>
      <c r="CN24" s="24">
        <f t="shared" si="12"/>
        <v>7.1814639450707176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41.8</v>
      </c>
      <c r="CT24" s="13">
        <f>IF('Données projet'!$A$140&gt;35,CT23+CS24-DB23,IF(A24&lt;'Données projet'!$A$140,$CQ$205^A24,IF(A24='Données projet'!$A$140,'Données projet'!$B$140,CT23+CS24-DB23)))</f>
        <v>213.59999999999997</v>
      </c>
      <c r="CU24" s="18">
        <f>CT24*VLOOKUP('Données projet'!$B$13,Paramètres!$A$1:$I$89,3,0)*VLOOKUP('Données projet'!$B$13,Paramètres!$A$1:$I$89,5,0)</f>
        <v>94.411199999999994</v>
      </c>
      <c r="CV24" s="14">
        <f t="shared" si="41"/>
        <v>25.626119387432052</v>
      </c>
      <c r="CW24" s="22">
        <f t="shared" si="13"/>
        <v>209.06499793311082</v>
      </c>
      <c r="CX24" s="62">
        <f t="shared" si="14"/>
        <v>491.39833126644413</v>
      </c>
      <c r="CY24" s="62">
        <f ca="1">AVERAGE(OFFSET($CX$3,0,0,'Données projet'!$E$13+1,1))-AVERAGE(OFFSET($H$3,0,0,'Données projet'!$E$13+1,1))</f>
        <v>572.6451446653349</v>
      </c>
      <c r="CZ24" s="62">
        <f t="shared" si="42"/>
        <v>389.15977992931374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7.2</v>
      </c>
      <c r="DO24" s="13">
        <f>IF('Données projet'!$A$166&gt;35,DO23+DN24-DW23,IF(A24&lt;'Données projet'!$A$166,$DL$205^A24,IF(A24='Données projet'!$A$166,'Données projet'!$B$166,DO23+DN24-DW23)))</f>
        <v>80.2</v>
      </c>
      <c r="DP24" s="18">
        <f>DO24*VLOOKUP('Données projet'!$B$14,Paramètres!$A$1:$I$89,3,0)*VLOOKUP('Données projet'!$B$14,Paramètres!$A$1:$I$89,5,0)</f>
        <v>67.560480000000013</v>
      </c>
      <c r="DQ24" s="14">
        <f t="shared" si="43"/>
        <v>19.066393765425332</v>
      </c>
      <c r="DR24" s="22">
        <f t="shared" si="16"/>
        <v>150.87513847478246</v>
      </c>
      <c r="DS24" s="62">
        <f t="shared" si="17"/>
        <v>433.20847180811575</v>
      </c>
      <c r="DT24" s="62">
        <f ca="1">AVERAGE(OFFSET($DS$3,0,0,'Données projet'!$E$14+1,1))-AVERAGE(OFFSET($H$3,0,0,'Données projet'!$E$14+1,1))</f>
        <v>383.83934938682984</v>
      </c>
      <c r="DU24" s="62">
        <f t="shared" si="44"/>
        <v>223.93106361972281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284.8063699102529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2">
        <f t="shared" si="0"/>
        <v>459.44906838783072</v>
      </c>
      <c r="S25" s="62">
        <f ca="1">AVERAGE(OFFSET($R$3,0,0,'Données projet'!$E$9+1,1))-AVERAGE(OFFSET($H$3,0,0,'Données projet'!$E$9+1,1))</f>
        <v>415.89259563928869</v>
      </c>
      <c r="T25" s="62">
        <f t="shared" si="34"/>
        <v>240.19413322685813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12.6</v>
      </c>
      <c r="AI25" s="14">
        <f>IF('Données projet'!$A$62&gt;35,AI24+AH25-AQ24,IF(A25&lt;'Données projet'!$A$62,$AF$205^A25,IF(A25='Données projet'!$A$62,'Données projet'!$B$62,AI24+AH25-AQ24)))</f>
        <v>77.199999999999974</v>
      </c>
      <c r="AJ25" s="14">
        <f>AI25*VLOOKUP('Données projet'!$B$10,Paramètres!$A$1:$I$89,3,0)*VLOOKUP('Données projet'!$B$10,Paramètres!$A$1:$I$89,5,0)</f>
        <v>50.581439999999979</v>
      </c>
      <c r="AK25" s="14">
        <f t="shared" si="35"/>
        <v>14.763817888767656</v>
      </c>
      <c r="AL25" s="22">
        <f t="shared" si="4"/>
        <v>113.80965748960364</v>
      </c>
      <c r="AM25" s="62">
        <f t="shared" si="5"/>
        <v>397.36521304515918</v>
      </c>
      <c r="AN25" s="62">
        <f ca="1">AVERAGE(OFFSET($AM$3,0,0,'Données projet'!$E$10+1,1))-AVERAGE(OFFSET($H$3,0,0,'Données projet'!$E$10+1,1))</f>
        <v>214.08705070588002</v>
      </c>
      <c r="AO25" s="62">
        <f t="shared" si="36"/>
        <v>251.33527585147152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12.2</v>
      </c>
      <c r="BD25" s="13">
        <f>IF('Données projet'!$A$88&gt;35,BD24+BC25-BL24,IF(A25&lt;'Données projet'!$A$88,$BA$205^A25,IF(A25='Données projet'!$A$88,'Données projet'!$B$88,BD24+BC25-BL24)))</f>
        <v>111.4</v>
      </c>
      <c r="BE25" s="14">
        <f>BD25*VLOOKUP('Données projet'!$B$11,Paramètres!$A$1:$I$89,3,0)*VLOOKUP('Données projet'!$B$11,Paramètres!$A$1:$I$89,5,0)</f>
        <v>63.720800000000011</v>
      </c>
      <c r="BF25" s="14">
        <f t="shared" si="37"/>
        <v>18.105684592502872</v>
      </c>
      <c r="BG25" s="22">
        <f t="shared" si="7"/>
        <v>142.51446066527583</v>
      </c>
      <c r="BH25" s="62">
        <f t="shared" si="8"/>
        <v>426.07001622083135</v>
      </c>
      <c r="BI25" s="62">
        <f ca="1">AVERAGE(OFFSET($BH$3,0,0,'Données projet'!$E$11+1,1))-AVERAGE(OFFSET($H$3,0,0,'Données projet'!$E$11+1,1))</f>
        <v>239.41486198585676</v>
      </c>
      <c r="BJ25" s="62">
        <f t="shared" si="38"/>
        <v>224.9174498508774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12.2</v>
      </c>
      <c r="BY25" s="13">
        <f>IF('Données projet'!$A$114&gt;35,BY24+BX25-CG24,IF(A25&lt;'Données projet'!$A$114,$BV$205^A25,IF(A25='Données projet'!$A$114,'Données projet'!$B$114,BY24+BX25-CG24)))</f>
        <v>131.39999999999998</v>
      </c>
      <c r="BZ25" s="14">
        <f>BY25*VLOOKUP('Données projet'!$B$12,Paramètres!$A$1:$I$89,3,0)*VLOOKUP('Données projet'!$B$12,Paramètres!$A$1:$I$89,5,0)</f>
        <v>78.577199999999991</v>
      </c>
      <c r="CA25" s="14">
        <f t="shared" si="39"/>
        <v>21.788939637935243</v>
      </c>
      <c r="CB25" s="22">
        <f t="shared" si="10"/>
        <v>174.80435986940384</v>
      </c>
      <c r="CC25" s="62">
        <f t="shared" si="11"/>
        <v>458.35991542495935</v>
      </c>
      <c r="CD25" s="62">
        <f ca="1">AVERAGE(OFFSET($CC$3,0,0,'Données projet'!$E$12+1,1))-AVERAGE(OFFSET($H$3,0,0,'Données projet'!$E$12+1,1))</f>
        <v>288.65195492450403</v>
      </c>
      <c r="CE25" s="62">
        <f t="shared" si="40"/>
        <v>310.66800441693891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5.0780618544062008</v>
      </c>
      <c r="CN25" s="24">
        <f t="shared" si="12"/>
        <v>5.0780618544062008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41.8</v>
      </c>
      <c r="CT25" s="13">
        <f>IF('Données projet'!$A$140&gt;35,CT24+CS25-DB24,IF(A25&lt;'Données projet'!$A$140,$CQ$205^A25,IF(A25='Données projet'!$A$140,'Données projet'!$B$140,CT24+CS25-DB24)))</f>
        <v>255.39999999999998</v>
      </c>
      <c r="CU25" s="18">
        <f>CT25*VLOOKUP('Données projet'!$B$13,Paramètres!$A$1:$I$89,3,0)*VLOOKUP('Données projet'!$B$13,Paramètres!$A$1:$I$89,5,0)</f>
        <v>112.88680000000001</v>
      </c>
      <c r="CV25" s="14">
        <f t="shared" si="41"/>
        <v>30.010108324487856</v>
      </c>
      <c r="CW25" s="22">
        <f t="shared" si="13"/>
        <v>248.87878199848305</v>
      </c>
      <c r="CX25" s="62">
        <f t="shared" si="14"/>
        <v>532.43433755403862</v>
      </c>
      <c r="CY25" s="62">
        <f ca="1">AVERAGE(OFFSET($CX$3,0,0,'Données projet'!$E$13+1,1))-AVERAGE(OFFSET($H$3,0,0,'Données projet'!$E$13+1,1))</f>
        <v>572.6451446653349</v>
      </c>
      <c r="CZ25" s="62">
        <f t="shared" si="42"/>
        <v>389.15977992931374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7.2</v>
      </c>
      <c r="DO25" s="13">
        <f>IF('Données projet'!$A$166&gt;35,DO24+DN25-DW24,IF(A25&lt;'Données projet'!$A$166,$DL$205^A25,IF(A25='Données projet'!$A$166,'Données projet'!$B$166,DO24+DN25-DW24)))</f>
        <v>87.4</v>
      </c>
      <c r="DP25" s="18">
        <f>DO25*VLOOKUP('Données projet'!$B$14,Paramètres!$A$1:$I$89,3,0)*VLOOKUP('Données projet'!$B$14,Paramètres!$A$1:$I$89,5,0)</f>
        <v>73.625760000000014</v>
      </c>
      <c r="DQ25" s="14">
        <f t="shared" si="43"/>
        <v>20.571198174996731</v>
      </c>
      <c r="DR25" s="22">
        <f t="shared" si="16"/>
        <v>164.05970215478601</v>
      </c>
      <c r="DS25" s="62">
        <f t="shared" si="17"/>
        <v>447.61525771034155</v>
      </c>
      <c r="DT25" s="62">
        <f ca="1">AVERAGE(OFFSET($DS$3,0,0,'Données projet'!$E$14+1,1))-AVERAGE(OFFSET($H$3,0,0,'Données projet'!$E$14+1,1))</f>
        <v>383.83934938682984</v>
      </c>
      <c r="DU25" s="62">
        <f t="shared" si="44"/>
        <v>223.93106361972281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286.04649896367255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2">
        <f t="shared" si="0"/>
        <v>474.78249759155403</v>
      </c>
      <c r="S26" s="62">
        <f ca="1">AVERAGE(OFFSET($R$3,0,0,'Données projet'!$E$9+1,1))-AVERAGE(OFFSET($H$3,0,0,'Données projet'!$E$9+1,1))</f>
        <v>415.89259563928869</v>
      </c>
      <c r="T26" s="62">
        <f t="shared" si="34"/>
        <v>240.19413322685813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12.6</v>
      </c>
      <c r="AI26" s="14">
        <f>IF('Données projet'!$A$62&gt;35,AI25+AH26-AQ25,IF(A26&lt;'Données projet'!$A$62,$AF$205^A26,IF(A26='Données projet'!$A$62,'Données projet'!$B$62,AI25+AH26-AQ25)))</f>
        <v>89.799999999999969</v>
      </c>
      <c r="AJ26" s="14">
        <f>AI26*VLOOKUP('Données projet'!$B$10,Paramètres!$A$1:$I$89,3,0)*VLOOKUP('Données projet'!$B$10,Paramètres!$A$1:$I$89,5,0)</f>
        <v>58.836959999999983</v>
      </c>
      <c r="AK26" s="14">
        <f t="shared" si="35"/>
        <v>16.873881856791602</v>
      </c>
      <c r="AL26" s="22">
        <f t="shared" si="4"/>
        <v>131.86304956724535</v>
      </c>
      <c r="AM26" s="62">
        <f t="shared" si="5"/>
        <v>416.64082734502313</v>
      </c>
      <c r="AN26" s="62">
        <f ca="1">AVERAGE(OFFSET($AM$3,0,0,'Données projet'!$E$10+1,1))-AVERAGE(OFFSET($H$3,0,0,'Données projet'!$E$10+1,1))</f>
        <v>214.08705070588002</v>
      </c>
      <c r="AO26" s="62">
        <f t="shared" si="36"/>
        <v>251.33527585147152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12.2</v>
      </c>
      <c r="BD26" s="13">
        <f>IF('Données projet'!$A$88&gt;35,BD25+BC26-BL25,IF(A26&lt;'Données projet'!$A$88,$BA$205^A26,IF(A26='Données projet'!$A$88,'Données projet'!$B$88,BD25+BC26-BL25)))</f>
        <v>123.60000000000001</v>
      </c>
      <c r="BE26" s="14">
        <f>BD26*VLOOKUP('Données projet'!$B$11,Paramètres!$A$1:$I$89,3,0)*VLOOKUP('Données projet'!$B$11,Paramètres!$A$1:$I$89,5,0)</f>
        <v>70.699200000000019</v>
      </c>
      <c r="BF26" s="14">
        <f t="shared" si="37"/>
        <v>19.846993006857129</v>
      </c>
      <c r="BG26" s="22">
        <f t="shared" si="7"/>
        <v>157.70128615360954</v>
      </c>
      <c r="BH26" s="62">
        <f t="shared" si="8"/>
        <v>442.47906393138732</v>
      </c>
      <c r="BI26" s="62">
        <f ca="1">AVERAGE(OFFSET($BH$3,0,0,'Données projet'!$E$11+1,1))-AVERAGE(OFFSET($H$3,0,0,'Données projet'!$E$11+1,1))</f>
        <v>239.41486198585676</v>
      </c>
      <c r="BJ26" s="62">
        <f t="shared" si="38"/>
        <v>224.9174498508774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12.2</v>
      </c>
      <c r="BY26" s="13">
        <f>IF('Données projet'!$A$114&gt;35,BY25+BX26-CG25,IF(A26&lt;'Données projet'!$A$114,$BV$205^A26,IF(A26='Données projet'!$A$114,'Données projet'!$B$114,BY25+BX26-CG25)))</f>
        <v>143.59999999999997</v>
      </c>
      <c r="BZ26" s="14">
        <f>BY26*VLOOKUP('Données projet'!$B$12,Paramètres!$A$1:$I$89,3,0)*VLOOKUP('Données projet'!$B$12,Paramètres!$A$1:$I$89,5,0)</f>
        <v>85.872799999999984</v>
      </c>
      <c r="CA26" s="14">
        <f t="shared" si="39"/>
        <v>23.567140673267303</v>
      </c>
      <c r="CB26" s="22">
        <f t="shared" si="10"/>
        <v>190.60789667260715</v>
      </c>
      <c r="CC26" s="62">
        <f t="shared" si="11"/>
        <v>475.38567445038495</v>
      </c>
      <c r="CD26" s="62">
        <f ca="1">AVERAGE(OFFSET($CC$3,0,0,'Données projet'!$E$12+1,1))-AVERAGE(OFFSET($H$3,0,0,'Données projet'!$E$12+1,1))</f>
        <v>288.65195492450403</v>
      </c>
      <c r="CE26" s="62">
        <f t="shared" si="40"/>
        <v>310.66800441693891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3.5907319725353593</v>
      </c>
      <c r="CN26" s="24">
        <f t="shared" si="12"/>
        <v>3.5907319725353593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41.8</v>
      </c>
      <c r="CT26" s="13">
        <f>IF('Données projet'!$A$140&gt;35,CT25+CS26-DB25,IF(A26&lt;'Données projet'!$A$140,$CQ$205^A26,IF(A26='Données projet'!$A$140,'Données projet'!$B$140,CT25+CS26-DB25)))</f>
        <v>297.2</v>
      </c>
      <c r="CU26" s="18">
        <f>CT26*VLOOKUP('Données projet'!$B$13,Paramètres!$A$1:$I$89,3,0)*VLOOKUP('Données projet'!$B$13,Paramètres!$A$1:$I$89,5,0)</f>
        <v>131.36240000000001</v>
      </c>
      <c r="CV26" s="14">
        <f t="shared" si="41"/>
        <v>34.310978701681776</v>
      </c>
      <c r="CW26" s="22">
        <f t="shared" si="13"/>
        <v>288.54780123876236</v>
      </c>
      <c r="CX26" s="62">
        <f t="shared" si="14"/>
        <v>573.32557901654013</v>
      </c>
      <c r="CY26" s="62">
        <f ca="1">AVERAGE(OFFSET($CX$3,0,0,'Données projet'!$E$13+1,1))-AVERAGE(OFFSET($H$3,0,0,'Données projet'!$E$13+1,1))</f>
        <v>572.6451446653349</v>
      </c>
      <c r="CZ26" s="62">
        <f t="shared" si="42"/>
        <v>389.15977992931374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7.2</v>
      </c>
      <c r="DO26" s="13">
        <f>IF('Données projet'!$A$166&gt;35,DO25+DN26-DW25,IF(A26&lt;'Données projet'!$A$166,$DL$205^A26,IF(A26='Données projet'!$A$166,'Données projet'!$B$166,DO25+DN26-DW25)))</f>
        <v>94.600000000000009</v>
      </c>
      <c r="DP26" s="18">
        <f>DO26*VLOOKUP('Données projet'!$B$14,Paramètres!$A$1:$I$89,3,0)*VLOOKUP('Données projet'!$B$14,Paramètres!$A$1:$I$89,5,0)</f>
        <v>79.691040000000015</v>
      </c>
      <c r="DQ26" s="14">
        <f t="shared" si="43"/>
        <v>22.061624798490286</v>
      </c>
      <c r="DR26" s="22">
        <f t="shared" si="16"/>
        <v>177.21922452403726</v>
      </c>
      <c r="DS26" s="62">
        <f t="shared" si="17"/>
        <v>461.99700230181503</v>
      </c>
      <c r="DT26" s="62">
        <f ca="1">AVERAGE(OFFSET($DS$3,0,0,'Données projet'!$E$14+1,1))-AVERAGE(OFFSET($H$3,0,0,'Données projet'!$E$14+1,1))</f>
        <v>383.83934938682984</v>
      </c>
      <c r="DU26" s="62">
        <f t="shared" si="44"/>
        <v>223.93106361972281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287.28516773082151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2">
        <f t="shared" si="0"/>
        <v>490.09151430529414</v>
      </c>
      <c r="S27" s="62">
        <f ca="1">AVERAGE(OFFSET($R$3,0,0,'Données projet'!$E$9+1,1))-AVERAGE(OFFSET($H$3,0,0,'Données projet'!$E$9+1,1))</f>
        <v>415.89259563928869</v>
      </c>
      <c r="T27" s="62">
        <f t="shared" si="34"/>
        <v>240.19413322685813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12.6</v>
      </c>
      <c r="AI27" s="14">
        <f>IF('Données projet'!$A$62&gt;35,AI26+AH27-AQ26,IF(A27&lt;'Données projet'!$A$62,$AF$205^A27,IF(A27='Données projet'!$A$62,'Données projet'!$B$62,AI26+AH27-AQ26)))</f>
        <v>102.39999999999996</v>
      </c>
      <c r="AJ27" s="14">
        <f>AI27*VLOOKUP('Données projet'!$B$10,Paramètres!$A$1:$I$89,3,0)*VLOOKUP('Données projet'!$B$10,Paramètres!$A$1:$I$89,5,0)</f>
        <v>67.092479999999966</v>
      </c>
      <c r="AK27" s="14">
        <f t="shared" si="35"/>
        <v>18.949644838115674</v>
      </c>
      <c r="AL27" s="22">
        <f t="shared" si="4"/>
        <v>149.85670075971805</v>
      </c>
      <c r="AM27" s="62">
        <f t="shared" si="5"/>
        <v>435.85670075971802</v>
      </c>
      <c r="AN27" s="62">
        <f ca="1">AVERAGE(OFFSET($AM$3,0,0,'Données projet'!$E$10+1,1))-AVERAGE(OFFSET($H$3,0,0,'Données projet'!$E$10+1,1))</f>
        <v>214.08705070588002</v>
      </c>
      <c r="AO27" s="62">
        <f t="shared" si="36"/>
        <v>251.33527585147152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12.2</v>
      </c>
      <c r="BD27" s="13">
        <f>IF('Données projet'!$A$88&gt;35,BD26+BC27-BL26,IF(A27&lt;'Données projet'!$A$88,$BA$205^A27,IF(A27='Données projet'!$A$88,'Données projet'!$B$88,BD26+BC27-BL26)))</f>
        <v>135.80000000000001</v>
      </c>
      <c r="BE27" s="14">
        <f>BD27*VLOOKUP('Données projet'!$B$11,Paramètres!$A$1:$I$89,3,0)*VLOOKUP('Données projet'!$B$11,Paramètres!$A$1:$I$89,5,0)</f>
        <v>77.677600000000012</v>
      </c>
      <c r="BF27" s="14">
        <f t="shared" si="37"/>
        <v>21.568375338849599</v>
      </c>
      <c r="BG27" s="22">
        <f t="shared" si="7"/>
        <v>172.85340704849639</v>
      </c>
      <c r="BH27" s="62">
        <f t="shared" si="8"/>
        <v>458.85340704849636</v>
      </c>
      <c r="BI27" s="62">
        <f ca="1">AVERAGE(OFFSET($BH$3,0,0,'Données projet'!$E$11+1,1))-AVERAGE(OFFSET($H$3,0,0,'Données projet'!$E$11+1,1))</f>
        <v>239.41486198585676</v>
      </c>
      <c r="BJ27" s="62">
        <f t="shared" si="38"/>
        <v>224.9174498508774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12.2</v>
      </c>
      <c r="BY27" s="13">
        <f>IF('Données projet'!$A$114&gt;35,BY26+BX27-CG26,IF(A27&lt;'Données projet'!$A$114,$BV$205^A27,IF(A27='Données projet'!$A$114,'Données projet'!$B$114,BY26+BX27-CG26)))</f>
        <v>155.79999999999995</v>
      </c>
      <c r="BZ27" s="14">
        <f>BY27*VLOOKUP('Données projet'!$B$12,Paramètres!$A$1:$I$89,3,0)*VLOOKUP('Données projet'!$B$12,Paramètres!$A$1:$I$89,5,0)</f>
        <v>93.168399999999977</v>
      </c>
      <c r="CA27" s="14">
        <f t="shared" si="39"/>
        <v>25.327821267219203</v>
      </c>
      <c r="CB27" s="22">
        <f t="shared" si="10"/>
        <v>206.38091870707342</v>
      </c>
      <c r="CC27" s="62">
        <f t="shared" si="11"/>
        <v>492.38091870707342</v>
      </c>
      <c r="CD27" s="62">
        <f ca="1">AVERAGE(OFFSET($CC$3,0,0,'Données projet'!$E$12+1,1))-AVERAGE(OFFSET($H$3,0,0,'Données projet'!$E$12+1,1))</f>
        <v>288.65195492450403</v>
      </c>
      <c r="CE27" s="62">
        <f t="shared" si="40"/>
        <v>310.66800441693891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2.5390309272031004</v>
      </c>
      <c r="CN27" s="24">
        <f t="shared" si="12"/>
        <v>2.5390309272031004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>
        <f>VLOOKUP(A27,'Données projet'!$A$139:$I$159,2,0)</f>
        <v>339</v>
      </c>
      <c r="CR27" s="13">
        <f>VLOOKUP(A27,'Données projet'!$A$139:$I$159,9,0)</f>
        <v>41.8</v>
      </c>
      <c r="CS27" s="13">
        <f t="array" ref="CS27">INDEX(CR:CR,MIN(IF(ISNUMBER(CR27:CR223),ROW(CR27:CR223),"")))</f>
        <v>41.8</v>
      </c>
      <c r="CT27" s="13">
        <f>IF('Données projet'!$A$140&gt;35,CT26+CS27-DB26,IF(A27&lt;'Données projet'!$A$140,$CQ$205^A27,IF(A27='Données projet'!$A$140,'Données projet'!$B$140,CT26+CS27-DB26)))</f>
        <v>339</v>
      </c>
      <c r="CU27" s="18">
        <f>CT27*VLOOKUP('Données projet'!$B$13,Paramètres!$A$1:$I$89,3,0)*VLOOKUP('Données projet'!$B$13,Paramètres!$A$1:$I$89,5,0)</f>
        <v>149.83800000000002</v>
      </c>
      <c r="CV27" s="14">
        <f t="shared" si="41"/>
        <v>38.541768224559455</v>
      </c>
      <c r="CW27" s="22">
        <f t="shared" si="13"/>
        <v>328.09476299110776</v>
      </c>
      <c r="CX27" s="62">
        <f t="shared" si="14"/>
        <v>614.0947629911077</v>
      </c>
      <c r="CY27" s="62">
        <f ca="1">AVERAGE(OFFSET($CX$3,0,0,'Données projet'!$E$13+1,1))-AVERAGE(OFFSET($H$3,0,0,'Données projet'!$E$13+1,1))</f>
        <v>572.6451446653349</v>
      </c>
      <c r="CZ27" s="62">
        <f t="shared" si="42"/>
        <v>389.15977992931374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7.2</v>
      </c>
      <c r="DO27" s="13">
        <f>IF('Données projet'!$A$166&gt;35,DO26+DN27-DW26,IF(A27&lt;'Données projet'!$A$166,$DL$205^A27,IF(A27='Données projet'!$A$166,'Données projet'!$B$166,DO26+DN27-DW26)))</f>
        <v>101.80000000000001</v>
      </c>
      <c r="DP27" s="18">
        <f>DO27*VLOOKUP('Données projet'!$B$14,Paramètres!$A$1:$I$89,3,0)*VLOOKUP('Données projet'!$B$14,Paramètres!$A$1:$I$89,5,0)</f>
        <v>85.756320000000017</v>
      </c>
      <c r="DQ27" s="14">
        <f t="shared" si="43"/>
        <v>23.538892352228263</v>
      </c>
      <c r="DR27" s="22">
        <f t="shared" si="16"/>
        <v>190.35582818013089</v>
      </c>
      <c r="DS27" s="62">
        <f t="shared" si="17"/>
        <v>476.35582818013086</v>
      </c>
      <c r="DT27" s="62">
        <f ca="1">AVERAGE(OFFSET($DS$3,0,0,'Données projet'!$E$14+1,1))-AVERAGE(OFFSET($H$3,0,0,'Données projet'!$E$14+1,1))</f>
        <v>383.83934938682984</v>
      </c>
      <c r="DU27" s="62">
        <f t="shared" si="44"/>
        <v>223.93106361972281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288.52244401490464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2">
        <f t="shared" si="0"/>
        <v>505.37804153496802</v>
      </c>
      <c r="S28" s="62">
        <f ca="1">AVERAGE(OFFSET($R$3,0,0,'Données projet'!$E$9+1,1))-AVERAGE(OFFSET($H$3,0,0,'Données projet'!$E$9+1,1))</f>
        <v>415.89259563928869</v>
      </c>
      <c r="T28" s="62">
        <f t="shared" si="34"/>
        <v>240.19413322685813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115</v>
      </c>
      <c r="AG28" s="13">
        <f>VLOOKUP(A28,'Données projet'!$A$61:$I$81,9,0)</f>
        <v>12.6</v>
      </c>
      <c r="AH28" s="13">
        <f t="array" ref="AH28">INDEX(AG:AG,MIN(IF(ISNUMBER(AG28:AG224),ROW(AG28:AG224),"")))</f>
        <v>12.6</v>
      </c>
      <c r="AI28" s="14">
        <f>IF('Données projet'!$A$62&gt;35,AI27+AH28-AQ27,IF(A28&lt;'Données projet'!$A$62,$AF$205^A28,IF(A28='Données projet'!$A$62,'Données projet'!$B$62,AI27+AH28-AQ27)))</f>
        <v>114.99999999999996</v>
      </c>
      <c r="AJ28" s="14">
        <f>AI28*VLOOKUP('Données projet'!$B$10,Paramètres!$A$1:$I$89,3,0)*VLOOKUP('Données projet'!$B$10,Paramètres!$A$1:$I$89,5,0)</f>
        <v>75.347999999999971</v>
      </c>
      <c r="AK28" s="14">
        <f t="shared" si="35"/>
        <v>20.99581051771704</v>
      </c>
      <c r="AL28" s="22">
        <f t="shared" si="4"/>
        <v>167.79880331835713</v>
      </c>
      <c r="AM28" s="62">
        <f t="shared" si="5"/>
        <v>455.02102554057933</v>
      </c>
      <c r="AN28" s="62">
        <f ca="1">AVERAGE(OFFSET($AM$3,0,0,'Données projet'!$E$10+1,1))-AVERAGE(OFFSET($H$3,0,0,'Données projet'!$E$10+1,1))</f>
        <v>214.08705070588002</v>
      </c>
      <c r="AO28" s="62">
        <f t="shared" si="36"/>
        <v>251.33527585147152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148</v>
      </c>
      <c r="BB28" s="13">
        <f>VLOOKUP(A28,'Données projet'!$A$87:$I$107,9,0)</f>
        <v>12.2</v>
      </c>
      <c r="BC28" s="13">
        <f t="array" ref="BC28">INDEX(BB:BB,MIN(IF(ISNUMBER(BB28:BB224),ROW(BB28:BB224),"")))</f>
        <v>12.2</v>
      </c>
      <c r="BD28" s="13">
        <f>IF('Données projet'!$A$88&gt;35,BD27+BC28-BL27,IF(A28&lt;'Données projet'!$A$88,$BA$205^A28,IF(A28='Données projet'!$A$88,'Données projet'!$B$88,BD27+BC28-BL27)))</f>
        <v>148</v>
      </c>
      <c r="BE28" s="14">
        <f>BD28*VLOOKUP('Données projet'!$B$11,Paramètres!$A$1:$I$89,3,0)*VLOOKUP('Données projet'!$B$11,Paramètres!$A$1:$I$89,5,0)</f>
        <v>84.656000000000006</v>
      </c>
      <c r="BF28" s="14">
        <f t="shared" si="37"/>
        <v>23.271825278660579</v>
      </c>
      <c r="BG28" s="22">
        <f t="shared" si="7"/>
        <v>187.97429569366716</v>
      </c>
      <c r="BH28" s="62">
        <f t="shared" si="8"/>
        <v>475.19651791588939</v>
      </c>
      <c r="BI28" s="62">
        <f ca="1">AVERAGE(OFFSET($BH$3,0,0,'Données projet'!$E$11+1,1))-AVERAGE(OFFSET($H$3,0,0,'Données projet'!$E$11+1,1))</f>
        <v>239.41486198585676</v>
      </c>
      <c r="BJ28" s="62">
        <f t="shared" si="38"/>
        <v>224.9174498508774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54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0.5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17.486195602998738</v>
      </c>
      <c r="BS28" s="24">
        <f t="shared" si="9"/>
        <v>17.486195602998738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168</v>
      </c>
      <c r="BW28" s="13">
        <f>VLOOKUP(A28,'Données projet'!$A$113:$I$133,9,0)</f>
        <v>12.2</v>
      </c>
      <c r="BX28" s="13">
        <f t="array" ref="BX28">INDEX(BW:BW,MIN(IF(ISNUMBER(BW28:BW224),ROW(BW28:BW224),"")))</f>
        <v>12.2</v>
      </c>
      <c r="BY28" s="13">
        <f>IF('Données projet'!$A$114&gt;35,BY27+BX28-CG27,IF(A28&lt;'Données projet'!$A$114,$BV$205^A28,IF(A28='Données projet'!$A$114,'Données projet'!$B$114,BY27+BX28-CG27)))</f>
        <v>167.99999999999994</v>
      </c>
      <c r="BZ28" s="14">
        <f>BY28*VLOOKUP('Données projet'!$B$12,Paramètres!$A$1:$I$89,3,0)*VLOOKUP('Données projet'!$B$12,Paramètres!$A$1:$I$89,5,0)</f>
        <v>100.46399999999997</v>
      </c>
      <c r="CA28" s="14">
        <f t="shared" si="39"/>
        <v>27.072509349827456</v>
      </c>
      <c r="CB28" s="22">
        <f t="shared" si="10"/>
        <v>222.12608711761609</v>
      </c>
      <c r="CC28" s="62">
        <f t="shared" si="11"/>
        <v>509.34830933983835</v>
      </c>
      <c r="CD28" s="62">
        <f ca="1">AVERAGE(OFFSET($CC$3,0,0,'Données projet'!$E$12+1,1))-AVERAGE(OFFSET($H$3,0,0,'Données projet'!$E$12+1,1))</f>
        <v>288.65195492450403</v>
      </c>
      <c r="CE28" s="62">
        <f t="shared" si="40"/>
        <v>310.66800441693891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1.7953659862676796</v>
      </c>
      <c r="CN28" s="24">
        <f t="shared" si="12"/>
        <v>1.7953659862676796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46.2</v>
      </c>
      <c r="CT28" s="13">
        <f>IF('Données projet'!$A$140&gt;35,CT27+CS28-DB27,IF(A28&lt;'Données projet'!$A$140,$CQ$205^A28,IF(A28='Données projet'!$A$140,'Données projet'!$B$140,CT27+CS28-DB27)))</f>
        <v>385.2</v>
      </c>
      <c r="CU28" s="18">
        <f>CT28*VLOOKUP('Données projet'!$B$13,Paramètres!$A$1:$I$89,3,0)*VLOOKUP('Données projet'!$B$13,Paramètres!$A$1:$I$89,5,0)</f>
        <v>170.25840000000002</v>
      </c>
      <c r="CV28" s="14">
        <f t="shared" si="41"/>
        <v>43.147891472685053</v>
      </c>
      <c r="CW28" s="22">
        <f t="shared" si="13"/>
        <v>371.68262431492644</v>
      </c>
      <c r="CX28" s="62">
        <f t="shared" si="14"/>
        <v>658.90484653714861</v>
      </c>
      <c r="CY28" s="62">
        <f ca="1">AVERAGE(OFFSET($CX$3,0,0,'Données projet'!$E$13+1,1))-AVERAGE(OFFSET($H$3,0,0,'Données projet'!$E$13+1,1))</f>
        <v>572.6451446653349</v>
      </c>
      <c r="CZ28" s="62">
        <f t="shared" si="42"/>
        <v>389.15977992931374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109</v>
      </c>
      <c r="DM28" s="13">
        <f>VLOOKUP(A28,'Données projet'!$A$165:$I$185,9,0)</f>
        <v>7.2</v>
      </c>
      <c r="DN28" s="13">
        <f t="array" ref="DN28">INDEX(DM:DM,MIN(IF(ISNUMBER(DM28:DM224),ROW(DM28:DM224),"")))</f>
        <v>7.2</v>
      </c>
      <c r="DO28" s="13">
        <f>IF('Données projet'!$A$166&gt;35,DO27+DN28-DW27,IF(A28&lt;'Données projet'!$A$166,$DL$205^A28,IF(A28='Données projet'!$A$166,'Données projet'!$B$166,DO27+DN28-DW27)))</f>
        <v>109.00000000000001</v>
      </c>
      <c r="DP28" s="18">
        <f>DO28*VLOOKUP('Données projet'!$B$14,Paramètres!$A$1:$I$89,3,0)*VLOOKUP('Données projet'!$B$14,Paramètres!$A$1:$I$89,5,0)</f>
        <v>91.821600000000018</v>
      </c>
      <c r="DQ28" s="14">
        <f t="shared" si="43"/>
        <v>25.004037394505982</v>
      </c>
      <c r="DR28" s="22">
        <f t="shared" si="16"/>
        <v>203.47131846209797</v>
      </c>
      <c r="DS28" s="62">
        <f t="shared" si="17"/>
        <v>490.69354068432017</v>
      </c>
      <c r="DT28" s="62">
        <f ca="1">AVERAGE(OFFSET($DS$3,0,0,'Données projet'!$E$14+1,1))-AVERAGE(OFFSET($H$3,0,0,'Données projet'!$E$14+1,1))</f>
        <v>383.83934938682984</v>
      </c>
      <c r="DU28" s="62">
        <f t="shared" si="44"/>
        <v>223.93106361972281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34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289.75838988784039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415.89259563928869</v>
      </c>
      <c r="T29" s="62">
        <f t="shared" si="34"/>
        <v>240.19413322685813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</v>
      </c>
      <c r="AI29" s="14">
        <f>IF('Données projet'!$A$62&gt;35,AI28+AH29-AQ28,IF(A29&lt;'Données projet'!$A$62,$AF$205^A29,IF(A29='Données projet'!$A$62,'Données projet'!$B$62,AI28+AH29-AQ28)))</f>
        <v>126.99999999999996</v>
      </c>
      <c r="AJ29" s="14">
        <f>AI29*VLOOKUP('Données projet'!$B$10,Paramètres!$A$1:$I$89,3,0)*VLOOKUP('Données projet'!$B$10,Paramètres!$A$1:$I$89,5,0)</f>
        <v>83.210399999999979</v>
      </c>
      <c r="AK29" s="14">
        <f t="shared" si="35"/>
        <v>22.920337105048574</v>
      </c>
      <c r="AL29" s="22">
        <f t="shared" si="4"/>
        <v>184.84436712462625</v>
      </c>
      <c r="AM29" s="62">
        <f t="shared" si="5"/>
        <v>473.28881156907073</v>
      </c>
      <c r="AN29" s="62">
        <f ca="1">AVERAGE(OFFSET($AM$3,0,0,'Données projet'!$E$10+1,1))-AVERAGE(OFFSET($H$3,0,0,'Données projet'!$E$10+1,1))</f>
        <v>214.08705070588002</v>
      </c>
      <c r="AO29" s="62">
        <f t="shared" si="36"/>
        <v>251.33527585147152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17</v>
      </c>
      <c r="BD29" s="13">
        <f>IF('Données projet'!$A$88&gt;35,BD28+BC29-BL28,IF(A29&lt;'Données projet'!$A$88,$BA$205^A29,IF(A29='Données projet'!$A$88,'Données projet'!$B$88,BD28+BC29-BL28)))</f>
        <v>111</v>
      </c>
      <c r="BE29" s="14">
        <f>BD29*VLOOKUP('Données projet'!$B$11,Paramètres!$A$1:$I$89,3,0)*VLOOKUP('Données projet'!$B$11,Paramètres!$A$1:$I$89,5,0)</f>
        <v>63.492000000000004</v>
      </c>
      <c r="BF29" s="14">
        <f t="shared" si="37"/>
        <v>18.048228468163369</v>
      </c>
      <c r="BG29" s="22">
        <f t="shared" si="7"/>
        <v>142.01589791538456</v>
      </c>
      <c r="BH29" s="62">
        <f t="shared" si="8"/>
        <v>430.46034235982904</v>
      </c>
      <c r="BI29" s="62">
        <f ca="1">AVERAGE(OFFSET($BH$3,0,0,'Données projet'!$E$11+1,1))-AVERAGE(OFFSET($H$3,0,0,'Données projet'!$E$11+1,1))</f>
        <v>239.41486198585676</v>
      </c>
      <c r="BJ29" s="62">
        <f t="shared" si="38"/>
        <v>224.9174498508774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12.364607488034798</v>
      </c>
      <c r="BS29" s="24">
        <f t="shared" si="9"/>
        <v>12.364607488034798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</v>
      </c>
      <c r="BY29" s="13">
        <f>IF('Données projet'!$A$114&gt;35,BY28+BX29-CG28,IF(A29&lt;'Données projet'!$A$114,$BV$205^A29,IF(A29='Données projet'!$A$114,'Données projet'!$B$114,BY28+BX29-CG28)))</f>
        <v>181.99999999999994</v>
      </c>
      <c r="BZ29" s="14">
        <f>BY29*VLOOKUP('Données projet'!$B$12,Paramètres!$A$1:$I$89,3,0)*VLOOKUP('Données projet'!$B$12,Paramètres!$A$1:$I$89,5,0)</f>
        <v>108.83599999999997</v>
      </c>
      <c r="CA29" s="14">
        <f t="shared" si="39"/>
        <v>29.056567526298153</v>
      </c>
      <c r="CB29" s="22">
        <f t="shared" si="10"/>
        <v>240.16288844163589</v>
      </c>
      <c r="CC29" s="62">
        <f t="shared" si="11"/>
        <v>528.60733288608037</v>
      </c>
      <c r="CD29" s="62">
        <f ca="1">AVERAGE(OFFSET($CC$3,0,0,'Données projet'!$E$12+1,1))-AVERAGE(OFFSET($H$3,0,0,'Données projet'!$E$12+1,1))</f>
        <v>288.65195492450403</v>
      </c>
      <c r="CE29" s="62">
        <f t="shared" si="40"/>
        <v>310.66800441693891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1.2695154636015502</v>
      </c>
      <c r="CN29" s="24">
        <f t="shared" si="12"/>
        <v>1.2695154636015502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46.2</v>
      </c>
      <c r="CT29" s="13">
        <f>IF('Données projet'!$A$140&gt;35,CT28+CS29-DB28,IF(A29&lt;'Données projet'!$A$140,$CQ$205^A29,IF(A29='Données projet'!$A$140,'Données projet'!$B$140,CT28+CS29-DB28)))</f>
        <v>431.4</v>
      </c>
      <c r="CU29" s="18">
        <f>CT29*VLOOKUP('Données projet'!$B$13,Paramètres!$A$1:$I$89,3,0)*VLOOKUP('Données projet'!$B$13,Paramètres!$A$1:$I$89,5,0)</f>
        <v>190.67880000000002</v>
      </c>
      <c r="CV29" s="14">
        <f t="shared" si="41"/>
        <v>47.689994730626914</v>
      </c>
      <c r="CW29" s="22">
        <f t="shared" si="13"/>
        <v>415.15898415584189</v>
      </c>
      <c r="CX29" s="62">
        <f t="shared" si="14"/>
        <v>703.60342860028641</v>
      </c>
      <c r="CY29" s="62">
        <f ca="1">AVERAGE(OFFSET($CX$3,0,0,'Données projet'!$E$13+1,1))-AVERAGE(OFFSET($H$3,0,0,'Données projet'!$E$13+1,1))</f>
        <v>572.6451446653349</v>
      </c>
      <c r="CZ29" s="62">
        <f t="shared" si="42"/>
        <v>389.15977992931374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9.1999999999999993</v>
      </c>
      <c r="DO29" s="13">
        <f>IF('Données projet'!$A$166&gt;35,DO28+DN29-DW28,IF(A29&lt;'Données projet'!$A$166,$DL$205^A29,IF(A29='Données projet'!$A$166,'Données projet'!$B$166,DO28+DN29-DW28)))</f>
        <v>84.200000000000017</v>
      </c>
      <c r="DP29" s="18">
        <f>DO29*VLOOKUP('Données projet'!$B$14,Paramètres!$A$1:$I$89,3,0)*VLOOKUP('Données projet'!$B$14,Paramètres!$A$1:$I$89,5,0)</f>
        <v>70.930080000000018</v>
      </c>
      <c r="DQ29" s="14">
        <f t="shared" si="43"/>
        <v>19.904251483253464</v>
      </c>
      <c r="DR29" s="22">
        <f t="shared" si="16"/>
        <v>158.20312733333313</v>
      </c>
      <c r="DS29" s="62">
        <f t="shared" si="17"/>
        <v>446.64757177777756</v>
      </c>
      <c r="DT29" s="62">
        <f ca="1">AVERAGE(OFFSET($DS$3,0,0,'Données projet'!$E$14+1,1))-AVERAGE(OFFSET($H$3,0,0,'Données projet'!$E$14+1,1))</f>
        <v>383.83934938682984</v>
      </c>
      <c r="DU29" s="62">
        <f t="shared" si="44"/>
        <v>223.93106361972281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290.99306237638319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415.89259563928869</v>
      </c>
      <c r="T30" s="62">
        <f t="shared" si="34"/>
        <v>240.19413322685813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</v>
      </c>
      <c r="AI30" s="14">
        <f>IF('Données projet'!$A$62&gt;35,AI29+AH30-AQ29,IF(A30&lt;'Données projet'!$A$62,$AF$205^A30,IF(A30='Données projet'!$A$62,'Données projet'!$B$62,AI29+AH30-AQ29)))</f>
        <v>138.99999999999994</v>
      </c>
      <c r="AJ30" s="14">
        <f>AI30*VLOOKUP('Données projet'!$B$10,Paramètres!$A$1:$I$89,3,0)*VLOOKUP('Données projet'!$B$10,Paramètres!$A$1:$I$89,5,0)</f>
        <v>91.072799999999958</v>
      </c>
      <c r="AK30" s="14">
        <f t="shared" si="35"/>
        <v>24.823779817332358</v>
      </c>
      <c r="AL30" s="22">
        <f t="shared" si="4"/>
        <v>201.85320984852044</v>
      </c>
      <c r="AM30" s="62">
        <f t="shared" si="5"/>
        <v>491.51987651518709</v>
      </c>
      <c r="AN30" s="62">
        <f ca="1">AVERAGE(OFFSET($AM$3,0,0,'Données projet'!$E$10+1,1))-AVERAGE(OFFSET($H$3,0,0,'Données projet'!$E$10+1,1))</f>
        <v>214.08705070588002</v>
      </c>
      <c r="AO30" s="62">
        <f t="shared" si="36"/>
        <v>251.33527585147152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17</v>
      </c>
      <c r="BD30" s="13">
        <f>IF('Données projet'!$A$88&gt;35,BD29+BC30-BL29,IF(A30&lt;'Données projet'!$A$88,$BA$205^A30,IF(A30='Données projet'!$A$88,'Données projet'!$B$88,BD29+BC30-BL29)))</f>
        <v>128</v>
      </c>
      <c r="BE30" s="14">
        <f>BD30*VLOOKUP('Données projet'!$B$11,Paramètres!$A$1:$I$89,3,0)*VLOOKUP('Données projet'!$B$11,Paramètres!$A$1:$I$89,5,0)</f>
        <v>73.216000000000008</v>
      </c>
      <c r="BF30" s="14">
        <f t="shared" si="37"/>
        <v>20.470003885221693</v>
      </c>
      <c r="BG30" s="22">
        <f t="shared" si="7"/>
        <v>163.16979010009447</v>
      </c>
      <c r="BH30" s="62">
        <f t="shared" si="8"/>
        <v>452.83645676676116</v>
      </c>
      <c r="BI30" s="62">
        <f ca="1">AVERAGE(OFFSET($BH$3,0,0,'Données projet'!$E$11+1,1))-AVERAGE(OFFSET($H$3,0,0,'Données projet'!$E$11+1,1))</f>
        <v>239.41486198585676</v>
      </c>
      <c r="BJ30" s="62">
        <f t="shared" si="38"/>
        <v>224.9174498508774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8.7430978014993688</v>
      </c>
      <c r="BS30" s="24">
        <f t="shared" si="9"/>
        <v>8.7430978014993688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</v>
      </c>
      <c r="BY30" s="13">
        <f>IF('Données projet'!$A$114&gt;35,BY29+BX30-CG29,IF(A30&lt;'Données projet'!$A$114,$BV$205^A30,IF(A30='Données projet'!$A$114,'Données projet'!$B$114,BY29+BX30-CG29)))</f>
        <v>195.99999999999994</v>
      </c>
      <c r="BZ30" s="14">
        <f>BY30*VLOOKUP('Données projet'!$B$12,Paramètres!$A$1:$I$89,3,0)*VLOOKUP('Données projet'!$B$12,Paramètres!$A$1:$I$89,5,0)</f>
        <v>117.20799999999998</v>
      </c>
      <c r="CA30" s="14">
        <f t="shared" si="39"/>
        <v>31.022921626920535</v>
      </c>
      <c r="CB30" s="22">
        <f t="shared" si="10"/>
        <v>258.16885516688654</v>
      </c>
      <c r="CC30" s="62">
        <f t="shared" si="11"/>
        <v>547.83552183355323</v>
      </c>
      <c r="CD30" s="62">
        <f ca="1">AVERAGE(OFFSET($CC$3,0,0,'Données projet'!$E$12+1,1))-AVERAGE(OFFSET($H$3,0,0,'Données projet'!$E$12+1,1))</f>
        <v>288.65195492450403</v>
      </c>
      <c r="CE30" s="62">
        <f t="shared" si="40"/>
        <v>310.66800441693891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0.89768299313383981</v>
      </c>
      <c r="CN30" s="24">
        <f t="shared" si="12"/>
        <v>0.89768299313383981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46.2</v>
      </c>
      <c r="CT30" s="13">
        <f>IF('Données projet'!$A$140&gt;35,CT29+CS30-DB29,IF(A30&lt;'Données projet'!$A$140,$CQ$205^A30,IF(A30='Données projet'!$A$140,'Données projet'!$B$140,CT29+CS30-DB29)))</f>
        <v>477.59999999999997</v>
      </c>
      <c r="CU30" s="18">
        <f>CT30*VLOOKUP('Données projet'!$B$13,Paramètres!$A$1:$I$89,3,0)*VLOOKUP('Données projet'!$B$13,Paramètres!$A$1:$I$89,5,0)</f>
        <v>211.0992</v>
      </c>
      <c r="CV30" s="14">
        <f t="shared" si="41"/>
        <v>52.17571552160944</v>
      </c>
      <c r="CW30" s="22">
        <f t="shared" si="13"/>
        <v>458.53714453346976</v>
      </c>
      <c r="CX30" s="62">
        <f t="shared" si="14"/>
        <v>748.20381120013644</v>
      </c>
      <c r="CY30" s="62">
        <f ca="1">AVERAGE(OFFSET($CX$3,0,0,'Données projet'!$E$13+1,1))-AVERAGE(OFFSET($H$3,0,0,'Données projet'!$E$13+1,1))</f>
        <v>572.6451446653349</v>
      </c>
      <c r="CZ30" s="62">
        <f t="shared" si="42"/>
        <v>389.15977992931374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9.1999999999999993</v>
      </c>
      <c r="DO30" s="13">
        <f>IF('Données projet'!$A$166&gt;35,DO29+DN30-DW29,IF(A30&lt;'Données projet'!$A$166,$DL$205^A30,IF(A30='Données projet'!$A$166,'Données projet'!$B$166,DO29+DN30-DW29)))</f>
        <v>93.40000000000002</v>
      </c>
      <c r="DP30" s="18">
        <f>DO30*VLOOKUP('Données projet'!$B$14,Paramètres!$A$1:$I$89,3,0)*VLOOKUP('Données projet'!$B$14,Paramètres!$A$1:$I$89,5,0)</f>
        <v>78.680160000000029</v>
      </c>
      <c r="DQ30" s="14">
        <f t="shared" si="43"/>
        <v>21.814164609384523</v>
      </c>
      <c r="DR30" s="22">
        <f t="shared" si="16"/>
        <v>175.02761536134474</v>
      </c>
      <c r="DS30" s="62">
        <f t="shared" si="17"/>
        <v>464.69428202801146</v>
      </c>
      <c r="DT30" s="62">
        <f ca="1">AVERAGE(OFFSET($DS$3,0,0,'Données projet'!$E$14+1,1))-AVERAGE(OFFSET($H$3,0,0,'Données projet'!$E$14+1,1))</f>
        <v>383.83934938682984</v>
      </c>
      <c r="DU30" s="62">
        <f t="shared" si="44"/>
        <v>223.93106361972281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292.22651404374136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415.89259563928869</v>
      </c>
      <c r="T31" s="62">
        <f t="shared" si="34"/>
        <v>240.19413322685813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</v>
      </c>
      <c r="AI31" s="14">
        <f>IF('Données projet'!$A$62&gt;35,AI30+AH31-AQ30,IF(A31&lt;'Données projet'!$A$62,$AF$205^A31,IF(A31='Données projet'!$A$62,'Données projet'!$B$62,AI30+AH31-AQ30)))</f>
        <v>150.99999999999994</v>
      </c>
      <c r="AJ31" s="14">
        <f>AI31*VLOOKUP('Données projet'!$B$10,Paramètres!$A$1:$I$89,3,0)*VLOOKUP('Données projet'!$B$10,Paramètres!$A$1:$I$89,5,0)</f>
        <v>98.935199999999966</v>
      </c>
      <c r="AK31" s="14">
        <f t="shared" si="35"/>
        <v>26.708165799953093</v>
      </c>
      <c r="AL31" s="22">
        <f t="shared" si="4"/>
        <v>218.82886210158492</v>
      </c>
      <c r="AM31" s="62">
        <f t="shared" si="5"/>
        <v>509.71775099047375</v>
      </c>
      <c r="AN31" s="62">
        <f ca="1">AVERAGE(OFFSET($AM$3,0,0,'Données projet'!$E$10+1,1))-AVERAGE(OFFSET($H$3,0,0,'Données projet'!$E$10+1,1))</f>
        <v>214.08705070588002</v>
      </c>
      <c r="AO31" s="62">
        <f t="shared" si="36"/>
        <v>251.33527585147152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17</v>
      </c>
      <c r="BD31" s="13">
        <f>IF('Données projet'!$A$88&gt;35,BD30+BC31-BL30,IF(A31&lt;'Données projet'!$A$88,$BA$205^A31,IF(A31='Données projet'!$A$88,'Données projet'!$B$88,BD30+BC31-BL30)))</f>
        <v>145</v>
      </c>
      <c r="BE31" s="14">
        <f>BD31*VLOOKUP('Données projet'!$B$11,Paramètres!$A$1:$I$89,3,0)*VLOOKUP('Données projet'!$B$11,Paramètres!$A$1:$I$89,5,0)</f>
        <v>82.94</v>
      </c>
      <c r="BF31" s="14">
        <f t="shared" si="37"/>
        <v>22.854512537615665</v>
      </c>
      <c r="BG31" s="22">
        <f t="shared" si="7"/>
        <v>184.25877600301396</v>
      </c>
      <c r="BH31" s="62">
        <f t="shared" si="8"/>
        <v>475.14766489190282</v>
      </c>
      <c r="BI31" s="62">
        <f ca="1">AVERAGE(OFFSET($BH$3,0,0,'Données projet'!$E$11+1,1))-AVERAGE(OFFSET($H$3,0,0,'Données projet'!$E$11+1,1))</f>
        <v>239.41486198585676</v>
      </c>
      <c r="BJ31" s="62">
        <f t="shared" si="38"/>
        <v>224.9174498508774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6.1823037440173989</v>
      </c>
      <c r="BS31" s="24">
        <f t="shared" si="9"/>
        <v>6.1823037440173989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</v>
      </c>
      <c r="BY31" s="13">
        <f>IF('Données projet'!$A$114&gt;35,BY30+BX31-CG30,IF(A31&lt;'Données projet'!$A$114,$BV$205^A31,IF(A31='Données projet'!$A$114,'Données projet'!$B$114,BY30+BX31-CG30)))</f>
        <v>209.99999999999994</v>
      </c>
      <c r="BZ31" s="14">
        <f>BY31*VLOOKUP('Données projet'!$B$12,Paramètres!$A$1:$I$89,3,0)*VLOOKUP('Données projet'!$B$12,Paramètres!$A$1:$I$89,5,0)</f>
        <v>125.57999999999998</v>
      </c>
      <c r="CA31" s="14">
        <f t="shared" si="39"/>
        <v>32.972980053624219</v>
      </c>
      <c r="CB31" s="22">
        <f t="shared" si="10"/>
        <v>276.14644026006209</v>
      </c>
      <c r="CC31" s="62">
        <f t="shared" si="11"/>
        <v>567.03532914895095</v>
      </c>
      <c r="CD31" s="62">
        <f ca="1">AVERAGE(OFFSET($CC$3,0,0,'Données projet'!$E$12+1,1))-AVERAGE(OFFSET($H$3,0,0,'Données projet'!$E$12+1,1))</f>
        <v>288.65195492450403</v>
      </c>
      <c r="CE31" s="62">
        <f t="shared" si="40"/>
        <v>310.66800441693891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0.6347577318007751</v>
      </c>
      <c r="CN31" s="24">
        <f t="shared" si="12"/>
        <v>0.6347577318007751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46.2</v>
      </c>
      <c r="CT31" s="13">
        <f>IF('Données projet'!$A$140&gt;35,CT30+CS31-DB30,IF(A31&lt;'Données projet'!$A$140,$CQ$205^A31,IF(A31='Données projet'!$A$140,'Données projet'!$B$140,CT30+CS31-DB30)))</f>
        <v>523.79999999999995</v>
      </c>
      <c r="CU31" s="18">
        <f>CT31*VLOOKUP('Données projet'!$B$13,Paramètres!$A$1:$I$89,3,0)*VLOOKUP('Données projet'!$B$13,Paramètres!$A$1:$I$89,5,0)</f>
        <v>231.5196</v>
      </c>
      <c r="CV31" s="14">
        <f t="shared" si="41"/>
        <v>56.611128544444377</v>
      </c>
      <c r="CW31" s="22">
        <f t="shared" si="13"/>
        <v>501.82768554824059</v>
      </c>
      <c r="CX31" s="62">
        <f t="shared" si="14"/>
        <v>792.71657443712945</v>
      </c>
      <c r="CY31" s="62">
        <f ca="1">AVERAGE(OFFSET($CX$3,0,0,'Données projet'!$E$13+1,1))-AVERAGE(OFFSET($H$3,0,0,'Données projet'!$E$13+1,1))</f>
        <v>572.6451446653349</v>
      </c>
      <c r="CZ31" s="62">
        <f t="shared" si="42"/>
        <v>389.15977992931374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9.1999999999999993</v>
      </c>
      <c r="DO31" s="13">
        <f>IF('Données projet'!$A$166&gt;35,DO30+DN31-DW30,IF(A31&lt;'Données projet'!$A$166,$DL$205^A31,IF(A31='Données projet'!$A$166,'Données projet'!$B$166,DO30+DN31-DW30)))</f>
        <v>102.60000000000002</v>
      </c>
      <c r="DP31" s="18">
        <f>DO31*VLOOKUP('Données projet'!$B$14,Paramètres!$A$1:$I$89,3,0)*VLOOKUP('Données projet'!$B$14,Paramètres!$A$1:$I$89,5,0)</f>
        <v>86.430240000000026</v>
      </c>
      <c r="DQ31" s="14">
        <f t="shared" si="43"/>
        <v>23.702267442352529</v>
      </c>
      <c r="DR31" s="22">
        <f t="shared" si="16"/>
        <v>191.81411712876402</v>
      </c>
      <c r="DS31" s="62">
        <f t="shared" si="17"/>
        <v>482.70300601765291</v>
      </c>
      <c r="DT31" s="62">
        <f ca="1">AVERAGE(OFFSET($DS$3,0,0,'Données projet'!$E$14+1,1))-AVERAGE(OFFSET($H$3,0,0,'Données projet'!$E$14+1,1))</f>
        <v>383.83934938682984</v>
      </c>
      <c r="DU31" s="62">
        <f t="shared" si="44"/>
        <v>223.93106361972281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293.45879348577108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415.89259563928869</v>
      </c>
      <c r="T32" s="62">
        <f t="shared" si="34"/>
        <v>240.19413322685813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</v>
      </c>
      <c r="AI32" s="14">
        <f>IF('Données projet'!$A$62&gt;35,AI31+AH32-AQ31,IF(A32&lt;'Données projet'!$A$62,$AF$205^A32,IF(A32='Données projet'!$A$62,'Données projet'!$B$62,AI31+AH32-AQ31)))</f>
        <v>162.99999999999994</v>
      </c>
      <c r="AJ32" s="14">
        <f>AI32*VLOOKUP('Données projet'!$B$10,Paramètres!$A$1:$I$89,3,0)*VLOOKUP('Données projet'!$B$10,Paramètres!$A$1:$I$89,5,0)</f>
        <v>106.79759999999997</v>
      </c>
      <c r="AK32" s="14">
        <f t="shared" si="35"/>
        <v>28.575181674561094</v>
      </c>
      <c r="AL32" s="22">
        <f t="shared" si="4"/>
        <v>235.77426141652714</v>
      </c>
      <c r="AM32" s="62">
        <f t="shared" si="5"/>
        <v>527.88537252763831</v>
      </c>
      <c r="AN32" s="62">
        <f ca="1">AVERAGE(OFFSET($AM$3,0,0,'Données projet'!$E$10+1,1))-AVERAGE(OFFSET($H$3,0,0,'Données projet'!$E$10+1,1))</f>
        <v>214.08705070588002</v>
      </c>
      <c r="AO32" s="62">
        <f t="shared" si="36"/>
        <v>251.33527585147152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17</v>
      </c>
      <c r="BD32" s="13">
        <f>IF('Données projet'!$A$88&gt;35,BD31+BC32-BL31,IF(A32&lt;'Données projet'!$A$88,$BA$205^A32,IF(A32='Données projet'!$A$88,'Données projet'!$B$88,BD31+BC32-BL31)))</f>
        <v>162</v>
      </c>
      <c r="BE32" s="14">
        <f>BD32*VLOOKUP('Données projet'!$B$11,Paramètres!$A$1:$I$89,3,0)*VLOOKUP('Données projet'!$B$11,Paramètres!$A$1:$I$89,5,0)</f>
        <v>92.664000000000001</v>
      </c>
      <c r="BF32" s="14">
        <f t="shared" si="37"/>
        <v>25.206622814445748</v>
      </c>
      <c r="BG32" s="22">
        <f t="shared" si="7"/>
        <v>205.29133473515969</v>
      </c>
      <c r="BH32" s="62">
        <f t="shared" si="8"/>
        <v>497.40244584627084</v>
      </c>
      <c r="BI32" s="62">
        <f ca="1">AVERAGE(OFFSET($BH$3,0,0,'Données projet'!$E$11+1,1))-AVERAGE(OFFSET($H$3,0,0,'Données projet'!$E$11+1,1))</f>
        <v>239.41486198585676</v>
      </c>
      <c r="BJ32" s="62">
        <f t="shared" si="38"/>
        <v>224.9174498508774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4.3715489007496844</v>
      </c>
      <c r="BS32" s="24">
        <f t="shared" si="9"/>
        <v>4.3715489007496844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</v>
      </c>
      <c r="BY32" s="13">
        <f>IF('Données projet'!$A$114&gt;35,BY31+BX32-CG31,IF(A32&lt;'Données projet'!$A$114,$BV$205^A32,IF(A32='Données projet'!$A$114,'Données projet'!$B$114,BY31+BX32-CG31)))</f>
        <v>223.99999999999994</v>
      </c>
      <c r="BZ32" s="14">
        <f>BY32*VLOOKUP('Données projet'!$B$12,Paramètres!$A$1:$I$89,3,0)*VLOOKUP('Données projet'!$B$12,Paramètres!$A$1:$I$89,5,0)</f>
        <v>133.95199999999997</v>
      </c>
      <c r="CA32" s="14">
        <f t="shared" si="39"/>
        <v>34.907952797441631</v>
      </c>
      <c r="CB32" s="22">
        <f t="shared" si="10"/>
        <v>294.09775112221075</v>
      </c>
      <c r="CC32" s="62">
        <f t="shared" si="11"/>
        <v>586.20886223332195</v>
      </c>
      <c r="CD32" s="62">
        <f ca="1">AVERAGE(OFFSET($CC$3,0,0,'Données projet'!$E$12+1,1))-AVERAGE(OFFSET($H$3,0,0,'Données projet'!$E$12+1,1))</f>
        <v>288.65195492450403</v>
      </c>
      <c r="CE32" s="62">
        <f t="shared" si="40"/>
        <v>310.66800441693891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0.44884149656691991</v>
      </c>
      <c r="CN32" s="24">
        <f t="shared" si="12"/>
        <v>0.44884149656691991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>
        <f>VLOOKUP(A32,'Données projet'!$A$139:$I$159,2,0)</f>
        <v>570</v>
      </c>
      <c r="CR32" s="13">
        <f>VLOOKUP(A32,'Données projet'!$A$139:$I$159,9,0)</f>
        <v>46.2</v>
      </c>
      <c r="CS32" s="13">
        <f t="array" ref="CS32">INDEX(CR:CR,MIN(IF(ISNUMBER(CR32:CR228),ROW(CR32:CR228),"")))</f>
        <v>46.2</v>
      </c>
      <c r="CT32" s="13">
        <f>IF('Données projet'!$A$140&gt;35,CT31+CS32-DB31,IF(A32&lt;'Données projet'!$A$140,$CQ$205^A32,IF(A32='Données projet'!$A$140,'Données projet'!$B$140,CT31+CS32-DB31)))</f>
        <v>570</v>
      </c>
      <c r="CU32" s="18">
        <f>CT32*VLOOKUP('Données projet'!$B$13,Paramètres!$A$1:$I$89,3,0)*VLOOKUP('Données projet'!$B$13,Paramètres!$A$1:$I$89,5,0)</f>
        <v>251.94000000000003</v>
      </c>
      <c r="CV32" s="14">
        <f t="shared" si="41"/>
        <v>61.001175575882066</v>
      </c>
      <c r="CW32" s="22">
        <f t="shared" si="13"/>
        <v>545.03921412799457</v>
      </c>
      <c r="CX32" s="62">
        <f t="shared" si="14"/>
        <v>837.15032523910577</v>
      </c>
      <c r="CY32" s="62">
        <f ca="1">AVERAGE(OFFSET($CX$3,0,0,'Données projet'!$E$13+1,1))-AVERAGE(OFFSET($H$3,0,0,'Données projet'!$E$13+1,1))</f>
        <v>572.6451446653349</v>
      </c>
      <c r="CZ32" s="62">
        <f t="shared" si="42"/>
        <v>389.15977992931374</v>
      </c>
      <c r="DA32" s="16">
        <f>IF(ISNA(VLOOKUP(A32,'Données projet'!$A$139:$I$159,3,0)),0,VLOOKUP(A32,'Données projet'!$A$139:$I$159,3,0))</f>
        <v>2</v>
      </c>
      <c r="DB32" s="16">
        <f>IF(ISNA(VLOOKUP(A32,'Données projet'!$A$139:$I$159,4,0)),0,VLOOKUP(A32,'Données projet'!$A$139:$I$159,4,0))</f>
        <v>210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9.1999999999999993</v>
      </c>
      <c r="DO32" s="13">
        <f>IF('Données projet'!$A$166&gt;35,DO31+DN32-DW31,IF(A32&lt;'Données projet'!$A$166,$DL$205^A32,IF(A32='Données projet'!$A$166,'Données projet'!$B$166,DO31+DN32-DW31)))</f>
        <v>111.80000000000003</v>
      </c>
      <c r="DP32" s="18">
        <f>DO32*VLOOKUP('Données projet'!$B$14,Paramètres!$A$1:$I$89,3,0)*VLOOKUP('Données projet'!$B$14,Paramètres!$A$1:$I$89,5,0)</f>
        <v>94.180320000000037</v>
      </c>
      <c r="DQ32" s="14">
        <f t="shared" si="43"/>
        <v>25.570738079029208</v>
      </c>
      <c r="DR32" s="22">
        <f t="shared" si="16"/>
        <v>208.56642615430928</v>
      </c>
      <c r="DS32" s="62">
        <f t="shared" si="17"/>
        <v>500.67753726542043</v>
      </c>
      <c r="DT32" s="62">
        <f ca="1">AVERAGE(OFFSET($DS$3,0,0,'Données projet'!$E$14+1,1))-AVERAGE(OFFSET($H$3,0,0,'Données projet'!$E$14+1,1))</f>
        <v>383.83934938682984</v>
      </c>
      <c r="DU32" s="62">
        <f t="shared" si="44"/>
        <v>223.93106361972281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294.68994575680784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415.89259563928869</v>
      </c>
      <c r="T33" s="62">
        <f t="shared" si="34"/>
        <v>240.19413322685813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175</v>
      </c>
      <c r="AG33" s="13">
        <f>VLOOKUP(A33,'Données projet'!$A$61:$I$81,9,0)</f>
        <v>12</v>
      </c>
      <c r="AH33" s="13">
        <f t="array" ref="AH33">INDEX(AG:AG,MIN(IF(ISNUMBER(AG33:AG229),ROW(AG33:AG229),"")))</f>
        <v>12</v>
      </c>
      <c r="AI33" s="14">
        <f>IF('Données projet'!$A$62&gt;35,AI32+AH33-AQ32,IF(A33&lt;'Données projet'!$A$62,$AF$205^A33,IF(A33='Données projet'!$A$62,'Données projet'!$B$62,AI32+AH33-AQ32)))</f>
        <v>174.99999999999994</v>
      </c>
      <c r="AJ33" s="14">
        <f>AI33*VLOOKUP('Données projet'!$B$10,Paramètres!$A$1:$I$89,3,0)*VLOOKUP('Données projet'!$B$10,Paramètres!$A$1:$I$89,5,0)</f>
        <v>114.65999999999995</v>
      </c>
      <c r="AK33" s="14">
        <f t="shared" si="35"/>
        <v>30.426251641117418</v>
      </c>
      <c r="AL33" s="22">
        <f t="shared" si="4"/>
        <v>252.69188827494608</v>
      </c>
      <c r="AM33" s="62">
        <f t="shared" si="5"/>
        <v>546.02522160827937</v>
      </c>
      <c r="AN33" s="62">
        <f ca="1">AVERAGE(OFFSET($AM$3,0,0,'Données projet'!$E$10+1,1))-AVERAGE(OFFSET($H$3,0,0,'Données projet'!$E$10+1,1))</f>
        <v>214.08705070588002</v>
      </c>
      <c r="AO33" s="62">
        <f t="shared" si="36"/>
        <v>251.33527585147152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56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179</v>
      </c>
      <c r="BB33" s="13">
        <f>VLOOKUP(A33,'Données projet'!$A$87:$I$107,9,0)</f>
        <v>17</v>
      </c>
      <c r="BC33" s="13">
        <f t="array" ref="BC33">INDEX(BB:BB,MIN(IF(ISNUMBER(BB33:BB229),ROW(BB33:BB229),"")))</f>
        <v>17</v>
      </c>
      <c r="BD33" s="13">
        <f>IF('Données projet'!$A$88&gt;35,BD32+BC33-BL32,IF(A33&lt;'Données projet'!$A$88,$BA$205^A33,IF(A33='Données projet'!$A$88,'Données projet'!$B$88,BD32+BC33-BL32)))</f>
        <v>179</v>
      </c>
      <c r="BE33" s="14">
        <f>BD33*VLOOKUP('Données projet'!$B$11,Paramètres!$A$1:$I$89,3,0)*VLOOKUP('Données projet'!$B$11,Paramètres!$A$1:$I$89,5,0)</f>
        <v>102.38800000000001</v>
      </c>
      <c r="BF33" s="14">
        <f t="shared" si="37"/>
        <v>27.530121880010693</v>
      </c>
      <c r="BG33" s="22">
        <f t="shared" si="7"/>
        <v>226.27406227435191</v>
      </c>
      <c r="BH33" s="62">
        <f t="shared" si="8"/>
        <v>519.60739560768525</v>
      </c>
      <c r="BI33" s="62">
        <f ca="1">AVERAGE(OFFSET($BH$3,0,0,'Données projet'!$E$11+1,1))-AVERAGE(OFFSET($H$3,0,0,'Données projet'!$E$11+1,1))</f>
        <v>239.41486198585676</v>
      </c>
      <c r="BJ33" s="62">
        <f t="shared" si="38"/>
        <v>224.9174498508774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3.0911518720086995</v>
      </c>
      <c r="BS33" s="24">
        <f t="shared" si="9"/>
        <v>3.0911518720086995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238</v>
      </c>
      <c r="BW33" s="13">
        <f>VLOOKUP(A33,'Données projet'!$A$113:$I$133,9,0)</f>
        <v>14</v>
      </c>
      <c r="BX33" s="13">
        <f t="array" ref="BX33">INDEX(BW:BW,MIN(IF(ISNUMBER(BW33:BW229),ROW(BW33:BW229),"")))</f>
        <v>14</v>
      </c>
      <c r="BY33" s="13">
        <f>IF('Données projet'!$A$114&gt;35,BY32+BX33-CG32,IF(A33&lt;'Données projet'!$A$114,$BV$205^A33,IF(A33='Données projet'!$A$114,'Données projet'!$B$114,BY32+BX33-CG32)))</f>
        <v>237.99999999999994</v>
      </c>
      <c r="BZ33" s="14">
        <f>BY33*VLOOKUP('Données projet'!$B$12,Paramètres!$A$1:$I$89,3,0)*VLOOKUP('Données projet'!$B$12,Paramètres!$A$1:$I$89,5,0)</f>
        <v>142.32399999999998</v>
      </c>
      <c r="CA33" s="14">
        <f t="shared" si="39"/>
        <v>36.828890051912026</v>
      </c>
      <c r="CB33" s="22">
        <f t="shared" si="10"/>
        <v>312.02461684041344</v>
      </c>
      <c r="CC33" s="62">
        <f t="shared" si="11"/>
        <v>605.35795017374676</v>
      </c>
      <c r="CD33" s="62">
        <f ca="1">AVERAGE(OFFSET($CC$3,0,0,'Données projet'!$E$12+1,1))-AVERAGE(OFFSET($H$3,0,0,'Données projet'!$E$12+1,1))</f>
        <v>288.65195492450403</v>
      </c>
      <c r="CE33" s="62">
        <f t="shared" si="40"/>
        <v>310.66800441693891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90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0.5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30.785749992337582</v>
      </c>
      <c r="CN33" s="24">
        <f t="shared" si="12"/>
        <v>30.785749992337582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45.2</v>
      </c>
      <c r="CT33" s="13">
        <f>IF('Données projet'!$A$140&gt;35,CT32+CS33-DB32,IF(A33&lt;'Données projet'!$A$140,$CQ$205^A33,IF(A33='Données projet'!$A$140,'Données projet'!$B$140,CT32+CS33-DB32)))</f>
        <v>405.20000000000005</v>
      </c>
      <c r="CU33" s="18">
        <f>CT33*VLOOKUP('Données projet'!$B$13,Paramètres!$A$1:$I$89,3,0)*VLOOKUP('Données projet'!$B$13,Paramètres!$A$1:$I$89,5,0)</f>
        <v>179.09840000000005</v>
      </c>
      <c r="CV33" s="14">
        <f t="shared" si="41"/>
        <v>45.121538192988417</v>
      </c>
      <c r="CW33" s="22">
        <f t="shared" si="13"/>
        <v>390.51639235278827</v>
      </c>
      <c r="CX33" s="62">
        <f t="shared" si="14"/>
        <v>683.84972568612159</v>
      </c>
      <c r="CY33" s="62">
        <f ca="1">AVERAGE(OFFSET($CX$3,0,0,'Données projet'!$E$13+1,1))-AVERAGE(OFFSET($H$3,0,0,'Données projet'!$E$13+1,1))</f>
        <v>572.6451446653349</v>
      </c>
      <c r="CZ33" s="62">
        <f t="shared" si="42"/>
        <v>389.15977992931374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121</v>
      </c>
      <c r="DM33" s="13">
        <f>VLOOKUP(A33,'Données projet'!$A$165:$I$185,9,0)</f>
        <v>9.1999999999999993</v>
      </c>
      <c r="DN33" s="13">
        <f t="array" ref="DN33">INDEX(DM:DM,MIN(IF(ISNUMBER(DM33:DM229),ROW(DM33:DM229),"")))</f>
        <v>9.1999999999999993</v>
      </c>
      <c r="DO33" s="13">
        <f>IF('Données projet'!$A$166&gt;35,DO32+DN33-DW32,IF(A33&lt;'Données projet'!$A$166,$DL$205^A33,IF(A33='Données projet'!$A$166,'Données projet'!$B$166,DO32+DN33-DW32)))</f>
        <v>121.00000000000003</v>
      </c>
      <c r="DP33" s="18">
        <f>DO33*VLOOKUP('Données projet'!$B$14,Paramètres!$A$1:$I$89,3,0)*VLOOKUP('Données projet'!$B$14,Paramètres!$A$1:$I$89,5,0)</f>
        <v>101.93040000000003</v>
      </c>
      <c r="DQ33" s="14">
        <f t="shared" si="43"/>
        <v>27.421375718582158</v>
      </c>
      <c r="DR33" s="22">
        <f t="shared" si="16"/>
        <v>225.28767604319731</v>
      </c>
      <c r="DS33" s="62">
        <f t="shared" si="17"/>
        <v>518.62100937653065</v>
      </c>
      <c r="DT33" s="62">
        <f ca="1">AVERAGE(OFFSET($DS$3,0,0,'Données projet'!$E$14+1,1))-AVERAGE(OFFSET($H$3,0,0,'Données projet'!$E$14+1,1))</f>
        <v>383.83934938682984</v>
      </c>
      <c r="DU33" s="62">
        <f t="shared" si="44"/>
        <v>223.93106361972281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295.92001273712469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2">
        <f t="shared" si="0"/>
        <v>555.8952725195021</v>
      </c>
      <c r="S34" s="62">
        <f ca="1">AVERAGE(OFFSET($R$3,0,0,'Données projet'!$E$9+1,1))-AVERAGE(OFFSET($H$3,0,0,'Données projet'!$E$9+1,1))</f>
        <v>415.89259563928869</v>
      </c>
      <c r="T34" s="62">
        <f t="shared" si="34"/>
        <v>240.19413322685813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10.6</v>
      </c>
      <c r="AI34" s="14">
        <f>IF('Données projet'!$A$62&gt;35,AI33+AH34-AQ33,IF(A34&lt;'Données projet'!$A$62,$AF$205^A34,IF(A34='Données projet'!$A$62,'Données projet'!$B$62,AI33+AH34-AQ33)))</f>
        <v>129.59999999999994</v>
      </c>
      <c r="AJ34" s="14">
        <f>AI34*VLOOKUP('Données projet'!$B$10,Paramètres!$A$1:$I$89,3,0)*VLOOKUP('Données projet'!$B$10,Paramètres!$A$1:$I$89,5,0)</f>
        <v>84.913919999999962</v>
      </c>
      <c r="AK34" s="14">
        <f t="shared" si="35"/>
        <v>23.334463079752254</v>
      </c>
      <c r="AL34" s="22">
        <f t="shared" si="4"/>
        <v>188.53260053056843</v>
      </c>
      <c r="AM34" s="62">
        <f t="shared" si="5"/>
        <v>481.86593386390177</v>
      </c>
      <c r="AN34" s="62">
        <f ca="1">AVERAGE(OFFSET($AM$3,0,0,'Données projet'!$E$10+1,1))-AVERAGE(OFFSET($H$3,0,0,'Données projet'!$E$10+1,1))</f>
        <v>214.08705070588002</v>
      </c>
      <c r="AO34" s="62">
        <f t="shared" si="36"/>
        <v>251.33527585147152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20.399999999999999</v>
      </c>
      <c r="BD34" s="13">
        <f>IF('Données projet'!$A$88&gt;35,BD33+BC34-BL33,IF(A34&lt;'Données projet'!$A$88,$BA$205^A34,IF(A34='Données projet'!$A$88,'Données projet'!$B$88,BD33+BC34-BL33)))</f>
        <v>199.4</v>
      </c>
      <c r="BE34" s="14">
        <f>BD34*VLOOKUP('Données projet'!$B$11,Paramètres!$A$1:$I$89,3,0)*VLOOKUP('Données projet'!$B$11,Paramètres!$A$1:$I$89,5,0)</f>
        <v>114.05680000000001</v>
      </c>
      <c r="BF34" s="14">
        <f t="shared" si="37"/>
        <v>30.28477433983053</v>
      </c>
      <c r="BG34" s="22">
        <f t="shared" si="7"/>
        <v>251.39490864187155</v>
      </c>
      <c r="BH34" s="62">
        <f t="shared" si="8"/>
        <v>544.72824197520481</v>
      </c>
      <c r="BI34" s="62">
        <f ca="1">AVERAGE(OFFSET($BH$3,0,0,'Données projet'!$E$11+1,1))-AVERAGE(OFFSET($H$3,0,0,'Données projet'!$E$11+1,1))</f>
        <v>239.41486198585676</v>
      </c>
      <c r="BJ34" s="62">
        <f t="shared" si="38"/>
        <v>224.9174498508774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2.1857744503748422</v>
      </c>
      <c r="BS34" s="24">
        <f t="shared" si="9"/>
        <v>2.1857744503748422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19.2</v>
      </c>
      <c r="BY34" s="13">
        <f>IF('Données projet'!$A$114&gt;35,BY33+BX34-CG33,IF(A34&lt;'Données projet'!$A$114,$BV$205^A34,IF(A34='Données projet'!$A$114,'Données projet'!$B$114,BY33+BX34-CG33)))</f>
        <v>167.19999999999993</v>
      </c>
      <c r="BZ34" s="14">
        <f>BY34*VLOOKUP('Données projet'!$B$12,Paramètres!$A$1:$I$89,3,0)*VLOOKUP('Données projet'!$B$12,Paramètres!$A$1:$I$89,5,0)</f>
        <v>99.985599999999977</v>
      </c>
      <c r="CA34" s="14">
        <f t="shared" si="39"/>
        <v>26.95856691816941</v>
      </c>
      <c r="CB34" s="22">
        <f t="shared" si="10"/>
        <v>221.094424049145</v>
      </c>
      <c r="CC34" s="62">
        <f t="shared" si="11"/>
        <v>514.42775738247838</v>
      </c>
      <c r="CD34" s="62">
        <f ca="1">AVERAGE(OFFSET($CC$3,0,0,'Données projet'!$E$12+1,1))-AVERAGE(OFFSET($H$3,0,0,'Données projet'!$E$12+1,1))</f>
        <v>288.65195492450403</v>
      </c>
      <c r="CE34" s="62">
        <f t="shared" si="40"/>
        <v>310.66800441693891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21.76881258349561</v>
      </c>
      <c r="CN34" s="24">
        <f t="shared" si="12"/>
        <v>21.76881258349561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45.2</v>
      </c>
      <c r="CT34" s="13">
        <f>IF('Données projet'!$A$140&gt;35,CT33+CS34-DB33,IF(A34&lt;'Données projet'!$A$140,$CQ$205^A34,IF(A34='Données projet'!$A$140,'Données projet'!$B$140,CT33+CS34-DB33)))</f>
        <v>450.40000000000003</v>
      </c>
      <c r="CU34" s="18">
        <f>CT34*VLOOKUP('Données projet'!$B$13,Paramètres!$A$1:$I$89,3,0)*VLOOKUP('Données projet'!$B$13,Paramètres!$A$1:$I$89,5,0)</f>
        <v>199.07680000000005</v>
      </c>
      <c r="CV34" s="14">
        <f t="shared" si="41"/>
        <v>49.541221706985176</v>
      </c>
      <c r="CW34" s="22">
        <f t="shared" si="13"/>
        <v>433.00972113966594</v>
      </c>
      <c r="CX34" s="62">
        <f t="shared" si="14"/>
        <v>726.34305447299926</v>
      </c>
      <c r="CY34" s="62">
        <f ca="1">AVERAGE(OFFSET($CX$3,0,0,'Données projet'!$E$13+1,1))-AVERAGE(OFFSET($H$3,0,0,'Données projet'!$E$13+1,1))</f>
        <v>572.6451446653349</v>
      </c>
      <c r="CZ34" s="62">
        <f t="shared" si="42"/>
        <v>389.15977992931374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10.8</v>
      </c>
      <c r="DO34" s="13">
        <f>IF('Données projet'!$A$166&gt;35,DO33+DN34-DW33,IF(A34&lt;'Données projet'!$A$166,$DL$205^A34,IF(A34='Données projet'!$A$166,'Données projet'!$B$166,DO33+DN34-DW33)))</f>
        <v>131.80000000000004</v>
      </c>
      <c r="DP34" s="18">
        <f>DO34*VLOOKUP('Données projet'!$B$14,Paramètres!$A$1:$I$89,3,0)*VLOOKUP('Données projet'!$B$14,Paramètres!$A$1:$I$89,5,0)</f>
        <v>111.02832000000005</v>
      </c>
      <c r="DQ34" s="14">
        <f t="shared" si="43"/>
        <v>29.573133422929669</v>
      </c>
      <c r="DR34" s="22">
        <f t="shared" si="16"/>
        <v>244.88086471160261</v>
      </c>
      <c r="DS34" s="62">
        <f t="shared" si="17"/>
        <v>538.21419804493598</v>
      </c>
      <c r="DT34" s="62">
        <f ca="1">AVERAGE(OFFSET($DS$3,0,0,'Données projet'!$E$14+1,1))-AVERAGE(OFFSET($H$3,0,0,'Données projet'!$E$14+1,1))</f>
        <v>383.83934938682984</v>
      </c>
      <c r="DU34" s="62">
        <f t="shared" si="44"/>
        <v>223.93106361972281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297.14903345164504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2">
        <f t="shared" si="0"/>
        <v>576.86852712790665</v>
      </c>
      <c r="S35" s="62">
        <f ca="1">AVERAGE(OFFSET($R$3,0,0,'Données projet'!$E$9+1,1))-AVERAGE(OFFSET($H$3,0,0,'Données projet'!$E$9+1,1))</f>
        <v>415.89259563928869</v>
      </c>
      <c r="T35" s="62">
        <f t="shared" si="34"/>
        <v>240.19413322685813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10.6</v>
      </c>
      <c r="AI35" s="14">
        <f>IF('Données projet'!$A$62&gt;35,AI34+AH35-AQ34,IF(A35&lt;'Données projet'!$A$62,$AF$205^A35,IF(A35='Données projet'!$A$62,'Données projet'!$B$62,AI34+AH35-AQ34)))</f>
        <v>140.19999999999993</v>
      </c>
      <c r="AJ35" s="14">
        <f>AI35*VLOOKUP('Données projet'!$B$10,Paramètres!$A$1:$I$89,3,0)*VLOOKUP('Données projet'!$B$10,Paramètres!$A$1:$I$89,5,0)</f>
        <v>91.859039999999965</v>
      </c>
      <c r="AK35" s="14">
        <f t="shared" si="35"/>
        <v>25.013045770946896</v>
      </c>
      <c r="AL35" s="22">
        <f t="shared" si="4"/>
        <v>203.55221605106576</v>
      </c>
      <c r="AM35" s="62">
        <f t="shared" si="5"/>
        <v>496.88554938439904</v>
      </c>
      <c r="AN35" s="62">
        <f ca="1">AVERAGE(OFFSET($AM$3,0,0,'Données projet'!$E$10+1,1))-AVERAGE(OFFSET($H$3,0,0,'Données projet'!$E$10+1,1))</f>
        <v>214.08705070588002</v>
      </c>
      <c r="AO35" s="62">
        <f t="shared" si="36"/>
        <v>251.33527585147152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20.399999999999999</v>
      </c>
      <c r="BD35" s="13">
        <f>IF('Données projet'!$A$88&gt;35,BD34+BC35-BL34,IF(A35&lt;'Données projet'!$A$88,$BA$205^A35,IF(A35='Données projet'!$A$88,'Données projet'!$B$88,BD34+BC35-BL34)))</f>
        <v>219.8</v>
      </c>
      <c r="BE35" s="14">
        <f>BD35*VLOOKUP('Données projet'!$B$11,Paramètres!$A$1:$I$89,3,0)*VLOOKUP('Données projet'!$B$11,Paramètres!$A$1:$I$89,5,0)</f>
        <v>125.72560000000001</v>
      </c>
      <c r="BF35" s="14">
        <f t="shared" si="37"/>
        <v>33.00675739860857</v>
      </c>
      <c r="BG35" s="22">
        <f t="shared" si="7"/>
        <v>276.45885580257664</v>
      </c>
      <c r="BH35" s="62">
        <f t="shared" si="8"/>
        <v>569.79218913590989</v>
      </c>
      <c r="BI35" s="62">
        <f ca="1">AVERAGE(OFFSET($BH$3,0,0,'Données projet'!$E$11+1,1))-AVERAGE(OFFSET($H$3,0,0,'Données projet'!$E$11+1,1))</f>
        <v>239.41486198585676</v>
      </c>
      <c r="BJ35" s="62">
        <f t="shared" si="38"/>
        <v>224.9174498508774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1.5455759360043497</v>
      </c>
      <c r="BS35" s="24">
        <f t="shared" si="9"/>
        <v>1.5455759360043497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19.2</v>
      </c>
      <c r="BY35" s="13">
        <f>IF('Données projet'!$A$114&gt;35,BY34+BX35-CG34,IF(A35&lt;'Données projet'!$A$114,$BV$205^A35,IF(A35='Données projet'!$A$114,'Données projet'!$B$114,BY34+BX35-CG34)))</f>
        <v>186.39999999999992</v>
      </c>
      <c r="BZ35" s="14">
        <f>BY35*VLOOKUP('Données projet'!$B$12,Paramètres!$A$1:$I$89,3,0)*VLOOKUP('Données projet'!$B$12,Paramètres!$A$1:$I$89,5,0)</f>
        <v>111.46719999999996</v>
      </c>
      <c r="CA35" s="14">
        <f t="shared" si="39"/>
        <v>29.676401310795534</v>
      </c>
      <c r="CB35" s="22">
        <f t="shared" si="10"/>
        <v>245.82510561630218</v>
      </c>
      <c r="CC35" s="62">
        <f t="shared" si="11"/>
        <v>539.15843894963552</v>
      </c>
      <c r="CD35" s="62">
        <f ca="1">AVERAGE(OFFSET($CC$3,0,0,'Données projet'!$E$12+1,1))-AVERAGE(OFFSET($H$3,0,0,'Données projet'!$E$12+1,1))</f>
        <v>288.65195492450403</v>
      </c>
      <c r="CE35" s="62">
        <f t="shared" si="40"/>
        <v>310.66800441693891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15.392874996168793</v>
      </c>
      <c r="CN35" s="24">
        <f t="shared" si="12"/>
        <v>15.392874996168793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45.2</v>
      </c>
      <c r="CT35" s="13">
        <f>IF('Données projet'!$A$140&gt;35,CT34+CS35-DB34,IF(A35&lt;'Données projet'!$A$140,$CQ$205^A35,IF(A35='Données projet'!$A$140,'Données projet'!$B$140,CT34+CS35-DB34)))</f>
        <v>495.6</v>
      </c>
      <c r="CU35" s="18">
        <f>CT35*VLOOKUP('Données projet'!$B$13,Paramètres!$A$1:$I$89,3,0)*VLOOKUP('Données projet'!$B$13,Paramètres!$A$1:$I$89,5,0)</f>
        <v>219.05520000000004</v>
      </c>
      <c r="CV35" s="14">
        <f t="shared" si="41"/>
        <v>53.909486701352755</v>
      </c>
      <c r="CW35" s="22">
        <f t="shared" si="13"/>
        <v>475.41349600485609</v>
      </c>
      <c r="CX35" s="62">
        <f t="shared" si="14"/>
        <v>768.7468293381894</v>
      </c>
      <c r="CY35" s="62">
        <f ca="1">AVERAGE(OFFSET($CX$3,0,0,'Données projet'!$E$13+1,1))-AVERAGE(OFFSET($H$3,0,0,'Données projet'!$E$13+1,1))</f>
        <v>572.6451446653349</v>
      </c>
      <c r="CZ35" s="62">
        <f t="shared" si="42"/>
        <v>389.15977992931374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10.8</v>
      </c>
      <c r="DO35" s="13">
        <f>IF('Données projet'!$A$166&gt;35,DO34+DN35-DW34,IF(A35&lt;'Données projet'!$A$166,$DL$205^A35,IF(A35='Données projet'!$A$166,'Données projet'!$B$166,DO34+DN35-DW34)))</f>
        <v>142.60000000000005</v>
      </c>
      <c r="DP35" s="18">
        <f>DO35*VLOOKUP('Données projet'!$B$14,Paramètres!$A$1:$I$89,3,0)*VLOOKUP('Données projet'!$B$14,Paramètres!$A$1:$I$89,5,0)</f>
        <v>120.12624000000005</v>
      </c>
      <c r="DQ35" s="14">
        <f t="shared" si="43"/>
        <v>31.704440899018444</v>
      </c>
      <c r="DR35" s="22">
        <f t="shared" si="16"/>
        <v>264.43843589912387</v>
      </c>
      <c r="DS35" s="62">
        <f t="shared" si="17"/>
        <v>557.77176923245725</v>
      </c>
      <c r="DT35" s="62">
        <f ca="1">AVERAGE(OFFSET($DS$3,0,0,'Données projet'!$E$14+1,1))-AVERAGE(OFFSET($H$3,0,0,'Données projet'!$E$14+1,1))</f>
        <v>383.83934938682984</v>
      </c>
      <c r="DU35" s="62">
        <f t="shared" si="44"/>
        <v>223.93106361972281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298.37704434769694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2">
        <f t="shared" si="0"/>
        <v>597.80704287706772</v>
      </c>
      <c r="S36" s="62">
        <f ca="1">AVERAGE(OFFSET($R$3,0,0,'Données projet'!$E$9+1,1))-AVERAGE(OFFSET($H$3,0,0,'Données projet'!$E$9+1,1))</f>
        <v>415.89259563928869</v>
      </c>
      <c r="T36" s="62">
        <f t="shared" si="34"/>
        <v>240.19413322685813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10.6</v>
      </c>
      <c r="AI36" s="14">
        <f>IF('Données projet'!$A$62&gt;35,AI35+AH36-AQ35,IF(A36&lt;'Données projet'!$A$62,$AF$205^A36,IF(A36='Données projet'!$A$62,'Données projet'!$B$62,AI35+AH36-AQ35)))</f>
        <v>150.79999999999993</v>
      </c>
      <c r="AJ36" s="14">
        <f>AI36*VLOOKUP('Données projet'!$B$10,Paramètres!$A$1:$I$89,3,0)*VLOOKUP('Données projet'!$B$10,Paramètres!$A$1:$I$89,5,0)</f>
        <v>98.804159999999953</v>
      </c>
      <c r="AK36" s="14">
        <f t="shared" si="35"/>
        <v>26.676905991504523</v>
      </c>
      <c r="AL36" s="22">
        <f t="shared" si="4"/>
        <v>218.54618993520364</v>
      </c>
      <c r="AM36" s="62">
        <f t="shared" si="5"/>
        <v>511.87952326853696</v>
      </c>
      <c r="AN36" s="62">
        <f ca="1">AVERAGE(OFFSET($AM$3,0,0,'Données projet'!$E$10+1,1))-AVERAGE(OFFSET($H$3,0,0,'Données projet'!$E$10+1,1))</f>
        <v>214.08705070588002</v>
      </c>
      <c r="AO36" s="62">
        <f t="shared" si="36"/>
        <v>251.33527585147152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20.399999999999999</v>
      </c>
      <c r="BD36" s="13">
        <f>IF('Données projet'!$A$88&gt;35,BD35+BC36-BL35,IF(A36&lt;'Données projet'!$A$88,$BA$205^A36,IF(A36='Données projet'!$A$88,'Données projet'!$B$88,BD35+BC36-BL35)))</f>
        <v>240.20000000000002</v>
      </c>
      <c r="BE36" s="14">
        <f>BD36*VLOOKUP('Données projet'!$B$11,Paramètres!$A$1:$I$89,3,0)*VLOOKUP('Données projet'!$B$11,Paramètres!$A$1:$I$89,5,0)</f>
        <v>137.39440000000002</v>
      </c>
      <c r="BF36" s="14">
        <f t="shared" si="37"/>
        <v>35.699448041286296</v>
      </c>
      <c r="BG36" s="22">
        <f t="shared" si="7"/>
        <v>301.47178533857368</v>
      </c>
      <c r="BH36" s="62">
        <f t="shared" si="8"/>
        <v>594.80511867190694</v>
      </c>
      <c r="BI36" s="62">
        <f ca="1">AVERAGE(OFFSET($BH$3,0,0,'Données projet'!$E$11+1,1))-AVERAGE(OFFSET($H$3,0,0,'Données projet'!$E$11+1,1))</f>
        <v>239.41486198585676</v>
      </c>
      <c r="BJ36" s="62">
        <f t="shared" si="38"/>
        <v>224.9174498508774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1.0928872251874211</v>
      </c>
      <c r="BS36" s="24">
        <f t="shared" si="9"/>
        <v>1.0928872251874211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19.2</v>
      </c>
      <c r="BY36" s="13">
        <f>IF('Données projet'!$A$114&gt;35,BY35+BX36-CG35,IF(A36&lt;'Données projet'!$A$114,$BV$205^A36,IF(A36='Données projet'!$A$114,'Données projet'!$B$114,BY35+BX36-CG35)))</f>
        <v>205.59999999999991</v>
      </c>
      <c r="BZ36" s="14">
        <f>BY36*VLOOKUP('Données projet'!$B$12,Paramètres!$A$1:$I$89,3,0)*VLOOKUP('Données projet'!$B$12,Paramètres!$A$1:$I$89,5,0)</f>
        <v>122.94879999999996</v>
      </c>
      <c r="CA36" s="14">
        <f t="shared" si="39"/>
        <v>32.361783737668198</v>
      </c>
      <c r="CB36" s="22">
        <f t="shared" si="10"/>
        <v>270.49926667643871</v>
      </c>
      <c r="CC36" s="62">
        <f t="shared" si="11"/>
        <v>563.83260000977202</v>
      </c>
      <c r="CD36" s="62">
        <f ca="1">AVERAGE(OFFSET($CC$3,0,0,'Données projet'!$E$12+1,1))-AVERAGE(OFFSET($H$3,0,0,'Données projet'!$E$12+1,1))</f>
        <v>288.65195492450403</v>
      </c>
      <c r="CE36" s="62">
        <f t="shared" si="40"/>
        <v>310.66800441693891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10.884406291747807</v>
      </c>
      <c r="CN36" s="24">
        <f t="shared" si="12"/>
        <v>10.884406291747807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45.2</v>
      </c>
      <c r="CT36" s="13">
        <f>IF('Données projet'!$A$140&gt;35,CT35+CS36-DB35,IF(A36&lt;'Données projet'!$A$140,$CQ$205^A36,IF(A36='Données projet'!$A$140,'Données projet'!$B$140,CT35+CS36-DB35)))</f>
        <v>540.80000000000007</v>
      </c>
      <c r="CU36" s="18">
        <f>CT36*VLOOKUP('Données projet'!$B$13,Paramètres!$A$1:$I$89,3,0)*VLOOKUP('Données projet'!$B$13,Paramètres!$A$1:$I$89,5,0)</f>
        <v>239.03360000000006</v>
      </c>
      <c r="CV36" s="14">
        <f t="shared" si="41"/>
        <v>58.23155601353276</v>
      </c>
      <c r="CW36" s="22">
        <f t="shared" si="13"/>
        <v>517.73681339023631</v>
      </c>
      <c r="CX36" s="62">
        <f t="shared" si="14"/>
        <v>811.07014672356968</v>
      </c>
      <c r="CY36" s="62">
        <f ca="1">AVERAGE(OFFSET($CX$3,0,0,'Données projet'!$E$13+1,1))-AVERAGE(OFFSET($H$3,0,0,'Données projet'!$E$13+1,1))</f>
        <v>572.6451446653349</v>
      </c>
      <c r="CZ36" s="62">
        <f t="shared" si="42"/>
        <v>389.15977992931374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10.8</v>
      </c>
      <c r="DO36" s="13">
        <f>IF('Données projet'!$A$166&gt;35,DO35+DN36-DW35,IF(A36&lt;'Données projet'!$A$166,$DL$205^A36,IF(A36='Données projet'!$A$166,'Données projet'!$B$166,DO35+DN36-DW35)))</f>
        <v>153.40000000000006</v>
      </c>
      <c r="DP36" s="18">
        <f>DO36*VLOOKUP('Données projet'!$B$14,Paramètres!$A$1:$I$89,3,0)*VLOOKUP('Données projet'!$B$14,Paramètres!$A$1:$I$89,5,0)</f>
        <v>129.22416000000007</v>
      </c>
      <c r="DQ36" s="14">
        <f t="shared" si="43"/>
        <v>33.81702308029579</v>
      </c>
      <c r="DR36" s="22">
        <f t="shared" si="16"/>
        <v>283.96339386484857</v>
      </c>
      <c r="DS36" s="62">
        <f t="shared" si="17"/>
        <v>577.29672719818188</v>
      </c>
      <c r="DT36" s="62">
        <f ca="1">AVERAGE(OFFSET($DS$3,0,0,'Données projet'!$E$14+1,1))-AVERAGE(OFFSET($H$3,0,0,'Données projet'!$E$14+1,1))</f>
        <v>383.83934938682984</v>
      </c>
      <c r="DU36" s="62">
        <f t="shared" si="44"/>
        <v>223.93106361972281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299.60407953815456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2">
        <f t="shared" si="0"/>
        <v>618.71354371583652</v>
      </c>
      <c r="S37" s="62">
        <f ca="1">AVERAGE(OFFSET($R$3,0,0,'Données projet'!$E$9+1,1))-AVERAGE(OFFSET($H$3,0,0,'Données projet'!$E$9+1,1))</f>
        <v>415.89259563928869</v>
      </c>
      <c r="T37" s="62">
        <f t="shared" si="34"/>
        <v>240.19413322685813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10.6</v>
      </c>
      <c r="AI37" s="14">
        <f>IF('Données projet'!$A$62&gt;35,AI36+AH37-AQ36,IF(A37&lt;'Données projet'!$A$62,$AF$205^A37,IF(A37='Données projet'!$A$62,'Données projet'!$B$62,AI36+AH37-AQ36)))</f>
        <v>161.39999999999992</v>
      </c>
      <c r="AJ37" s="14">
        <f>AI37*VLOOKUP('Données projet'!$B$10,Paramètres!$A$1:$I$89,3,0)*VLOOKUP('Données projet'!$B$10,Paramètres!$A$1:$I$89,5,0)</f>
        <v>105.74927999999996</v>
      </c>
      <c r="AK37" s="14">
        <f t="shared" si="35"/>
        <v>28.327196320252874</v>
      </c>
      <c r="AL37" s="22">
        <f t="shared" si="4"/>
        <v>233.516529591107</v>
      </c>
      <c r="AM37" s="62">
        <f t="shared" si="5"/>
        <v>526.84986292444034</v>
      </c>
      <c r="AN37" s="62">
        <f ca="1">AVERAGE(OFFSET($AM$3,0,0,'Données projet'!$E$10+1,1))-AVERAGE(OFFSET($H$3,0,0,'Données projet'!$E$10+1,1))</f>
        <v>214.08705070588002</v>
      </c>
      <c r="AO37" s="62">
        <f t="shared" si="36"/>
        <v>251.33527585147152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20.399999999999999</v>
      </c>
      <c r="BD37" s="13">
        <f>IF('Données projet'!$A$88&gt;35,BD36+BC37-BL36,IF(A37&lt;'Données projet'!$A$88,$BA$205^A37,IF(A37='Données projet'!$A$88,'Données projet'!$B$88,BD36+BC37-BL36)))</f>
        <v>260.60000000000002</v>
      </c>
      <c r="BE37" s="14">
        <f>BD37*VLOOKUP('Données projet'!$B$11,Paramètres!$A$1:$I$89,3,0)*VLOOKUP('Données projet'!$B$11,Paramètres!$A$1:$I$89,5,0)</f>
        <v>149.06320000000002</v>
      </c>
      <c r="BF37" s="14">
        <f t="shared" si="37"/>
        <v>38.365616897497283</v>
      </c>
      <c r="BG37" s="22">
        <f t="shared" si="7"/>
        <v>326.43852276314112</v>
      </c>
      <c r="BH37" s="62">
        <f t="shared" si="8"/>
        <v>619.77185609647449</v>
      </c>
      <c r="BI37" s="62">
        <f ca="1">AVERAGE(OFFSET($BH$3,0,0,'Données projet'!$E$11+1,1))-AVERAGE(OFFSET($H$3,0,0,'Données projet'!$E$11+1,1))</f>
        <v>239.41486198585676</v>
      </c>
      <c r="BJ37" s="62">
        <f t="shared" si="38"/>
        <v>224.9174498508774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0.77278796800217486</v>
      </c>
      <c r="BS37" s="24">
        <f t="shared" si="9"/>
        <v>0.77278796800217486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19.2</v>
      </c>
      <c r="BY37" s="13">
        <f>IF('Données projet'!$A$114&gt;35,BY36+BX37-CG36,IF(A37&lt;'Données projet'!$A$114,$BV$205^A37,IF(A37='Données projet'!$A$114,'Données projet'!$B$114,BY36+BX37-CG36)))</f>
        <v>224.7999999999999</v>
      </c>
      <c r="BZ37" s="14">
        <f>BY37*VLOOKUP('Données projet'!$B$12,Paramètres!$A$1:$I$89,3,0)*VLOOKUP('Données projet'!$B$12,Paramètres!$A$1:$I$89,5,0)</f>
        <v>134.43039999999996</v>
      </c>
      <c r="CA37" s="14">
        <f t="shared" si="39"/>
        <v>35.018089455699787</v>
      </c>
      <c r="CB37" s="22">
        <f t="shared" si="10"/>
        <v>295.12278580201036</v>
      </c>
      <c r="CC37" s="62">
        <f t="shared" si="11"/>
        <v>588.45611913534367</v>
      </c>
      <c r="CD37" s="62">
        <f ca="1">AVERAGE(OFFSET($CC$3,0,0,'Données projet'!$E$12+1,1))-AVERAGE(OFFSET($H$3,0,0,'Données projet'!$E$12+1,1))</f>
        <v>288.65195492450403</v>
      </c>
      <c r="CE37" s="62">
        <f t="shared" si="40"/>
        <v>310.66800441693891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7.6964374980843981</v>
      </c>
      <c r="CN37" s="24">
        <f t="shared" si="12"/>
        <v>7.6964374980843981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>
        <f>VLOOKUP(A37,'Données projet'!$A$139:$I$159,2,0)</f>
        <v>586</v>
      </c>
      <c r="CR37" s="13">
        <f>VLOOKUP(A37,'Données projet'!$A$139:$I$159,9,0)</f>
        <v>45.2</v>
      </c>
      <c r="CS37" s="13">
        <f t="array" ref="CS37">INDEX(CR:CR,MIN(IF(ISNUMBER(CR37:CR233),ROW(CR37:CR233),"")))</f>
        <v>45.2</v>
      </c>
      <c r="CT37" s="13">
        <f>IF('Données projet'!$A$140&gt;35,CT36+CS37-DB36,IF(A37&lt;'Données projet'!$A$140,$CQ$205^A37,IF(A37='Données projet'!$A$140,'Données projet'!$B$140,CT36+CS37-DB36)))</f>
        <v>586.00000000000011</v>
      </c>
      <c r="CU37" s="18">
        <f>CT37*VLOOKUP('Données projet'!$B$13,Paramètres!$A$1:$I$89,3,0)*VLOOKUP('Données projet'!$B$13,Paramètres!$A$1:$I$89,5,0)</f>
        <v>259.01200000000011</v>
      </c>
      <c r="CV37" s="14">
        <f t="shared" si="41"/>
        <v>62.511729639483519</v>
      </c>
      <c r="CW37" s="22">
        <f t="shared" si="13"/>
        <v>559.98716245543392</v>
      </c>
      <c r="CX37" s="62">
        <f t="shared" si="14"/>
        <v>853.32049578876718</v>
      </c>
      <c r="CY37" s="62">
        <f ca="1">AVERAGE(OFFSET($CX$3,0,0,'Données projet'!$E$13+1,1))-AVERAGE(OFFSET($H$3,0,0,'Données projet'!$E$13+1,1))</f>
        <v>572.6451446653349</v>
      </c>
      <c r="CZ37" s="62">
        <f t="shared" si="42"/>
        <v>389.15977992931374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10.8</v>
      </c>
      <c r="DO37" s="13">
        <f>IF('Données projet'!$A$166&gt;35,DO36+DN37-DW36,IF(A37&lt;'Données projet'!$A$166,$DL$205^A37,IF(A37='Données projet'!$A$166,'Données projet'!$B$166,DO36+DN37-DW36)))</f>
        <v>164.20000000000007</v>
      </c>
      <c r="DP37" s="18">
        <f>DO37*VLOOKUP('Données projet'!$B$14,Paramètres!$A$1:$I$89,3,0)*VLOOKUP('Données projet'!$B$14,Paramètres!$A$1:$I$89,5,0)</f>
        <v>138.32208000000008</v>
      </c>
      <c r="DQ37" s="14">
        <f t="shared" si="43"/>
        <v>35.912348257500334</v>
      </c>
      <c r="DR37" s="22">
        <f t="shared" si="16"/>
        <v>303.45829588181323</v>
      </c>
      <c r="DS37" s="62">
        <f t="shared" si="17"/>
        <v>596.79162921514649</v>
      </c>
      <c r="DT37" s="62">
        <f ca="1">AVERAGE(OFFSET($DS$3,0,0,'Données projet'!$E$14+1,1))-AVERAGE(OFFSET($H$3,0,0,'Données projet'!$E$14+1,1))</f>
        <v>383.83934938682984</v>
      </c>
      <c r="DU37" s="62">
        <f t="shared" si="44"/>
        <v>223.93106361972281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300.83017101517061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2">
        <f t="shared" si="0"/>
        <v>639.59037499870374</v>
      </c>
      <c r="S38" s="62">
        <f ca="1">AVERAGE(OFFSET($R$3,0,0,'Données projet'!$E$9+1,1))-AVERAGE(OFFSET($H$3,0,0,'Données projet'!$E$9+1,1))</f>
        <v>415.89259563928869</v>
      </c>
      <c r="T38" s="62">
        <f t="shared" si="34"/>
        <v>240.19413322685813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172</v>
      </c>
      <c r="AG38" s="13">
        <f>VLOOKUP(A38,'Données projet'!$A$61:$I$81,9,0)</f>
        <v>10.6</v>
      </c>
      <c r="AH38" s="13">
        <f t="array" ref="AH38">INDEX(AG:AG,MIN(IF(ISNUMBER(AG38:AG234),ROW(AG38:AG234),"")))</f>
        <v>10.6</v>
      </c>
      <c r="AI38" s="14">
        <f>IF('Données projet'!$A$62&gt;35,AI37+AH38-AQ37,IF(A38&lt;'Données projet'!$A$62,$AF$205^A38,IF(A38='Données projet'!$A$62,'Données projet'!$B$62,AI37+AH38-AQ37)))</f>
        <v>171.99999999999991</v>
      </c>
      <c r="AJ38" s="14">
        <f>AI38*VLOOKUP('Données projet'!$B$10,Paramètres!$A$1:$I$89,3,0)*VLOOKUP('Données projet'!$B$10,Paramètres!$A$1:$I$89,5,0)</f>
        <v>112.69439999999994</v>
      </c>
      <c r="AK38" s="14">
        <f t="shared" si="35"/>
        <v>29.964909381330607</v>
      </c>
      <c r="AL38" s="22">
        <f t="shared" si="4"/>
        <v>248.46496383915073</v>
      </c>
      <c r="AM38" s="62">
        <f t="shared" si="5"/>
        <v>541.79829717248401</v>
      </c>
      <c r="AN38" s="62">
        <f ca="1">AVERAGE(OFFSET($AM$3,0,0,'Données projet'!$E$10+1,1))-AVERAGE(OFFSET($H$3,0,0,'Données projet'!$E$10+1,1))</f>
        <v>214.08705070588002</v>
      </c>
      <c r="AO38" s="62">
        <f t="shared" si="36"/>
        <v>251.33527585147152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281</v>
      </c>
      <c r="BB38" s="13">
        <f>VLOOKUP(A38,'Données projet'!$A$87:$I$107,9,0)</f>
        <v>20.399999999999999</v>
      </c>
      <c r="BC38" s="13">
        <f t="array" ref="BC38">INDEX(BB:BB,MIN(IF(ISNUMBER(BB38:BB234),ROW(BB38:BB234),"")))</f>
        <v>20.399999999999999</v>
      </c>
      <c r="BD38" s="13">
        <f>IF('Données projet'!$A$88&gt;35,BD37+BC38-BL37,IF(A38&lt;'Données projet'!$A$88,$BA$205^A38,IF(A38='Données projet'!$A$88,'Données projet'!$B$88,BD37+BC38-BL37)))</f>
        <v>281</v>
      </c>
      <c r="BE38" s="14">
        <f>BD38*VLOOKUP('Données projet'!$B$11,Paramètres!$A$1:$I$89,3,0)*VLOOKUP('Données projet'!$B$11,Paramètres!$A$1:$I$89,5,0)</f>
        <v>160.732</v>
      </c>
      <c r="BF38" s="14">
        <f t="shared" si="37"/>
        <v>41.007576163028482</v>
      </c>
      <c r="BG38" s="22">
        <f t="shared" si="7"/>
        <v>351.36309515060793</v>
      </c>
      <c r="BH38" s="62">
        <f t="shared" si="8"/>
        <v>644.69642848394119</v>
      </c>
      <c r="BI38" s="62">
        <f ca="1">AVERAGE(OFFSET($BH$3,0,0,'Données projet'!$E$11+1,1))-AVERAGE(OFFSET($H$3,0,0,'Données projet'!$E$11+1,1))</f>
        <v>239.41486198585676</v>
      </c>
      <c r="BJ38" s="62">
        <f t="shared" si="38"/>
        <v>224.9174498508774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113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0.54644361259371055</v>
      </c>
      <c r="BS38" s="24">
        <f t="shared" si="9"/>
        <v>0.54644361259371055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244</v>
      </c>
      <c r="BW38" s="13">
        <f>VLOOKUP(A38,'Données projet'!$A$113:$I$133,9,0)</f>
        <v>19.2</v>
      </c>
      <c r="BX38" s="13">
        <f t="array" ref="BX38">INDEX(BW:BW,MIN(IF(ISNUMBER(BW38:BW234),ROW(BW38:BW234),"")))</f>
        <v>19.2</v>
      </c>
      <c r="BY38" s="13">
        <f>IF('Données projet'!$A$114&gt;35,BY37+BX38-CG37,IF(A38&lt;'Données projet'!$A$114,$BV$205^A38,IF(A38='Données projet'!$A$114,'Données projet'!$B$114,BY37+BX38-CG37)))</f>
        <v>243.99999999999989</v>
      </c>
      <c r="BZ38" s="14">
        <f>BY38*VLOOKUP('Données projet'!$B$12,Paramètres!$A$1:$I$89,3,0)*VLOOKUP('Données projet'!$B$12,Paramètres!$A$1:$I$89,5,0)</f>
        <v>145.91199999999995</v>
      </c>
      <c r="CA38" s="14">
        <f t="shared" si="39"/>
        <v>37.648084239987597</v>
      </c>
      <c r="CB38" s="22">
        <f t="shared" si="10"/>
        <v>319.70048005131156</v>
      </c>
      <c r="CC38" s="62">
        <f t="shared" si="11"/>
        <v>613.03381338464487</v>
      </c>
      <c r="CD38" s="62">
        <f ca="1">AVERAGE(OFFSET($CC$3,0,0,'Données projet'!$E$12+1,1))-AVERAGE(OFFSET($H$3,0,0,'Données projet'!$E$12+1,1))</f>
        <v>288.65195492450403</v>
      </c>
      <c r="CE38" s="62">
        <f t="shared" si="40"/>
        <v>310.66800441693891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5.4422031458739042</v>
      </c>
      <c r="CN38" s="24">
        <f t="shared" si="12"/>
        <v>5.4422031458739042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41.6</v>
      </c>
      <c r="CT38" s="13">
        <f>IF('Données projet'!$A$140&gt;35,CT37+CS38-DB37,IF(A38&lt;'Données projet'!$A$140,$CQ$205^A38,IF(A38='Données projet'!$A$140,'Données projet'!$B$140,CT37+CS38-DB37)))</f>
        <v>627.60000000000014</v>
      </c>
      <c r="CU38" s="18">
        <f>CT38*VLOOKUP('Données projet'!$B$13,Paramètres!$A$1:$I$89,3,0)*VLOOKUP('Données projet'!$B$13,Paramètres!$A$1:$I$89,5,0)</f>
        <v>277.39920000000012</v>
      </c>
      <c r="CV38" s="14">
        <f t="shared" si="41"/>
        <v>66.417086921043776</v>
      </c>
      <c r="CW38" s="22">
        <f t="shared" si="13"/>
        <v>598.81336638748473</v>
      </c>
      <c r="CX38" s="62">
        <f t="shared" si="14"/>
        <v>892.14669972081811</v>
      </c>
      <c r="CY38" s="62">
        <f ca="1">AVERAGE(OFFSET($CX$3,0,0,'Données projet'!$E$13+1,1))-AVERAGE(OFFSET($H$3,0,0,'Données projet'!$E$13+1,1))</f>
        <v>572.6451446653349</v>
      </c>
      <c r="CZ38" s="62">
        <f t="shared" si="42"/>
        <v>389.15977992931374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175</v>
      </c>
      <c r="DM38" s="13">
        <f>VLOOKUP(A38,'Données projet'!$A$165:$I$185,9,0)</f>
        <v>10.8</v>
      </c>
      <c r="DN38" s="13">
        <f t="array" ref="DN38">INDEX(DM:DM,MIN(IF(ISNUMBER(DM38:DM234),ROW(DM38:DM234),"")))</f>
        <v>10.8</v>
      </c>
      <c r="DO38" s="13">
        <f>IF('Données projet'!$A$166&gt;35,DO37+DN38-DW37,IF(A38&lt;'Données projet'!$A$166,$DL$205^A38,IF(A38='Données projet'!$A$166,'Données projet'!$B$166,DO37+DN38-DW37)))</f>
        <v>175.00000000000009</v>
      </c>
      <c r="DP38" s="18">
        <f>DO38*VLOOKUP('Données projet'!$B$14,Paramètres!$A$1:$I$89,3,0)*VLOOKUP('Données projet'!$B$14,Paramètres!$A$1:$I$89,5,0)</f>
        <v>147.4200000000001</v>
      </c>
      <c r="DQ38" s="14">
        <f t="shared" si="43"/>
        <v>37.991680647570327</v>
      </c>
      <c r="DR38" s="22">
        <f t="shared" si="16"/>
        <v>322.92534379451848</v>
      </c>
      <c r="DS38" s="62">
        <f t="shared" si="17"/>
        <v>616.2586771278518</v>
      </c>
      <c r="DT38" s="62">
        <f ca="1">AVERAGE(OFFSET($DS$3,0,0,'Données projet'!$E$14+1,1))-AVERAGE(OFFSET($H$3,0,0,'Données projet'!$E$14+1,1))</f>
        <v>383.83934938682984</v>
      </c>
      <c r="DU38" s="62">
        <f t="shared" si="44"/>
        <v>223.93106361972281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56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302.05534883879602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415.89259563928869</v>
      </c>
      <c r="T39" s="62">
        <f t="shared" si="34"/>
        <v>240.19413322685813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9.6</v>
      </c>
      <c r="AI39" s="14">
        <f>IF('Données projet'!$A$62&gt;35,AI38+AH39-AQ38,IF(A39&lt;'Données projet'!$A$62,$AF$205^A39,IF(A39='Données projet'!$A$62,'Données projet'!$B$62,AI38+AH39-AQ38)))</f>
        <v>181.59999999999991</v>
      </c>
      <c r="AJ39" s="14">
        <f>AI39*VLOOKUP('Données projet'!$B$10,Paramètres!$A$1:$I$89,3,0)*VLOOKUP('Données projet'!$B$10,Paramètres!$A$1:$I$89,5,0)</f>
        <v>118.98431999999994</v>
      </c>
      <c r="AK39" s="14">
        <f t="shared" si="35"/>
        <v>31.437991550787292</v>
      </c>
      <c r="AL39" s="22">
        <f t="shared" si="4"/>
        <v>261.98552595095441</v>
      </c>
      <c r="AM39" s="62">
        <f t="shared" si="5"/>
        <v>555.31885928428778</v>
      </c>
      <c r="AN39" s="62">
        <f ca="1">AVERAGE(OFFSET($AM$3,0,0,'Données projet'!$E$10+1,1))-AVERAGE(OFFSET($H$3,0,0,'Données projet'!$E$10+1,1))</f>
        <v>214.08705070588002</v>
      </c>
      <c r="AO39" s="62">
        <f t="shared" si="36"/>
        <v>251.33527585147152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19</v>
      </c>
      <c r="BD39" s="13">
        <f>IF('Données projet'!$A$88&gt;35,BD38+BC39-BL38,IF(A39&lt;'Données projet'!$A$88,$BA$205^A39,IF(A39='Données projet'!$A$88,'Données projet'!$B$88,BD38+BC39-BL38)))</f>
        <v>187</v>
      </c>
      <c r="BE39" s="14">
        <f>BD39*VLOOKUP('Données projet'!$B$11,Paramètres!$A$1:$I$89,3,0)*VLOOKUP('Données projet'!$B$11,Paramètres!$A$1:$I$89,5,0)</f>
        <v>106.964</v>
      </c>
      <c r="BF39" s="14">
        <f t="shared" si="37"/>
        <v>28.614518306762253</v>
      </c>
      <c r="BG39" s="22">
        <f t="shared" si="7"/>
        <v>236.13258605094427</v>
      </c>
      <c r="BH39" s="62">
        <f t="shared" si="8"/>
        <v>529.46591938427764</v>
      </c>
      <c r="BI39" s="62">
        <f ca="1">AVERAGE(OFFSET($BH$3,0,0,'Données projet'!$E$11+1,1))-AVERAGE(OFFSET($H$3,0,0,'Données projet'!$E$11+1,1))</f>
        <v>239.41486198585676</v>
      </c>
      <c r="BJ39" s="62">
        <f t="shared" si="38"/>
        <v>224.9174498508774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0.38639398400108743</v>
      </c>
      <c r="BS39" s="24">
        <f t="shared" si="9"/>
        <v>0.38639398400108743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18.399999999999999</v>
      </c>
      <c r="BY39" s="13">
        <f>IF('Données projet'!$A$114&gt;35,BY38+BX39-CG38,IF(A39&lt;'Données projet'!$A$114,$BV$205^A39,IF(A39='Données projet'!$A$114,'Données projet'!$B$114,BY38+BX39-CG38)))</f>
        <v>262.39999999999986</v>
      </c>
      <c r="BZ39" s="14">
        <f>BY39*VLOOKUP('Données projet'!$B$12,Paramètres!$A$1:$I$89,3,0)*VLOOKUP('Données projet'!$B$12,Paramètres!$A$1:$I$89,5,0)</f>
        <v>156.91519999999991</v>
      </c>
      <c r="CA39" s="14">
        <f t="shared" si="39"/>
        <v>40.145943758721963</v>
      </c>
      <c r="CB39" s="22">
        <f t="shared" si="10"/>
        <v>343.21482537977386</v>
      </c>
      <c r="CC39" s="62">
        <f t="shared" si="11"/>
        <v>636.54815871310711</v>
      </c>
      <c r="CD39" s="62">
        <f ca="1">AVERAGE(OFFSET($CC$3,0,0,'Données projet'!$E$12+1,1))-AVERAGE(OFFSET($H$3,0,0,'Données projet'!$E$12+1,1))</f>
        <v>288.65195492450403</v>
      </c>
      <c r="CE39" s="62">
        <f t="shared" si="40"/>
        <v>310.66800441693891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3.8482187490421995</v>
      </c>
      <c r="CN39" s="24">
        <f t="shared" si="12"/>
        <v>3.8482187490421995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41.6</v>
      </c>
      <c r="CT39" s="13">
        <f>IF('Données projet'!$A$140&gt;35,CT38+CS39-DB38,IF(A39&lt;'Données projet'!$A$140,$CQ$205^A39,IF(A39='Données projet'!$A$140,'Données projet'!$B$140,CT38+CS39-DB38)))</f>
        <v>669.20000000000016</v>
      </c>
      <c r="CU39" s="18">
        <f>CT39*VLOOKUP('Données projet'!$B$13,Paramètres!$A$1:$I$89,3,0)*VLOOKUP('Données projet'!$B$13,Paramètres!$A$1:$I$89,5,0)</f>
        <v>295.78640000000013</v>
      </c>
      <c r="CV39" s="14">
        <f t="shared" si="41"/>
        <v>70.292405197334801</v>
      </c>
      <c r="CW39" s="22">
        <f t="shared" si="13"/>
        <v>637.58725238535828</v>
      </c>
      <c r="CX39" s="62">
        <f t="shared" si="14"/>
        <v>930.92058571869165</v>
      </c>
      <c r="CY39" s="62">
        <f ca="1">AVERAGE(OFFSET($CX$3,0,0,'Données projet'!$E$13+1,1))-AVERAGE(OFFSET($H$3,0,0,'Données projet'!$E$13+1,1))</f>
        <v>572.6451446653349</v>
      </c>
      <c r="CZ39" s="62">
        <f t="shared" si="42"/>
        <v>389.15977992931374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11.2</v>
      </c>
      <c r="DO39" s="13">
        <f>IF('Données projet'!$A$166&gt;35,DO38+DN39-DW38,IF(A39&lt;'Données projet'!$A$166,$DL$205^A39,IF(A39='Données projet'!$A$166,'Données projet'!$B$166,DO38+DN39-DW38)))</f>
        <v>130.20000000000007</v>
      </c>
      <c r="DP39" s="18">
        <f>DO39*VLOOKUP('Données projet'!$B$14,Paramètres!$A$1:$I$89,3,0)*VLOOKUP('Données projet'!$B$14,Paramètres!$A$1:$I$89,5,0)</f>
        <v>109.68048000000009</v>
      </c>
      <c r="DQ39" s="14">
        <f t="shared" si="43"/>
        <v>29.255690427909659</v>
      </c>
      <c r="DR39" s="22">
        <f t="shared" si="16"/>
        <v>241.98049682860949</v>
      </c>
      <c r="DS39" s="62">
        <f t="shared" si="17"/>
        <v>535.31383016194286</v>
      </c>
      <c r="DT39" s="62">
        <f ca="1">AVERAGE(OFFSET($DS$3,0,0,'Données projet'!$E$14+1,1))-AVERAGE(OFFSET($H$3,0,0,'Données projet'!$E$14+1,1))</f>
        <v>383.83934938682984</v>
      </c>
      <c r="DU39" s="62">
        <f t="shared" si="44"/>
        <v>223.93106361972281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303.27964130405229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415.89259563928869</v>
      </c>
      <c r="T40" s="62">
        <f t="shared" si="34"/>
        <v>240.19413322685813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9.6</v>
      </c>
      <c r="AI40" s="14">
        <f>IF('Données projet'!$A$62&gt;35,AI39+AH40-AQ39,IF(A40&lt;'Données projet'!$A$62,$AF$205^A40,IF(A40='Données projet'!$A$62,'Données projet'!$B$62,AI39+AH40-AQ39)))</f>
        <v>191.1999999999999</v>
      </c>
      <c r="AJ40" s="14">
        <f>AI40*VLOOKUP('Données projet'!$B$10,Paramètres!$A$1:$I$89,3,0)*VLOOKUP('Données projet'!$B$10,Paramètres!$A$1:$I$89,5,0)</f>
        <v>125.27423999999993</v>
      </c>
      <c r="AK40" s="14">
        <f t="shared" si="35"/>
        <v>32.902032783270968</v>
      </c>
      <c r="AL40" s="22">
        <f t="shared" si="4"/>
        <v>275.49034176419684</v>
      </c>
      <c r="AM40" s="62">
        <f t="shared" si="5"/>
        <v>568.82367509753021</v>
      </c>
      <c r="AN40" s="62">
        <f ca="1">AVERAGE(OFFSET($AM$3,0,0,'Données projet'!$E$10+1,1))-AVERAGE(OFFSET($H$3,0,0,'Données projet'!$E$10+1,1))</f>
        <v>214.08705070588002</v>
      </c>
      <c r="AO40" s="62">
        <f t="shared" si="36"/>
        <v>251.33527585147152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19</v>
      </c>
      <c r="BD40" s="13">
        <f>IF('Données projet'!$A$88&gt;35,BD39+BC40-BL39,IF(A40&lt;'Données projet'!$A$88,$BA$205^A40,IF(A40='Données projet'!$A$88,'Données projet'!$B$88,BD39+BC40-BL39)))</f>
        <v>206</v>
      </c>
      <c r="BE40" s="14">
        <f>BD40*VLOOKUP('Données projet'!$B$11,Paramètres!$A$1:$I$89,3,0)*VLOOKUP('Données projet'!$B$11,Paramètres!$A$1:$I$89,5,0)</f>
        <v>117.83200000000001</v>
      </c>
      <c r="BF40" s="14">
        <f t="shared" si="37"/>
        <v>31.168813606281134</v>
      </c>
      <c r="BG40" s="22">
        <f t="shared" si="7"/>
        <v>259.50975036427297</v>
      </c>
      <c r="BH40" s="62">
        <f t="shared" si="8"/>
        <v>552.84308369760629</v>
      </c>
      <c r="BI40" s="62">
        <f ca="1">AVERAGE(OFFSET($BH$3,0,0,'Données projet'!$E$11+1,1))-AVERAGE(OFFSET($H$3,0,0,'Données projet'!$E$11+1,1))</f>
        <v>239.41486198585676</v>
      </c>
      <c r="BJ40" s="62">
        <f t="shared" si="38"/>
        <v>224.9174498508774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0.27322180629685527</v>
      </c>
      <c r="BS40" s="24">
        <f t="shared" si="9"/>
        <v>0.27322180629685527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18.399999999999999</v>
      </c>
      <c r="BY40" s="13">
        <f>IF('Données projet'!$A$114&gt;35,BY39+BX40-CG39,IF(A40&lt;'Données projet'!$A$114,$BV$205^A40,IF(A40='Données projet'!$A$114,'Données projet'!$B$114,BY39+BX40-CG39)))</f>
        <v>280.79999999999984</v>
      </c>
      <c r="BZ40" s="14">
        <f>BY40*VLOOKUP('Données projet'!$B$12,Paramètres!$A$1:$I$89,3,0)*VLOOKUP('Données projet'!$B$12,Paramètres!$A$1:$I$89,5,0)</f>
        <v>167.91839999999991</v>
      </c>
      <c r="CA40" s="14">
        <f t="shared" si="39"/>
        <v>42.623480667123864</v>
      </c>
      <c r="CB40" s="22">
        <f t="shared" si="10"/>
        <v>366.69377549524052</v>
      </c>
      <c r="CC40" s="62">
        <f t="shared" si="11"/>
        <v>660.02710882857377</v>
      </c>
      <c r="CD40" s="62">
        <f ca="1">AVERAGE(OFFSET($CC$3,0,0,'Données projet'!$E$12+1,1))-AVERAGE(OFFSET($H$3,0,0,'Données projet'!$E$12+1,1))</f>
        <v>288.65195492450403</v>
      </c>
      <c r="CE40" s="62">
        <f t="shared" si="40"/>
        <v>310.66800441693891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2.7211015729369525</v>
      </c>
      <c r="CN40" s="24">
        <f t="shared" si="12"/>
        <v>2.7211015729369525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41.6</v>
      </c>
      <c r="CT40" s="13">
        <f>IF('Données projet'!$A$140&gt;35,CT39+CS40-DB39,IF(A40&lt;'Données projet'!$A$140,$CQ$205^A40,IF(A40='Données projet'!$A$140,'Données projet'!$B$140,CT39+CS40-DB39)))</f>
        <v>710.80000000000018</v>
      </c>
      <c r="CU40" s="18">
        <f>CT40*VLOOKUP('Données projet'!$B$13,Paramètres!$A$1:$I$89,3,0)*VLOOKUP('Données projet'!$B$13,Paramètres!$A$1:$I$89,5,0)</f>
        <v>314.17360000000014</v>
      </c>
      <c r="CV40" s="14">
        <f t="shared" si="41"/>
        <v>74.139764401700091</v>
      </c>
      <c r="CW40" s="22">
        <f t="shared" si="13"/>
        <v>676.31244299962793</v>
      </c>
      <c r="CX40" s="62">
        <f t="shared" si="14"/>
        <v>969.6457763329613</v>
      </c>
      <c r="CY40" s="62">
        <f ca="1">AVERAGE(OFFSET($CX$3,0,0,'Données projet'!$E$13+1,1))-AVERAGE(OFFSET($H$3,0,0,'Données projet'!$E$13+1,1))</f>
        <v>572.6451446653349</v>
      </c>
      <c r="CZ40" s="62">
        <f t="shared" si="42"/>
        <v>389.15977992931374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11.2</v>
      </c>
      <c r="DO40" s="13">
        <f>IF('Données projet'!$A$166&gt;35,DO39+DN40-DW39,IF(A40&lt;'Données projet'!$A$166,$DL$205^A40,IF(A40='Données projet'!$A$166,'Données projet'!$B$166,DO39+DN40-DW39)))</f>
        <v>141.40000000000006</v>
      </c>
      <c r="DP40" s="18">
        <f>DO40*VLOOKUP('Données projet'!$B$14,Paramètres!$A$1:$I$89,3,0)*VLOOKUP('Données projet'!$B$14,Paramètres!$A$1:$I$89,5,0)</f>
        <v>119.11536000000007</v>
      </c>
      <c r="DQ40" s="14">
        <f t="shared" si="43"/>
        <v>31.468582772748093</v>
      </c>
      <c r="DR40" s="22">
        <f t="shared" si="16"/>
        <v>262.26703366253639</v>
      </c>
      <c r="DS40" s="62">
        <f t="shared" si="17"/>
        <v>555.60036699586976</v>
      </c>
      <c r="DT40" s="62">
        <f ca="1">AVERAGE(OFFSET($DS$3,0,0,'Données projet'!$E$14+1,1))-AVERAGE(OFFSET($H$3,0,0,'Données projet'!$E$14+1,1))</f>
        <v>383.83934938682984</v>
      </c>
      <c r="DU40" s="62">
        <f t="shared" si="44"/>
        <v>223.93106361972281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304.50307508943433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2">
        <f t="shared" si="0"/>
        <v>596.25717061705507</v>
      </c>
      <c r="S41" s="62">
        <f ca="1">AVERAGE(OFFSET($R$3,0,0,'Données projet'!$E$9+1,1))-AVERAGE(OFFSET($H$3,0,0,'Données projet'!$E$9+1,1))</f>
        <v>415.89259563928869</v>
      </c>
      <c r="T41" s="62">
        <f t="shared" si="34"/>
        <v>240.19413322685813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9.6</v>
      </c>
      <c r="AI41" s="14">
        <f>IF('Données projet'!$A$62&gt;35,AI40+AH41-AQ40,IF(A41&lt;'Données projet'!$A$62,$AF$205^A41,IF(A41='Données projet'!$A$62,'Données projet'!$B$62,AI40+AH41-AQ40)))</f>
        <v>200.7999999999999</v>
      </c>
      <c r="AJ41" s="14">
        <f>AI41*VLOOKUP('Données projet'!$B$10,Paramètres!$A$1:$I$89,3,0)*VLOOKUP('Données projet'!$B$10,Paramètres!$A$1:$I$89,5,0)</f>
        <v>131.56415999999993</v>
      </c>
      <c r="AK41" s="14">
        <f t="shared" si="35"/>
        <v>34.357538812709066</v>
      </c>
      <c r="AL41" s="22">
        <f t="shared" si="4"/>
        <v>288.9802920988015</v>
      </c>
      <c r="AM41" s="62">
        <f t="shared" si="5"/>
        <v>582.31362543213481</v>
      </c>
      <c r="AN41" s="62">
        <f ca="1">AVERAGE(OFFSET($AM$3,0,0,'Données projet'!$E$10+1,1))-AVERAGE(OFFSET($H$3,0,0,'Données projet'!$E$10+1,1))</f>
        <v>214.08705070588002</v>
      </c>
      <c r="AO41" s="62">
        <f t="shared" si="36"/>
        <v>251.33527585147152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19</v>
      </c>
      <c r="BD41" s="13">
        <f>IF('Données projet'!$A$88&gt;35,BD40+BC41-BL40,IF(A41&lt;'Données projet'!$A$88,$BA$205^A41,IF(A41='Données projet'!$A$88,'Données projet'!$B$88,BD40+BC41-BL40)))</f>
        <v>225</v>
      </c>
      <c r="BE41" s="14">
        <f>BD41*VLOOKUP('Données projet'!$B$11,Paramètres!$A$1:$I$89,3,0)*VLOOKUP('Données projet'!$B$11,Paramètres!$A$1:$I$89,5,0)</f>
        <v>128.70000000000002</v>
      </c>
      <c r="BF41" s="14">
        <f t="shared" si="37"/>
        <v>33.695792019186115</v>
      </c>
      <c r="BG41" s="22">
        <f t="shared" si="7"/>
        <v>282.83933776674917</v>
      </c>
      <c r="BH41" s="62">
        <f t="shared" si="8"/>
        <v>576.17267110008243</v>
      </c>
      <c r="BI41" s="62">
        <f ca="1">AVERAGE(OFFSET($BH$3,0,0,'Données projet'!$E$11+1,1))-AVERAGE(OFFSET($H$3,0,0,'Données projet'!$E$11+1,1))</f>
        <v>239.41486198585676</v>
      </c>
      <c r="BJ41" s="62">
        <f t="shared" si="38"/>
        <v>224.9174498508774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0.19319699200054372</v>
      </c>
      <c r="BS41" s="24">
        <f t="shared" si="9"/>
        <v>0.19319699200054372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18.399999999999999</v>
      </c>
      <c r="BY41" s="13">
        <f>IF('Données projet'!$A$114&gt;35,BY40+BX41-CG40,IF(A41&lt;'Données projet'!$A$114,$BV$205^A41,IF(A41='Données projet'!$A$114,'Données projet'!$B$114,BY40+BX41-CG40)))</f>
        <v>299.19999999999982</v>
      </c>
      <c r="BZ41" s="14">
        <f>BY41*VLOOKUP('Données projet'!$B$12,Paramètres!$A$1:$I$89,3,0)*VLOOKUP('Données projet'!$B$12,Paramètres!$A$1:$I$89,5,0)</f>
        <v>178.9215999999999</v>
      </c>
      <c r="CA41" s="14">
        <f t="shared" si="39"/>
        <v>45.082178190412144</v>
      </c>
      <c r="CB41" s="22">
        <f t="shared" si="10"/>
        <v>390.13991368163425</v>
      </c>
      <c r="CC41" s="62">
        <f t="shared" si="11"/>
        <v>683.47324701496757</v>
      </c>
      <c r="CD41" s="62">
        <f ca="1">AVERAGE(OFFSET($CC$3,0,0,'Données projet'!$E$12+1,1))-AVERAGE(OFFSET($H$3,0,0,'Données projet'!$E$12+1,1))</f>
        <v>288.65195492450403</v>
      </c>
      <c r="CE41" s="62">
        <f t="shared" si="40"/>
        <v>310.66800441693891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1.9241093745211002</v>
      </c>
      <c r="CN41" s="24">
        <f t="shared" si="12"/>
        <v>1.9241093745211002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41.6</v>
      </c>
      <c r="CT41" s="13">
        <f>IF('Données projet'!$A$140&gt;35,CT40+CS41-DB40,IF(A41&lt;'Données projet'!$A$140,$CQ$205^A41,IF(A41='Données projet'!$A$140,'Données projet'!$B$140,CT40+CS41-DB40)))</f>
        <v>752.4000000000002</v>
      </c>
      <c r="CU41" s="18">
        <f>CT41*VLOOKUP('Données projet'!$B$13,Paramètres!$A$1:$I$89,3,0)*VLOOKUP('Données projet'!$B$13,Paramètres!$A$1:$I$89,5,0)</f>
        <v>332.56080000000014</v>
      </c>
      <c r="CV41" s="14">
        <f t="shared" si="41"/>
        <v>77.96098725600605</v>
      </c>
      <c r="CW41" s="22">
        <f t="shared" si="13"/>
        <v>714.99211280421071</v>
      </c>
      <c r="CX41" s="62">
        <f t="shared" si="14"/>
        <v>1008.3254461375441</v>
      </c>
      <c r="CY41" s="62">
        <f ca="1">AVERAGE(OFFSET($CX$3,0,0,'Données projet'!$E$13+1,1))-AVERAGE(OFFSET($H$3,0,0,'Données projet'!$E$13+1,1))</f>
        <v>572.6451446653349</v>
      </c>
      <c r="CZ41" s="62">
        <f t="shared" si="42"/>
        <v>389.15977992931374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11.2</v>
      </c>
      <c r="DO41" s="13">
        <f>IF('Données projet'!$A$166&gt;35,DO40+DN41-DW40,IF(A41&lt;'Données projet'!$A$166,$DL$205^A41,IF(A41='Données projet'!$A$166,'Données projet'!$B$166,DO40+DN41-DW40)))</f>
        <v>152.60000000000005</v>
      </c>
      <c r="DP41" s="18">
        <f>DO41*VLOOKUP('Données projet'!$B$14,Paramètres!$A$1:$I$89,3,0)*VLOOKUP('Données projet'!$B$14,Paramètres!$A$1:$I$89,5,0)</f>
        <v>128.55024000000006</v>
      </c>
      <c r="DQ41" s="14">
        <f t="shared" si="43"/>
        <v>33.661144026076698</v>
      </c>
      <c r="DR41" s="22">
        <f t="shared" si="16"/>
        <v>282.51816051208368</v>
      </c>
      <c r="DS41" s="62">
        <f t="shared" si="17"/>
        <v>575.85149384541705</v>
      </c>
      <c r="DT41" s="62">
        <f ca="1">AVERAGE(OFFSET($DS$3,0,0,'Données projet'!$E$14+1,1))-AVERAGE(OFFSET($H$3,0,0,'Données projet'!$E$14+1,1))</f>
        <v>383.83934938682984</v>
      </c>
      <c r="DU41" s="62">
        <f t="shared" si="44"/>
        <v>223.93106361972281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305.72567538934157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415.89259563928869</v>
      </c>
      <c r="T42" s="62">
        <f t="shared" si="34"/>
        <v>240.19413322685813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9.6</v>
      </c>
      <c r="AI42" s="14">
        <f>IF('Données projet'!$A$62&gt;35,AI41+AH42-AQ41,IF(A42&lt;'Données projet'!$A$62,$AF$205^A42,IF(A42='Données projet'!$A$62,'Données projet'!$B$62,AI41+AH42-AQ41)))</f>
        <v>210.39999999999989</v>
      </c>
      <c r="AJ42" s="14">
        <f>AI42*VLOOKUP('Données projet'!$B$10,Paramètres!$A$1:$I$89,3,0)*VLOOKUP('Données projet'!$B$10,Paramètres!$A$1:$I$89,5,0)</f>
        <v>137.85407999999993</v>
      </c>
      <c r="AK42" s="14">
        <f t="shared" si="35"/>
        <v>35.804964283629928</v>
      </c>
      <c r="AL42" s="22">
        <f t="shared" si="4"/>
        <v>302.45616879398858</v>
      </c>
      <c r="AM42" s="62">
        <f t="shared" si="5"/>
        <v>595.78950212732184</v>
      </c>
      <c r="AN42" s="62">
        <f ca="1">AVERAGE(OFFSET($AM$3,0,0,'Données projet'!$E$10+1,1))-AVERAGE(OFFSET($H$3,0,0,'Données projet'!$E$10+1,1))</f>
        <v>214.08705070588002</v>
      </c>
      <c r="AO42" s="62">
        <f t="shared" si="36"/>
        <v>251.33527585147152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19</v>
      </c>
      <c r="BD42" s="13">
        <f>IF('Données projet'!$A$88&gt;35,BD41+BC42-BL41,IF(A42&lt;'Données projet'!$A$88,$BA$205^A42,IF(A42='Données projet'!$A$88,'Données projet'!$B$88,BD41+BC42-BL41)))</f>
        <v>244</v>
      </c>
      <c r="BE42" s="14">
        <f>BD42*VLOOKUP('Données projet'!$B$11,Paramètres!$A$1:$I$89,3,0)*VLOOKUP('Données projet'!$B$11,Paramètres!$A$1:$I$89,5,0)</f>
        <v>139.56800000000001</v>
      </c>
      <c r="BF42" s="14">
        <f t="shared" si="37"/>
        <v>36.198022567902328</v>
      </c>
      <c r="BG42" s="22">
        <f t="shared" si="7"/>
        <v>306.12582263909655</v>
      </c>
      <c r="BH42" s="62">
        <f t="shared" si="8"/>
        <v>599.45915597242993</v>
      </c>
      <c r="BI42" s="62">
        <f ca="1">AVERAGE(OFFSET($BH$3,0,0,'Données projet'!$E$11+1,1))-AVERAGE(OFFSET($H$3,0,0,'Données projet'!$E$11+1,1))</f>
        <v>239.41486198585676</v>
      </c>
      <c r="BJ42" s="62">
        <f t="shared" si="38"/>
        <v>224.9174498508774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0.13661090314842764</v>
      </c>
      <c r="BS42" s="24">
        <f t="shared" si="9"/>
        <v>0.13661090314842764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18.399999999999999</v>
      </c>
      <c r="BY42" s="13">
        <f>IF('Données projet'!$A$114&gt;35,BY41+BX42-CG41,IF(A42&lt;'Données projet'!$A$114,$BV$205^A42,IF(A42='Données projet'!$A$114,'Données projet'!$B$114,BY41+BX42-CG41)))</f>
        <v>317.5999999999998</v>
      </c>
      <c r="BZ42" s="14">
        <f>BY42*VLOOKUP('Données projet'!$B$12,Paramètres!$A$1:$I$89,3,0)*VLOOKUP('Données projet'!$B$12,Paramètres!$A$1:$I$89,5,0)</f>
        <v>189.92479999999989</v>
      </c>
      <c r="CA42" s="14">
        <f t="shared" si="39"/>
        <v>47.523326815906266</v>
      </c>
      <c r="CB42" s="22">
        <f t="shared" si="10"/>
        <v>413.55548753770319</v>
      </c>
      <c r="CC42" s="62">
        <f t="shared" si="11"/>
        <v>706.8888208710365</v>
      </c>
      <c r="CD42" s="62">
        <f ca="1">AVERAGE(OFFSET($CC$3,0,0,'Données projet'!$E$12+1,1))-AVERAGE(OFFSET($H$3,0,0,'Données projet'!$E$12+1,1))</f>
        <v>288.65195492450403</v>
      </c>
      <c r="CE42" s="62">
        <f t="shared" si="40"/>
        <v>310.66800441693891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1.3605507864684765</v>
      </c>
      <c r="CN42" s="24">
        <f t="shared" si="12"/>
        <v>1.3605507864684765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>
        <f>VLOOKUP(A42,'Données projet'!$A$139:$I$159,2,0)</f>
        <v>794</v>
      </c>
      <c r="CR42" s="13">
        <f>VLOOKUP(A42,'Données projet'!$A$139:$I$159,9,0)</f>
        <v>41.6</v>
      </c>
      <c r="CS42" s="13">
        <f t="array" ref="CS42">INDEX(CR:CR,MIN(IF(ISNUMBER(CR42:CR238),ROW(CR42:CR238),"")))</f>
        <v>41.6</v>
      </c>
      <c r="CT42" s="13">
        <f>IF('Données projet'!$A$140&gt;35,CT41+CS42-DB41,IF(A42&lt;'Données projet'!$A$140,$CQ$205^A42,IF(A42='Données projet'!$A$140,'Données projet'!$B$140,CT41+CS42-DB41)))</f>
        <v>794.00000000000023</v>
      </c>
      <c r="CU42" s="18">
        <f>CT42*VLOOKUP('Données projet'!$B$13,Paramètres!$A$1:$I$89,3,0)*VLOOKUP('Données projet'!$B$13,Paramètres!$A$1:$I$89,5,0)</f>
        <v>350.94800000000015</v>
      </c>
      <c r="CV42" s="14">
        <f t="shared" si="41"/>
        <v>81.757683542909191</v>
      </c>
      <c r="CW42" s="22">
        <f t="shared" si="13"/>
        <v>753.62906550390051</v>
      </c>
      <c r="CX42" s="62">
        <f t="shared" si="14"/>
        <v>1046.9623988372339</v>
      </c>
      <c r="CY42" s="62">
        <f ca="1">AVERAGE(OFFSET($CX$3,0,0,'Données projet'!$E$13+1,1))-AVERAGE(OFFSET($H$3,0,0,'Données projet'!$E$13+1,1))</f>
        <v>572.6451446653349</v>
      </c>
      <c r="CZ42" s="62">
        <f t="shared" si="42"/>
        <v>389.15977992931374</v>
      </c>
      <c r="DA42" s="16">
        <f>IF(ISNA(VLOOKUP(A42,'Données projet'!$A$139:$I$159,3,0)),0,VLOOKUP(A42,'Données projet'!$A$139:$I$159,3,0))</f>
        <v>3</v>
      </c>
      <c r="DB42" s="16">
        <f>IF(ISNA(VLOOKUP(A42,'Données projet'!$A$139:$I$159,4,0)),0,VLOOKUP(A42,'Données projet'!$A$139:$I$159,4,0))</f>
        <v>210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11.2</v>
      </c>
      <c r="DO42" s="13">
        <f>IF('Données projet'!$A$166&gt;35,DO41+DN42-DW41,IF(A42&lt;'Données projet'!$A$166,$DL$205^A42,IF(A42='Données projet'!$A$166,'Données projet'!$B$166,DO41+DN42-DW41)))</f>
        <v>163.80000000000004</v>
      </c>
      <c r="DP42" s="18">
        <f>DO42*VLOOKUP('Données projet'!$B$14,Paramètres!$A$1:$I$89,3,0)*VLOOKUP('Données projet'!$B$14,Paramètres!$A$1:$I$89,5,0)</f>
        <v>137.98512000000005</v>
      </c>
      <c r="DQ42" s="14">
        <f t="shared" si="43"/>
        <v>35.835036067646342</v>
      </c>
      <c r="DR42" s="22">
        <f t="shared" si="16"/>
        <v>302.73677181781744</v>
      </c>
      <c r="DS42" s="62">
        <f t="shared" si="17"/>
        <v>596.07010515115076</v>
      </c>
      <c r="DT42" s="62">
        <f ca="1">AVERAGE(OFFSET($DS$3,0,0,'Données projet'!$E$14+1,1))-AVERAGE(OFFSET($H$3,0,0,'Données projet'!$E$14+1,1))</f>
        <v>383.83934938682984</v>
      </c>
      <c r="DU42" s="62">
        <f t="shared" si="44"/>
        <v>223.93106361972281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306.9474660325443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2">
        <f t="shared" si="0"/>
        <v>639.59037499870374</v>
      </c>
      <c r="S43" s="62">
        <f ca="1">AVERAGE(OFFSET($R$3,0,0,'Données projet'!$E$9+1,1))-AVERAGE(OFFSET($H$3,0,0,'Données projet'!$E$9+1,1))</f>
        <v>415.89259563928869</v>
      </c>
      <c r="T43" s="62">
        <f t="shared" si="34"/>
        <v>240.19413322685813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220</v>
      </c>
      <c r="AG43" s="13">
        <f>VLOOKUP(A43,'Données projet'!$A$61:$I$81,9,0)</f>
        <v>9.6</v>
      </c>
      <c r="AH43" s="13">
        <f t="array" ref="AH43">INDEX(AG:AG,MIN(IF(ISNUMBER(AG43:AG239),ROW(AG43:AG239),"")))</f>
        <v>9.6</v>
      </c>
      <c r="AI43" s="14">
        <f>IF('Données projet'!$A$62&gt;35,AI42+AH43-AQ42,IF(A43&lt;'Données projet'!$A$62,$AF$205^A43,IF(A43='Données projet'!$A$62,'Données projet'!$B$62,AI42+AH43-AQ42)))</f>
        <v>219.99999999999989</v>
      </c>
      <c r="AJ43" s="14">
        <f>AI43*VLOOKUP('Données projet'!$B$10,Paramètres!$A$1:$I$89,3,0)*VLOOKUP('Données projet'!$B$10,Paramètres!$A$1:$I$89,5,0)</f>
        <v>144.14399999999992</v>
      </c>
      <c r="AK43" s="14">
        <f t="shared" si="35"/>
        <v>37.244720006976216</v>
      </c>
      <c r="AL43" s="22">
        <f t="shared" si="4"/>
        <v>315.91868734548342</v>
      </c>
      <c r="AM43" s="62">
        <f t="shared" si="5"/>
        <v>609.25202067881673</v>
      </c>
      <c r="AN43" s="62">
        <f ca="1">AVERAGE(OFFSET($AM$3,0,0,'Données projet'!$E$10+1,1))-AVERAGE(OFFSET($H$3,0,0,'Données projet'!$E$10+1,1))</f>
        <v>214.08705070588002</v>
      </c>
      <c r="AO43" s="62">
        <f t="shared" si="36"/>
        <v>251.33527585147152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263</v>
      </c>
      <c r="BB43" s="13">
        <f>VLOOKUP(A43,'Données projet'!$A$87:$I$107,9,0)</f>
        <v>19</v>
      </c>
      <c r="BC43" s="13">
        <f t="array" ref="BC43">INDEX(BB:BB,MIN(IF(ISNUMBER(BB43:BB239),ROW(BB43:BB239),"")))</f>
        <v>19</v>
      </c>
      <c r="BD43" s="13">
        <f>IF('Données projet'!$A$88&gt;35,BD42+BC43-BL42,IF(A43&lt;'Données projet'!$A$88,$BA$205^A43,IF(A43='Données projet'!$A$88,'Données projet'!$B$88,BD42+BC43-BL42)))</f>
        <v>263</v>
      </c>
      <c r="BE43" s="14">
        <f>BD43*VLOOKUP('Données projet'!$B$11,Paramètres!$A$1:$I$89,3,0)*VLOOKUP('Données projet'!$B$11,Paramètres!$A$1:$I$89,5,0)</f>
        <v>150.43600000000001</v>
      </c>
      <c r="BF43" s="14">
        <f t="shared" si="37"/>
        <v>38.677651441883718</v>
      </c>
      <c r="BG43" s="22">
        <f t="shared" si="7"/>
        <v>329.37294292794746</v>
      </c>
      <c r="BH43" s="62">
        <f t="shared" si="8"/>
        <v>622.70627626128078</v>
      </c>
      <c r="BI43" s="62">
        <f ca="1">AVERAGE(OFFSET($BH$3,0,0,'Données projet'!$E$11+1,1))-AVERAGE(OFFSET($H$3,0,0,'Données projet'!$E$11+1,1))</f>
        <v>239.41486198585676</v>
      </c>
      <c r="BJ43" s="62">
        <f t="shared" si="38"/>
        <v>224.9174498508774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9.6598496000271858E-2</v>
      </c>
      <c r="BS43" s="24">
        <f t="shared" si="9"/>
        <v>9.6598496000271858E-2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336</v>
      </c>
      <c r="BW43" s="13">
        <f>VLOOKUP(A43,'Données projet'!$A$113:$I$133,9,0)</f>
        <v>18.399999999999999</v>
      </c>
      <c r="BX43" s="13">
        <f t="array" ref="BX43">INDEX(BW:BW,MIN(IF(ISNUMBER(BW43:BW239),ROW(BW43:BW239),"")))</f>
        <v>18.399999999999999</v>
      </c>
      <c r="BY43" s="13">
        <f>IF('Données projet'!$A$114&gt;35,BY42+BX43-CG42,IF(A43&lt;'Données projet'!$A$114,$BV$205^A43,IF(A43='Données projet'!$A$114,'Données projet'!$B$114,BY42+BX43-CG42)))</f>
        <v>335.99999999999977</v>
      </c>
      <c r="BZ43" s="14">
        <f>BY43*VLOOKUP('Données projet'!$B$12,Paramètres!$A$1:$I$89,3,0)*VLOOKUP('Données projet'!$B$12,Paramètres!$A$1:$I$89,5,0)</f>
        <v>200.92799999999986</v>
      </c>
      <c r="CA43" s="14">
        <f t="shared" si="39"/>
        <v>49.948059057188999</v>
      </c>
      <c r="CB43" s="22">
        <f t="shared" si="10"/>
        <v>436.94246952460389</v>
      </c>
      <c r="CC43" s="62">
        <f t="shared" si="11"/>
        <v>730.27580285793715</v>
      </c>
      <c r="CD43" s="62">
        <f ca="1">AVERAGE(OFFSET($CC$3,0,0,'Données projet'!$E$12+1,1))-AVERAGE(OFFSET($H$3,0,0,'Données projet'!$E$12+1,1))</f>
        <v>288.65195492450403</v>
      </c>
      <c r="CE43" s="62">
        <f t="shared" si="40"/>
        <v>310.66800441693891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100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0.96205468726055021</v>
      </c>
      <c r="CN43" s="24">
        <f t="shared" si="12"/>
        <v>0.96205468726055021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38</v>
      </c>
      <c r="CT43" s="13">
        <f>IF('Données projet'!$A$140&gt;35,CT42+CS43-DB42,IF(A43&lt;'Données projet'!$A$140,$CQ$205^A43,IF(A43='Données projet'!$A$140,'Données projet'!$B$140,CT42+CS43-DB42)))</f>
        <v>622.00000000000023</v>
      </c>
      <c r="CU43" s="18">
        <f>CT43*VLOOKUP('Données projet'!$B$13,Paramètres!$A$1:$I$89,3,0)*VLOOKUP('Données projet'!$B$13,Paramètres!$A$1:$I$89,5,0)</f>
        <v>274.92400000000015</v>
      </c>
      <c r="CV43" s="14">
        <f t="shared" si="41"/>
        <v>65.893164661595591</v>
      </c>
      <c r="CW43" s="22">
        <f t="shared" si="13"/>
        <v>593.58989511894583</v>
      </c>
      <c r="CX43" s="62">
        <f t="shared" si="14"/>
        <v>886.92322845227909</v>
      </c>
      <c r="CY43" s="62">
        <f ca="1">AVERAGE(OFFSET($CX$3,0,0,'Données projet'!$E$13+1,1))-AVERAGE(OFFSET($H$3,0,0,'Données projet'!$E$13+1,1))</f>
        <v>572.6451446653349</v>
      </c>
      <c r="CZ43" s="62">
        <f t="shared" si="42"/>
        <v>389.15977992931374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175</v>
      </c>
      <c r="DM43" s="13">
        <f>VLOOKUP(A43,'Données projet'!$A$165:$I$185,9,0)</f>
        <v>11.2</v>
      </c>
      <c r="DN43" s="13">
        <f t="array" ref="DN43">INDEX(DM:DM,MIN(IF(ISNUMBER(DM43:DM239),ROW(DM43:DM239),"")))</f>
        <v>11.2</v>
      </c>
      <c r="DO43" s="13">
        <f>IF('Données projet'!$A$166&gt;35,DO42+DN43-DW42,IF(A43&lt;'Données projet'!$A$166,$DL$205^A43,IF(A43='Données projet'!$A$166,'Données projet'!$B$166,DO42+DN43-DW42)))</f>
        <v>175.00000000000003</v>
      </c>
      <c r="DP43" s="18">
        <f>DO43*VLOOKUP('Données projet'!$B$14,Paramètres!$A$1:$I$89,3,0)*VLOOKUP('Données projet'!$B$14,Paramètres!$A$1:$I$89,5,0)</f>
        <v>147.42000000000004</v>
      </c>
      <c r="DQ43" s="14">
        <f t="shared" si="43"/>
        <v>37.991680647570327</v>
      </c>
      <c r="DR43" s="22">
        <f t="shared" si="16"/>
        <v>322.92534379451837</v>
      </c>
      <c r="DS43" s="62">
        <f t="shared" si="17"/>
        <v>616.25867712785168</v>
      </c>
      <c r="DT43" s="62">
        <f ca="1">AVERAGE(OFFSET($DS$3,0,0,'Données projet'!$E$14+1,1))-AVERAGE(OFFSET($H$3,0,0,'Données projet'!$E$14+1,1))</f>
        <v>383.83934938682984</v>
      </c>
      <c r="DU43" s="62">
        <f t="shared" si="44"/>
        <v>223.93106361972281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308.16846958846969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2">
        <f t="shared" si="0"/>
        <v>661.59709205070442</v>
      </c>
      <c r="S44" s="62">
        <f ca="1">AVERAGE(OFFSET($R$3,0,0,'Données projet'!$E$9+1,1))-AVERAGE(OFFSET($H$3,0,0,'Données projet'!$E$9+1,1))</f>
        <v>415.89259563928869</v>
      </c>
      <c r="T44" s="62">
        <f t="shared" si="34"/>
        <v>240.19413322685813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8.1999999999999993</v>
      </c>
      <c r="AI44" s="14">
        <f>IF('Données projet'!$A$62&gt;35,AI43+AH44-AQ43,IF(A44&lt;'Données projet'!$A$62,$AF$205^A44,IF(A44='Données projet'!$A$62,'Données projet'!$B$62,AI43+AH44-AQ43)))</f>
        <v>172.19999999999987</v>
      </c>
      <c r="AJ44" s="14">
        <f>AI44*VLOOKUP('Données projet'!$B$10,Paramètres!$A$1:$I$89,3,0)*VLOOKUP('Données projet'!$B$10,Paramètres!$A$1:$I$89,5,0)</f>
        <v>112.82543999999992</v>
      </c>
      <c r="AK44" s="14">
        <f t="shared" si="35"/>
        <v>29.995694500969023</v>
      </c>
      <c r="AL44" s="22">
        <f t="shared" si="4"/>
        <v>248.74680925585417</v>
      </c>
      <c r="AM44" s="62">
        <f t="shared" si="5"/>
        <v>542.08014258918752</v>
      </c>
      <c r="AN44" s="62">
        <f ca="1">AVERAGE(OFFSET($AM$3,0,0,'Données projet'!$E$10+1,1))-AVERAGE(OFFSET($H$3,0,0,'Données projet'!$E$10+1,1))</f>
        <v>214.08705070588002</v>
      </c>
      <c r="AO44" s="62">
        <f t="shared" si="36"/>
        <v>251.33527585147152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17</v>
      </c>
      <c r="BD44" s="13">
        <f>IF('Données projet'!$A$88&gt;35,BD43+BC44-BL43,IF(A44&lt;'Données projet'!$A$88,$BA$205^A44,IF(A44='Données projet'!$A$88,'Données projet'!$B$88,BD43+BC44-BL43)))</f>
        <v>280</v>
      </c>
      <c r="BE44" s="14">
        <f>BD44*VLOOKUP('Données projet'!$B$11,Paramètres!$A$1:$I$89,3,0)*VLOOKUP('Données projet'!$B$11,Paramètres!$A$1:$I$89,5,0)</f>
        <v>160.16</v>
      </c>
      <c r="BF44" s="14">
        <f t="shared" si="37"/>
        <v>40.878601753742771</v>
      </c>
      <c r="BG44" s="22">
        <f t="shared" si="7"/>
        <v>350.14223138776862</v>
      </c>
      <c r="BH44" s="62">
        <f t="shared" si="8"/>
        <v>643.47556472110193</v>
      </c>
      <c r="BI44" s="62">
        <f ca="1">AVERAGE(OFFSET($BH$3,0,0,'Données projet'!$E$11+1,1))-AVERAGE(OFFSET($H$3,0,0,'Données projet'!$E$11+1,1))</f>
        <v>239.41486198585676</v>
      </c>
      <c r="BJ44" s="62">
        <f t="shared" si="38"/>
        <v>224.9174498508774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6.8305451574213819E-2</v>
      </c>
      <c r="BS44" s="24">
        <f t="shared" si="9"/>
        <v>6.8305451574213819E-2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18.2</v>
      </c>
      <c r="BY44" s="13">
        <f>IF('Données projet'!$A$114&gt;35,BY43+BX44-CG43,IF(A44&lt;'Données projet'!$A$114,$BV$205^A44,IF(A44='Données projet'!$A$114,'Données projet'!$B$114,BY43+BX44-CG43)))</f>
        <v>254.19999999999976</v>
      </c>
      <c r="BZ44" s="14">
        <f>BY44*VLOOKUP('Données projet'!$B$12,Paramètres!$A$1:$I$89,3,0)*VLOOKUP('Données projet'!$B$12,Paramètres!$A$1:$I$89,5,0)</f>
        <v>152.01159999999987</v>
      </c>
      <c r="CA44" s="14">
        <f t="shared" si="39"/>
        <v>39.035373906584852</v>
      </c>
      <c r="CB44" s="22">
        <f t="shared" si="10"/>
        <v>332.74014622063504</v>
      </c>
      <c r="CC44" s="62">
        <f t="shared" si="11"/>
        <v>626.07347955396835</v>
      </c>
      <c r="CD44" s="62">
        <f ca="1">AVERAGE(OFFSET($CC$3,0,0,'Données projet'!$E$12+1,1))-AVERAGE(OFFSET($H$3,0,0,'Données projet'!$E$12+1,1))</f>
        <v>288.65195492450403</v>
      </c>
      <c r="CE44" s="62">
        <f t="shared" si="40"/>
        <v>310.66800441693891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0.68027539323423836</v>
      </c>
      <c r="CN44" s="24">
        <f t="shared" si="12"/>
        <v>0.68027539323423836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38</v>
      </c>
      <c r="CT44" s="13">
        <f>IF('Données projet'!$A$140&gt;35,CT43+CS44-DB43,IF(A44&lt;'Données projet'!$A$140,$CQ$205^A44,IF(A44='Données projet'!$A$140,'Données projet'!$B$140,CT43+CS44-DB43)))</f>
        <v>660.00000000000023</v>
      </c>
      <c r="CU44" s="18">
        <f>CT44*VLOOKUP('Données projet'!$B$13,Paramètres!$A$1:$I$89,3,0)*VLOOKUP('Données projet'!$B$13,Paramètres!$A$1:$I$89,5,0)</f>
        <v>291.72000000000014</v>
      </c>
      <c r="CV44" s="14">
        <f t="shared" si="41"/>
        <v>69.437840114004217</v>
      </c>
      <c r="CW44" s="22">
        <f t="shared" si="13"/>
        <v>629.0165715318908</v>
      </c>
      <c r="CX44" s="62">
        <f t="shared" si="14"/>
        <v>922.34990486522406</v>
      </c>
      <c r="CY44" s="62">
        <f ca="1">AVERAGE(OFFSET($CX$3,0,0,'Données projet'!$E$13+1,1))-AVERAGE(OFFSET($H$3,0,0,'Données projet'!$E$13+1,1))</f>
        <v>572.6451446653349</v>
      </c>
      <c r="CZ44" s="62">
        <f t="shared" si="42"/>
        <v>389.15977992931374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11.4</v>
      </c>
      <c r="DO44" s="13">
        <f>IF('Données projet'!$A$166&gt;35,DO43+DN44-DW43,IF(A44&lt;'Données projet'!$A$166,$DL$205^A44,IF(A44='Données projet'!$A$166,'Données projet'!$B$166,DO43+DN44-DW43)))</f>
        <v>186.40000000000003</v>
      </c>
      <c r="DP44" s="18">
        <f>DO44*VLOOKUP('Données projet'!$B$14,Paramètres!$A$1:$I$89,3,0)*VLOOKUP('Données projet'!$B$14,Paramètres!$A$1:$I$89,5,0)</f>
        <v>157.02336000000003</v>
      </c>
      <c r="DQ44" s="14">
        <f t="shared" si="43"/>
        <v>40.170393914171662</v>
      </c>
      <c r="DR44" s="22">
        <f t="shared" si="16"/>
        <v>343.44578806718232</v>
      </c>
      <c r="DS44" s="62">
        <f t="shared" si="17"/>
        <v>636.77912140051558</v>
      </c>
      <c r="DT44" s="62">
        <f ca="1">AVERAGE(OFFSET($DS$3,0,0,'Données projet'!$E$14+1,1))-AVERAGE(OFFSET($H$3,0,0,'Données projet'!$E$14+1,1))</f>
        <v>383.83934938682984</v>
      </c>
      <c r="DU44" s="62">
        <f t="shared" si="44"/>
        <v>223.93106361972281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309.38870746282663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2">
        <f t="shared" si="0"/>
        <v>683.57511849201842</v>
      </c>
      <c r="S45" s="62">
        <f ca="1">AVERAGE(OFFSET($R$3,0,0,'Données projet'!$E$9+1,1))-AVERAGE(OFFSET($H$3,0,0,'Données projet'!$E$9+1,1))</f>
        <v>415.89259563928869</v>
      </c>
      <c r="T45" s="62">
        <f t="shared" si="34"/>
        <v>240.19413322685813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8.1999999999999993</v>
      </c>
      <c r="AI45" s="14">
        <f>IF('Données projet'!$A$62&gt;35,AI44+AH45-AQ44,IF(A45&lt;'Données projet'!$A$62,$AF$205^A45,IF(A45='Données projet'!$A$62,'Données projet'!$B$62,AI44+AH45-AQ44)))</f>
        <v>180.39999999999986</v>
      </c>
      <c r="AJ45" s="14">
        <f>AI45*VLOOKUP('Données projet'!$B$10,Paramètres!$A$1:$I$89,3,0)*VLOOKUP('Données projet'!$B$10,Paramètres!$A$1:$I$89,5,0)</f>
        <v>118.19807999999992</v>
      </c>
      <c r="AK45" s="14">
        <f t="shared" si="35"/>
        <v>31.254361690638451</v>
      </c>
      <c r="AL45" s="22">
        <f t="shared" si="4"/>
        <v>260.29633594452849</v>
      </c>
      <c r="AM45" s="62">
        <f t="shared" si="5"/>
        <v>553.62966927786181</v>
      </c>
      <c r="AN45" s="62">
        <f ca="1">AVERAGE(OFFSET($AM$3,0,0,'Données projet'!$E$10+1,1))-AVERAGE(OFFSET($H$3,0,0,'Données projet'!$E$10+1,1))</f>
        <v>214.08705070588002</v>
      </c>
      <c r="AO45" s="62">
        <f t="shared" si="36"/>
        <v>251.33527585147152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17</v>
      </c>
      <c r="BD45" s="13">
        <f>IF('Données projet'!$A$88&gt;35,BD44+BC45-BL44,IF(A45&lt;'Données projet'!$A$88,$BA$205^A45,IF(A45='Données projet'!$A$88,'Données projet'!$B$88,BD44+BC45-BL44)))</f>
        <v>297</v>
      </c>
      <c r="BE45" s="14">
        <f>BD45*VLOOKUP('Données projet'!$B$11,Paramètres!$A$1:$I$89,3,0)*VLOOKUP('Données projet'!$B$11,Paramètres!$A$1:$I$89,5,0)</f>
        <v>169.88400000000001</v>
      </c>
      <c r="BF45" s="14">
        <f t="shared" si="37"/>
        <v>43.064042412117296</v>
      </c>
      <c r="BG45" s="22">
        <f t="shared" si="7"/>
        <v>370.88450720110427</v>
      </c>
      <c r="BH45" s="62">
        <f t="shared" si="8"/>
        <v>664.21784053443753</v>
      </c>
      <c r="BI45" s="62">
        <f ca="1">AVERAGE(OFFSET($BH$3,0,0,'Données projet'!$E$11+1,1))-AVERAGE(OFFSET($H$3,0,0,'Données projet'!$E$11+1,1))</f>
        <v>239.41486198585676</v>
      </c>
      <c r="BJ45" s="62">
        <f t="shared" si="38"/>
        <v>224.9174498508774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4.8299248000135929E-2</v>
      </c>
      <c r="BS45" s="24">
        <f t="shared" si="9"/>
        <v>4.8299248000135929E-2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18.2</v>
      </c>
      <c r="BY45" s="13">
        <f>IF('Données projet'!$A$114&gt;35,BY44+BX45-CG44,IF(A45&lt;'Données projet'!$A$114,$BV$205^A45,IF(A45='Données projet'!$A$114,'Données projet'!$B$114,BY44+BX45-CG44)))</f>
        <v>272.39999999999975</v>
      </c>
      <c r="BZ45" s="14">
        <f>BY45*VLOOKUP('Données projet'!$B$12,Paramètres!$A$1:$I$89,3,0)*VLOOKUP('Données projet'!$B$12,Paramètres!$A$1:$I$89,5,0)</f>
        <v>162.89519999999985</v>
      </c>
      <c r="CA45" s="14">
        <f t="shared" si="39"/>
        <v>41.494852720458454</v>
      </c>
      <c r="CB45" s="22">
        <f t="shared" si="10"/>
        <v>355.97934182146486</v>
      </c>
      <c r="CC45" s="62">
        <f t="shared" si="11"/>
        <v>649.31267515479817</v>
      </c>
      <c r="CD45" s="62">
        <f ca="1">AVERAGE(OFFSET($CC$3,0,0,'Données projet'!$E$12+1,1))-AVERAGE(OFFSET($H$3,0,0,'Données projet'!$E$12+1,1))</f>
        <v>288.65195492450403</v>
      </c>
      <c r="CE45" s="62">
        <f t="shared" si="40"/>
        <v>310.66800441693891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0.48102734363027516</v>
      </c>
      <c r="CN45" s="24">
        <f t="shared" si="12"/>
        <v>0.48102734363027516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38</v>
      </c>
      <c r="CT45" s="13">
        <f>IF('Données projet'!$A$140&gt;35,CT44+CS45-DB44,IF(A45&lt;'Données projet'!$A$140,$CQ$205^A45,IF(A45='Données projet'!$A$140,'Données projet'!$B$140,CT44+CS45-DB44)))</f>
        <v>698.00000000000023</v>
      </c>
      <c r="CU45" s="18">
        <f>CT45*VLOOKUP('Données projet'!$B$13,Paramètres!$A$1:$I$89,3,0)*VLOOKUP('Données projet'!$B$13,Paramètres!$A$1:$I$89,5,0)</f>
        <v>308.51600000000013</v>
      </c>
      <c r="CV45" s="14">
        <f t="shared" si="41"/>
        <v>72.958825406715519</v>
      </c>
      <c r="CW45" s="22">
        <f t="shared" si="13"/>
        <v>664.40198758336305</v>
      </c>
      <c r="CX45" s="62">
        <f t="shared" si="14"/>
        <v>957.73532091669631</v>
      </c>
      <c r="CY45" s="62">
        <f ca="1">AVERAGE(OFFSET($CX$3,0,0,'Données projet'!$E$13+1,1))-AVERAGE(OFFSET($H$3,0,0,'Données projet'!$E$13+1,1))</f>
        <v>572.6451446653349</v>
      </c>
      <c r="CZ45" s="62">
        <f t="shared" si="42"/>
        <v>389.15977992931374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11.4</v>
      </c>
      <c r="DO45" s="13">
        <f>IF('Données projet'!$A$166&gt;35,DO44+DN45-DW44,IF(A45&lt;'Données projet'!$A$166,$DL$205^A45,IF(A45='Données projet'!$A$166,'Données projet'!$B$166,DO44+DN45-DW44)))</f>
        <v>197.80000000000004</v>
      </c>
      <c r="DP45" s="18">
        <f>DO45*VLOOKUP('Données projet'!$B$14,Paramètres!$A$1:$I$89,3,0)*VLOOKUP('Données projet'!$B$14,Paramètres!$A$1:$I$89,5,0)</f>
        <v>166.62672000000003</v>
      </c>
      <c r="DQ45" s="14">
        <f t="shared" si="43"/>
        <v>42.333642074689422</v>
      </c>
      <c r="DR45" s="22">
        <f t="shared" si="16"/>
        <v>363.93929728008408</v>
      </c>
      <c r="DS45" s="62">
        <f t="shared" si="17"/>
        <v>657.27263061341739</v>
      </c>
      <c r="DT45" s="62">
        <f ca="1">AVERAGE(OFFSET($DS$3,0,0,'Données projet'!$E$14+1,1))-AVERAGE(OFFSET($H$3,0,0,'Données projet'!$E$14+1,1))</f>
        <v>383.83934938682984</v>
      </c>
      <c r="DU45" s="62">
        <f t="shared" si="44"/>
        <v>223.93106361972281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310.608199983867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2">
        <f t="shared" si="0"/>
        <v>705.52629626882026</v>
      </c>
      <c r="S46" s="62">
        <f ca="1">AVERAGE(OFFSET($R$3,0,0,'Données projet'!$E$9+1,1))-AVERAGE(OFFSET($H$3,0,0,'Données projet'!$E$9+1,1))</f>
        <v>415.89259563928869</v>
      </c>
      <c r="T46" s="62">
        <f t="shared" si="34"/>
        <v>240.19413322685813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8.1999999999999993</v>
      </c>
      <c r="AI46" s="14">
        <f>IF('Données projet'!$A$62&gt;35,AI45+AH46-AQ45,IF(A46&lt;'Données projet'!$A$62,$AF$205^A46,IF(A46='Données projet'!$A$62,'Données projet'!$B$62,AI45+AH46-AQ45)))</f>
        <v>188.59999999999985</v>
      </c>
      <c r="AJ46" s="14">
        <f>AI46*VLOOKUP('Données projet'!$B$10,Paramètres!$A$1:$I$89,3,0)*VLOOKUP('Données projet'!$B$10,Paramètres!$A$1:$I$89,5,0)</f>
        <v>123.57071999999989</v>
      </c>
      <c r="AK46" s="14">
        <f t="shared" si="35"/>
        <v>32.506384557027644</v>
      </c>
      <c r="AL46" s="22">
        <f t="shared" si="4"/>
        <v>271.83429043682298</v>
      </c>
      <c r="AM46" s="62">
        <f t="shared" si="5"/>
        <v>565.1676237701563</v>
      </c>
      <c r="AN46" s="62">
        <f ca="1">AVERAGE(OFFSET($AM$3,0,0,'Données projet'!$E$10+1,1))-AVERAGE(OFFSET($H$3,0,0,'Données projet'!$E$10+1,1))</f>
        <v>214.08705070588002</v>
      </c>
      <c r="AO46" s="62">
        <f t="shared" si="36"/>
        <v>251.33527585147152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17</v>
      </c>
      <c r="BD46" s="13">
        <f>IF('Données projet'!$A$88&gt;35,BD45+BC46-BL45,IF(A46&lt;'Données projet'!$A$88,$BA$205^A46,IF(A46='Données projet'!$A$88,'Données projet'!$B$88,BD45+BC46-BL45)))</f>
        <v>314</v>
      </c>
      <c r="BE46" s="14">
        <f>BD46*VLOOKUP('Données projet'!$B$11,Paramètres!$A$1:$I$89,3,0)*VLOOKUP('Données projet'!$B$11,Paramètres!$A$1:$I$89,5,0)</f>
        <v>179.608</v>
      </c>
      <c r="BF46" s="14">
        <f t="shared" si="37"/>
        <v>45.234962325837898</v>
      </c>
      <c r="BG46" s="22">
        <f t="shared" si="7"/>
        <v>391.601492717501</v>
      </c>
      <c r="BH46" s="62">
        <f t="shared" si="8"/>
        <v>684.93482605083432</v>
      </c>
      <c r="BI46" s="62">
        <f ca="1">AVERAGE(OFFSET($BH$3,0,0,'Données projet'!$E$11+1,1))-AVERAGE(OFFSET($H$3,0,0,'Données projet'!$E$11+1,1))</f>
        <v>239.41486198585676</v>
      </c>
      <c r="BJ46" s="62">
        <f t="shared" si="38"/>
        <v>224.9174498508774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3.4152725787106909E-2</v>
      </c>
      <c r="BS46" s="24">
        <f t="shared" si="9"/>
        <v>3.4152725787106909E-2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18.2</v>
      </c>
      <c r="BY46" s="13">
        <f>IF('Données projet'!$A$114&gt;35,BY45+BX46-CG45,IF(A46&lt;'Données projet'!$A$114,$BV$205^A46,IF(A46='Données projet'!$A$114,'Données projet'!$B$114,BY45+BX46-CG45)))</f>
        <v>290.59999999999974</v>
      </c>
      <c r="BZ46" s="14">
        <f>BY46*VLOOKUP('Données projet'!$B$12,Paramètres!$A$1:$I$89,3,0)*VLOOKUP('Données projet'!$B$12,Paramètres!$A$1:$I$89,5,0)</f>
        <v>173.77879999999985</v>
      </c>
      <c r="CA46" s="14">
        <f t="shared" si="39"/>
        <v>43.935263155546174</v>
      </c>
      <c r="CB46" s="22">
        <f t="shared" si="10"/>
        <v>379.18532666257602</v>
      </c>
      <c r="CC46" s="62">
        <f t="shared" si="11"/>
        <v>672.51865999590927</v>
      </c>
      <c r="CD46" s="62">
        <f ca="1">AVERAGE(OFFSET($CC$3,0,0,'Données projet'!$E$12+1,1))-AVERAGE(OFFSET($H$3,0,0,'Données projet'!$E$12+1,1))</f>
        <v>288.65195492450403</v>
      </c>
      <c r="CE46" s="62">
        <f t="shared" si="40"/>
        <v>310.66800441693891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0.34013769661711923</v>
      </c>
      <c r="CN46" s="24">
        <f t="shared" si="12"/>
        <v>0.34013769661711923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38</v>
      </c>
      <c r="CT46" s="13">
        <f>IF('Données projet'!$A$140&gt;35,CT45+CS46-DB45,IF(A46&lt;'Données projet'!$A$140,$CQ$205^A46,IF(A46='Données projet'!$A$140,'Données projet'!$B$140,CT45+CS46-DB45)))</f>
        <v>736.00000000000023</v>
      </c>
      <c r="CU46" s="18">
        <f>CT46*VLOOKUP('Données projet'!$B$13,Paramètres!$A$1:$I$89,3,0)*VLOOKUP('Données projet'!$B$13,Paramètres!$A$1:$I$89,5,0)</f>
        <v>325.31200000000013</v>
      </c>
      <c r="CV46" s="14">
        <f t="shared" si="41"/>
        <v>76.457557290031872</v>
      </c>
      <c r="CW46" s="22">
        <f t="shared" si="13"/>
        <v>699.74864561347249</v>
      </c>
      <c r="CX46" s="62">
        <f t="shared" si="14"/>
        <v>993.08197894680575</v>
      </c>
      <c r="CY46" s="62">
        <f ca="1">AVERAGE(OFFSET($CX$3,0,0,'Données projet'!$E$13+1,1))-AVERAGE(OFFSET($H$3,0,0,'Données projet'!$E$13+1,1))</f>
        <v>572.6451446653349</v>
      </c>
      <c r="CZ46" s="62">
        <f t="shared" si="42"/>
        <v>389.15977992931374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11.4</v>
      </c>
      <c r="DO46" s="13">
        <f>IF('Données projet'!$A$166&gt;35,DO45+DN46-DW45,IF(A46&lt;'Données projet'!$A$166,$DL$205^A46,IF(A46='Données projet'!$A$166,'Données projet'!$B$166,DO45+DN46-DW45)))</f>
        <v>209.20000000000005</v>
      </c>
      <c r="DP46" s="18">
        <f>DO46*VLOOKUP('Données projet'!$B$14,Paramètres!$A$1:$I$89,3,0)*VLOOKUP('Données projet'!$B$14,Paramètres!$A$1:$I$89,5,0)</f>
        <v>176.23008000000004</v>
      </c>
      <c r="DQ46" s="14">
        <f t="shared" si="43"/>
        <v>44.482417993768294</v>
      </c>
      <c r="DR46" s="22">
        <f t="shared" si="16"/>
        <v>384.40760067247987</v>
      </c>
      <c r="DS46" s="62">
        <f t="shared" si="17"/>
        <v>677.74093400581319</v>
      </c>
      <c r="DT46" s="62">
        <f ca="1">AVERAGE(OFFSET($DS$3,0,0,'Données projet'!$E$14+1,1))-AVERAGE(OFFSET($H$3,0,0,'Données projet'!$E$14+1,1))</f>
        <v>383.83934938682984</v>
      </c>
      <c r="DU46" s="62">
        <f t="shared" si="44"/>
        <v>223.93106361972281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311.82696648039632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2">
        <f t="shared" si="0"/>
        <v>727.45225524198804</v>
      </c>
      <c r="S47" s="62">
        <f ca="1">AVERAGE(OFFSET($R$3,0,0,'Données projet'!$E$9+1,1))-AVERAGE(OFFSET($H$3,0,0,'Données projet'!$E$9+1,1))</f>
        <v>415.89259563928869</v>
      </c>
      <c r="T47" s="62">
        <f t="shared" si="34"/>
        <v>240.19413322685813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8.1999999999999993</v>
      </c>
      <c r="AI47" s="14">
        <f>IF('Données projet'!$A$62&gt;35,AI46+AH47-AQ46,IF(A47&lt;'Données projet'!$A$62,$AF$205^A47,IF(A47='Données projet'!$A$62,'Données projet'!$B$62,AI46+AH47-AQ46)))</f>
        <v>196.79999999999984</v>
      </c>
      <c r="AJ47" s="14">
        <f>AI47*VLOOKUP('Données projet'!$B$10,Paramètres!$A$1:$I$89,3,0)*VLOOKUP('Données projet'!$B$10,Paramètres!$A$1:$I$89,5,0)</f>
        <v>128.9433599999999</v>
      </c>
      <c r="AK47" s="14">
        <f t="shared" si="35"/>
        <v>33.752085002132162</v>
      </c>
      <c r="AL47" s="22">
        <f t="shared" si="4"/>
        <v>283.36123337871334</v>
      </c>
      <c r="AM47" s="62">
        <f t="shared" si="5"/>
        <v>576.69456671204671</v>
      </c>
      <c r="AN47" s="62">
        <f ca="1">AVERAGE(OFFSET($AM$3,0,0,'Données projet'!$E$10+1,1))-AVERAGE(OFFSET($H$3,0,0,'Données projet'!$E$10+1,1))</f>
        <v>214.08705070588002</v>
      </c>
      <c r="AO47" s="62">
        <f t="shared" si="36"/>
        <v>251.33527585147152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17</v>
      </c>
      <c r="BD47" s="13">
        <f>IF('Données projet'!$A$88&gt;35,BD46+BC47-BL46,IF(A47&lt;'Données projet'!$A$88,$BA$205^A47,IF(A47='Données projet'!$A$88,'Données projet'!$B$88,BD46+BC47-BL46)))</f>
        <v>331</v>
      </c>
      <c r="BE47" s="14">
        <f>BD47*VLOOKUP('Données projet'!$B$11,Paramètres!$A$1:$I$89,3,0)*VLOOKUP('Données projet'!$B$11,Paramètres!$A$1:$I$89,5,0)</f>
        <v>189.33200000000002</v>
      </c>
      <c r="BF47" s="14">
        <f t="shared" si="37"/>
        <v>47.392237276810356</v>
      </c>
      <c r="BG47" s="22">
        <f t="shared" si="7"/>
        <v>412.29471325711143</v>
      </c>
      <c r="BH47" s="62">
        <f t="shared" si="8"/>
        <v>705.62804659044468</v>
      </c>
      <c r="BI47" s="62">
        <f ca="1">AVERAGE(OFFSET($BH$3,0,0,'Données projet'!$E$11+1,1))-AVERAGE(OFFSET($H$3,0,0,'Données projet'!$E$11+1,1))</f>
        <v>239.41486198585676</v>
      </c>
      <c r="BJ47" s="62">
        <f t="shared" si="38"/>
        <v>224.9174498508774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2.4149624000067964E-2</v>
      </c>
      <c r="BS47" s="24">
        <f t="shared" si="9"/>
        <v>2.4149624000067964E-2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18.2</v>
      </c>
      <c r="BY47" s="13">
        <f>IF('Données projet'!$A$114&gt;35,BY46+BX47-CG46,IF(A47&lt;'Données projet'!$A$114,$BV$205^A47,IF(A47='Données projet'!$A$114,'Données projet'!$B$114,BY46+BX47-CG46)))</f>
        <v>308.79999999999973</v>
      </c>
      <c r="BZ47" s="14">
        <f>BY47*VLOOKUP('Données projet'!$B$12,Paramètres!$A$1:$I$89,3,0)*VLOOKUP('Données projet'!$B$12,Paramètres!$A$1:$I$89,5,0)</f>
        <v>184.66239999999985</v>
      </c>
      <c r="CA47" s="14">
        <f t="shared" si="39"/>
        <v>46.357935400059098</v>
      </c>
      <c r="CB47" s="22">
        <f t="shared" si="10"/>
        <v>402.36041748843598</v>
      </c>
      <c r="CC47" s="62">
        <f t="shared" si="11"/>
        <v>695.6937508217693</v>
      </c>
      <c r="CD47" s="62">
        <f ca="1">AVERAGE(OFFSET($CC$3,0,0,'Données projet'!$E$12+1,1))-AVERAGE(OFFSET($H$3,0,0,'Données projet'!$E$12+1,1))</f>
        <v>288.65195492450403</v>
      </c>
      <c r="CE47" s="62">
        <f t="shared" si="40"/>
        <v>310.66800441693891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0.24051367181513764</v>
      </c>
      <c r="CN47" s="24">
        <f t="shared" si="12"/>
        <v>0.24051367181513764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774</v>
      </c>
      <c r="CR47" s="13">
        <f>VLOOKUP(A47,'Données projet'!$A$139:$I$159,9,0)</f>
        <v>38</v>
      </c>
      <c r="CS47" s="13">
        <f t="array" ref="CS47">INDEX(CR:CR,MIN(IF(ISNUMBER(CR47:CR243),ROW(CR47:CR243),"")))</f>
        <v>38</v>
      </c>
      <c r="CT47" s="13">
        <f>IF('Données projet'!$A$140&gt;35,CT46+CS47-DB46,IF(A47&lt;'Données projet'!$A$140,$CQ$205^A47,IF(A47='Données projet'!$A$140,'Données projet'!$B$140,CT46+CS47-DB46)))</f>
        <v>774.00000000000023</v>
      </c>
      <c r="CU47" s="18">
        <f>CT47*VLOOKUP('Données projet'!$B$13,Paramètres!$A$1:$I$89,3,0)*VLOOKUP('Données projet'!$B$13,Paramètres!$A$1:$I$89,5,0)</f>
        <v>342.10800000000012</v>
      </c>
      <c r="CV47" s="14">
        <f t="shared" si="41"/>
        <v>79.935315774430151</v>
      </c>
      <c r="CW47" s="22">
        <f t="shared" si="13"/>
        <v>735.05877497379925</v>
      </c>
      <c r="CX47" s="62">
        <f t="shared" si="14"/>
        <v>1028.3921083071325</v>
      </c>
      <c r="CY47" s="62">
        <f ca="1">AVERAGE(OFFSET($CX$3,0,0,'Données projet'!$E$13+1,1))-AVERAGE(OFFSET($H$3,0,0,'Données projet'!$E$13+1,1))</f>
        <v>572.6451446653349</v>
      </c>
      <c r="CZ47" s="62">
        <f t="shared" si="42"/>
        <v>389.15977992931374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11.4</v>
      </c>
      <c r="DO47" s="13">
        <f>IF('Données projet'!$A$166&gt;35,DO46+DN47-DW46,IF(A47&lt;'Données projet'!$A$166,$DL$205^A47,IF(A47='Données projet'!$A$166,'Données projet'!$B$166,DO46+DN47-DW46)))</f>
        <v>220.60000000000005</v>
      </c>
      <c r="DP47" s="18">
        <f>DO47*VLOOKUP('Données projet'!$B$14,Paramètres!$A$1:$I$89,3,0)*VLOOKUP('Données projet'!$B$14,Paramètres!$A$1:$I$89,5,0)</f>
        <v>185.83344000000005</v>
      </c>
      <c r="DQ47" s="14">
        <f t="shared" si="43"/>
        <v>46.617600215670045</v>
      </c>
      <c r="DR47" s="22">
        <f t="shared" si="16"/>
        <v>404.85222837562537</v>
      </c>
      <c r="DS47" s="62">
        <f t="shared" si="17"/>
        <v>698.18556170895863</v>
      </c>
      <c r="DT47" s="62">
        <f ca="1">AVERAGE(OFFSET($DS$3,0,0,'Données projet'!$E$14+1,1))-AVERAGE(OFFSET($H$3,0,0,'Données projet'!$E$14+1,1))</f>
        <v>383.83934938682984</v>
      </c>
      <c r="DU47" s="62">
        <f t="shared" si="44"/>
        <v>223.93106361972281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313.04502535249287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2">
        <f t="shared" si="0"/>
        <v>749.35444730432789</v>
      </c>
      <c r="S48" s="62">
        <f ca="1">AVERAGE(OFFSET($R$3,0,0,'Données projet'!$E$9+1,1))-AVERAGE(OFFSET($H$3,0,0,'Données projet'!$E$9+1,1))</f>
        <v>415.89259563928869</v>
      </c>
      <c r="T48" s="62">
        <f t="shared" si="34"/>
        <v>240.19413322685813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205</v>
      </c>
      <c r="AG48" s="13">
        <f>VLOOKUP(A48,'Données projet'!$A$61:$I$81,9,0)</f>
        <v>8.1999999999999993</v>
      </c>
      <c r="AH48" s="13">
        <f t="array" ref="AH48">INDEX(AG:AG,MIN(IF(ISNUMBER(AG48:AG244),ROW(AG48:AG244),"")))</f>
        <v>8.1999999999999993</v>
      </c>
      <c r="AI48" s="14">
        <f>IF('Données projet'!$A$62&gt;35,AI47+AH48-AQ47,IF(A48&lt;'Données projet'!$A$62,$AF$205^A48,IF(A48='Données projet'!$A$62,'Données projet'!$B$62,AI47+AH48-AQ47)))</f>
        <v>204.99999999999983</v>
      </c>
      <c r="AJ48" s="14">
        <f>AI48*VLOOKUP('Données projet'!$B$10,Paramètres!$A$1:$I$89,3,0)*VLOOKUP('Données projet'!$B$10,Paramètres!$A$1:$I$89,5,0)</f>
        <v>134.31599999999989</v>
      </c>
      <c r="AK48" s="14">
        <f t="shared" si="35"/>
        <v>34.99175658512241</v>
      </c>
      <c r="AL48" s="22">
        <f t="shared" si="4"/>
        <v>294.87767605242135</v>
      </c>
      <c r="AM48" s="62">
        <f t="shared" si="5"/>
        <v>588.21100938575466</v>
      </c>
      <c r="AN48" s="62">
        <f ca="1">AVERAGE(OFFSET($AM$3,0,0,'Données projet'!$E$10+1,1))-AVERAGE(OFFSET($H$3,0,0,'Données projet'!$E$10+1,1))</f>
        <v>214.08705070588002</v>
      </c>
      <c r="AO48" s="62">
        <f t="shared" si="36"/>
        <v>251.33527585147152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348</v>
      </c>
      <c r="BB48" s="13">
        <f>VLOOKUP(A48,'Données projet'!$A$87:$I$107,9,0)</f>
        <v>17</v>
      </c>
      <c r="BC48" s="13">
        <f t="array" ref="BC48">INDEX(BB:BB,MIN(IF(ISNUMBER(BB48:BB244),ROW(BB48:BB244),"")))</f>
        <v>17</v>
      </c>
      <c r="BD48" s="13">
        <f>IF('Données projet'!$A$88&gt;35,BD47+BC48-BL47,IF(A48&lt;'Données projet'!$A$88,$BA$205^A48,IF(A48='Données projet'!$A$88,'Données projet'!$B$88,BD47+BC48-BL47)))</f>
        <v>348</v>
      </c>
      <c r="BE48" s="14">
        <f>BD48*VLOOKUP('Données projet'!$B$11,Paramètres!$A$1:$I$89,3,0)*VLOOKUP('Données projet'!$B$11,Paramètres!$A$1:$I$89,5,0)</f>
        <v>199.05600000000001</v>
      </c>
      <c r="BF48" s="14">
        <f t="shared" si="37"/>
        <v>49.536648006253934</v>
      </c>
      <c r="BG48" s="22">
        <f t="shared" si="7"/>
        <v>432.96552861089231</v>
      </c>
      <c r="BH48" s="62">
        <f t="shared" si="8"/>
        <v>726.29886194422556</v>
      </c>
      <c r="BI48" s="62">
        <f ca="1">AVERAGE(OFFSET($BH$3,0,0,'Données projet'!$E$11+1,1))-AVERAGE(OFFSET($H$3,0,0,'Données projet'!$E$11+1,1))</f>
        <v>239.41486198585676</v>
      </c>
      <c r="BJ48" s="62">
        <f t="shared" si="38"/>
        <v>224.9174498508774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96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1.7076362893553455E-2</v>
      </c>
      <c r="BS48" s="24">
        <f t="shared" si="9"/>
        <v>1.7076362893553455E-2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327</v>
      </c>
      <c r="BW48" s="13">
        <f>VLOOKUP(A48,'Données projet'!$A$113:$I$133,9,0)</f>
        <v>18.2</v>
      </c>
      <c r="BX48" s="13">
        <f t="array" ref="BX48">INDEX(BW:BW,MIN(IF(ISNUMBER(BW48:BW244),ROW(BW48:BW244),"")))</f>
        <v>18.2</v>
      </c>
      <c r="BY48" s="13">
        <f>IF('Données projet'!$A$114&gt;35,BY47+BX48-CG47,IF(A48&lt;'Données projet'!$A$114,$BV$205^A48,IF(A48='Données projet'!$A$114,'Données projet'!$B$114,BY47+BX48-CG47)))</f>
        <v>326.99999999999972</v>
      </c>
      <c r="BZ48" s="14">
        <f>BY48*VLOOKUP('Données projet'!$B$12,Paramètres!$A$1:$I$89,3,0)*VLOOKUP('Données projet'!$B$12,Paramètres!$A$1:$I$89,5,0)</f>
        <v>195.54599999999985</v>
      </c>
      <c r="CA48" s="14">
        <f t="shared" si="39"/>
        <v>48.764033987743254</v>
      </c>
      <c r="CB48" s="22">
        <f t="shared" si="10"/>
        <v>425.50664252865255</v>
      </c>
      <c r="CC48" s="62">
        <f t="shared" si="11"/>
        <v>718.83997586198586</v>
      </c>
      <c r="CD48" s="62">
        <f ca="1">AVERAGE(OFFSET($CC$3,0,0,'Données projet'!$E$12+1,1))-AVERAGE(OFFSET($H$3,0,0,'Données projet'!$E$12+1,1))</f>
        <v>288.65195492450403</v>
      </c>
      <c r="CE48" s="62">
        <f t="shared" si="40"/>
        <v>310.66800441693891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0.17006884830855964</v>
      </c>
      <c r="CN48" s="24">
        <f t="shared" si="12"/>
        <v>0.17006884830855964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33.799999999999997</v>
      </c>
      <c r="CT48" s="13">
        <f>IF('Données projet'!$A$140&gt;35,CT47+CS48-DB47,IF(A48&lt;'Données projet'!$A$140,$CQ$205^A48,IF(A48='Données projet'!$A$140,'Données projet'!$B$140,CT47+CS48-DB47)))</f>
        <v>807.80000000000018</v>
      </c>
      <c r="CU48" s="18">
        <f>CT48*VLOOKUP('Données projet'!$B$13,Paramètres!$A$1:$I$89,3,0)*VLOOKUP('Données projet'!$B$13,Paramètres!$A$1:$I$89,5,0)</f>
        <v>357.04760000000016</v>
      </c>
      <c r="CV48" s="14">
        <f t="shared" si="41"/>
        <v>83.011997227472705</v>
      </c>
      <c r="CW48" s="22">
        <f t="shared" si="13"/>
        <v>766.43713183784848</v>
      </c>
      <c r="CX48" s="62">
        <f t="shared" si="14"/>
        <v>1059.7704651711817</v>
      </c>
      <c r="CY48" s="62">
        <f ca="1">AVERAGE(OFFSET($CX$3,0,0,'Données projet'!$E$13+1,1))-AVERAGE(OFFSET($H$3,0,0,'Données projet'!$E$13+1,1))</f>
        <v>572.6451446653349</v>
      </c>
      <c r="CZ48" s="62">
        <f t="shared" si="42"/>
        <v>389.15977992931374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232</v>
      </c>
      <c r="DM48" s="13">
        <f>VLOOKUP(A48,'Données projet'!$A$165:$I$185,9,0)</f>
        <v>11.4</v>
      </c>
      <c r="DN48" s="13">
        <f t="array" ref="DN48">INDEX(DM:DM,MIN(IF(ISNUMBER(DM48:DM244),ROW(DM48:DM244),"")))</f>
        <v>11.4</v>
      </c>
      <c r="DO48" s="13">
        <f>IF('Données projet'!$A$166&gt;35,DO47+DN48-DW47,IF(A48&lt;'Données projet'!$A$166,$DL$205^A48,IF(A48='Données projet'!$A$166,'Données projet'!$B$166,DO47+DN48-DW47)))</f>
        <v>232.00000000000006</v>
      </c>
      <c r="DP48" s="18">
        <f>DO48*VLOOKUP('Données projet'!$B$14,Paramètres!$A$1:$I$89,3,0)*VLOOKUP('Données projet'!$B$14,Paramètres!$A$1:$I$89,5,0)</f>
        <v>195.43680000000006</v>
      </c>
      <c r="DQ48" s="14">
        <f t="shared" si="43"/>
        <v>48.739971354487849</v>
      </c>
      <c r="DR48" s="22">
        <f t="shared" si="16"/>
        <v>425.27454344239982</v>
      </c>
      <c r="DS48" s="62">
        <f t="shared" si="17"/>
        <v>718.60787677573308</v>
      </c>
      <c r="DT48" s="62">
        <f ca="1">AVERAGE(OFFSET($DS$3,0,0,'Données projet'!$E$14+1,1))-AVERAGE(OFFSET($H$3,0,0,'Données projet'!$E$14+1,1))</f>
        <v>383.83934938682984</v>
      </c>
      <c r="DU48" s="62">
        <f t="shared" si="44"/>
        <v>223.93106361972281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56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314.26239413576309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2">
        <f t="shared" si="0"/>
        <v>662.75452844747895</v>
      </c>
      <c r="S49" s="62">
        <f ca="1">AVERAGE(OFFSET($R$3,0,0,'Données projet'!$E$9+1,1))-AVERAGE(OFFSET($H$3,0,0,'Données projet'!$E$9+1,1))</f>
        <v>415.89259563928869</v>
      </c>
      <c r="T49" s="62">
        <f t="shared" si="34"/>
        <v>240.19413322685813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211.99999999999983</v>
      </c>
      <c r="AJ49" s="14">
        <f>AI49*VLOOKUP('Données projet'!$B$10,Paramètres!$A$1:$I$89,3,0)*VLOOKUP('Données projet'!$B$10,Paramètres!$A$1:$I$89,5,0)</f>
        <v>138.90239999999989</v>
      </c>
      <c r="AK49" s="14">
        <f t="shared" si="35"/>
        <v>36.045445680666425</v>
      </c>
      <c r="AL49" s="22">
        <f t="shared" si="4"/>
        <v>304.70083122716051</v>
      </c>
      <c r="AM49" s="62">
        <f t="shared" si="5"/>
        <v>598.03416456049376</v>
      </c>
      <c r="AN49" s="62">
        <f ca="1">AVERAGE(OFFSET($AM$3,0,0,'Données projet'!$E$10+1,1))-AVERAGE(OFFSET($H$3,0,0,'Données projet'!$E$10+1,1))</f>
        <v>214.08705070588002</v>
      </c>
      <c r="AO49" s="62">
        <f t="shared" si="36"/>
        <v>251.33527585147152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17.2</v>
      </c>
      <c r="BD49" s="13">
        <f>IF('Données projet'!$A$88&gt;35,BD48+BC49-BL48,IF(A49&lt;'Données projet'!$A$88,$BA$205^A49,IF(A49='Données projet'!$A$88,'Données projet'!$B$88,BD48+BC49-BL48)))</f>
        <v>269.2</v>
      </c>
      <c r="BE49" s="14">
        <f>BD49*VLOOKUP('Données projet'!$B$11,Paramètres!$A$1:$I$89,3,0)*VLOOKUP('Données projet'!$B$11,Paramètres!$A$1:$I$89,5,0)</f>
        <v>153.98239999999998</v>
      </c>
      <c r="BF49" s="14">
        <f t="shared" si="37"/>
        <v>39.482215533662355</v>
      </c>
      <c r="BG49" s="22">
        <f t="shared" si="7"/>
        <v>336.95087205446191</v>
      </c>
      <c r="BH49" s="62">
        <f t="shared" si="8"/>
        <v>630.28420538779528</v>
      </c>
      <c r="BI49" s="62">
        <f ca="1">AVERAGE(OFFSET($BH$3,0,0,'Données projet'!$E$11+1,1))-AVERAGE(OFFSET($H$3,0,0,'Données projet'!$E$11+1,1))</f>
        <v>239.41486198585676</v>
      </c>
      <c r="BJ49" s="62">
        <f t="shared" si="38"/>
        <v>224.9174498508774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1.2074812000033982E-2</v>
      </c>
      <c r="BS49" s="24">
        <f t="shared" si="9"/>
        <v>1.2074812000033982E-2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19.399999999999999</v>
      </c>
      <c r="BY49" s="13">
        <f>IF('Données projet'!$A$114&gt;35,BY48+BX49-CG48,IF(A49&lt;'Données projet'!$A$114,$BV$205^A49,IF(A49='Données projet'!$A$114,'Données projet'!$B$114,BY48+BX49-CG48)))</f>
        <v>346.39999999999969</v>
      </c>
      <c r="BZ49" s="14">
        <f>BY49*VLOOKUP('Données projet'!$B$12,Paramètres!$A$1:$I$89,3,0)*VLOOKUP('Données projet'!$B$12,Paramètres!$A$1:$I$89,5,0)</f>
        <v>207.14719999999983</v>
      </c>
      <c r="CA49" s="14">
        <f t="shared" si="39"/>
        <v>51.311681725639517</v>
      </c>
      <c r="CB49" s="22">
        <f t="shared" si="10"/>
        <v>450.14921900548853</v>
      </c>
      <c r="CC49" s="62">
        <f t="shared" si="11"/>
        <v>743.48255233882185</v>
      </c>
      <c r="CD49" s="62">
        <f ca="1">AVERAGE(OFFSET($CC$3,0,0,'Données projet'!$E$12+1,1))-AVERAGE(OFFSET($H$3,0,0,'Données projet'!$E$12+1,1))</f>
        <v>288.65195492450403</v>
      </c>
      <c r="CE49" s="62">
        <f t="shared" si="40"/>
        <v>310.66800441693891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0.12025683590756883</v>
      </c>
      <c r="CN49" s="24">
        <f t="shared" si="12"/>
        <v>0.12025683590756883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33.799999999999997</v>
      </c>
      <c r="CT49" s="13">
        <f>IF('Données projet'!$A$140&gt;35,CT48+CS49-DB48,IF(A49&lt;'Données projet'!$A$140,$CQ$205^A49,IF(A49='Données projet'!$A$140,'Données projet'!$B$140,CT48+CS49-DB48)))</f>
        <v>841.60000000000014</v>
      </c>
      <c r="CU49" s="18">
        <f>CT49*VLOOKUP('Données projet'!$B$13,Paramètres!$A$1:$I$89,3,0)*VLOOKUP('Données projet'!$B$13,Paramètres!$A$1:$I$89,5,0)</f>
        <v>371.98720000000009</v>
      </c>
      <c r="CV49" s="14">
        <f t="shared" si="41"/>
        <v>86.073725793626124</v>
      </c>
      <c r="CW49" s="22">
        <f t="shared" si="13"/>
        <v>797.78944575723233</v>
      </c>
      <c r="CX49" s="62">
        <f t="shared" si="14"/>
        <v>1091.1227790905657</v>
      </c>
      <c r="CY49" s="62">
        <f ca="1">AVERAGE(OFFSET($CX$3,0,0,'Données projet'!$E$13+1,1))-AVERAGE(OFFSET($H$3,0,0,'Données projet'!$E$13+1,1))</f>
        <v>572.6451446653349</v>
      </c>
      <c r="CZ49" s="62">
        <f t="shared" si="42"/>
        <v>389.15977992931374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</v>
      </c>
      <c r="DO49" s="13">
        <f>IF('Données projet'!$A$166&gt;35,DO48+DN49-DW48,IF(A49&lt;'Données projet'!$A$166,$DL$205^A49,IF(A49='Données projet'!$A$166,'Données projet'!$B$166,DO48+DN49-DW48)))</f>
        <v>187.00000000000006</v>
      </c>
      <c r="DP49" s="18">
        <f>DO49*VLOOKUP('Données projet'!$B$14,Paramètres!$A$1:$I$89,3,0)*VLOOKUP('Données projet'!$B$14,Paramètres!$A$1:$I$89,5,0)</f>
        <v>157.52880000000005</v>
      </c>
      <c r="DQ49" s="14">
        <f t="shared" si="43"/>
        <v>40.284625411479013</v>
      </c>
      <c r="DR49" s="22">
        <f t="shared" si="16"/>
        <v>344.52504925832596</v>
      </c>
      <c r="DS49" s="62">
        <f t="shared" si="17"/>
        <v>637.85838259165928</v>
      </c>
      <c r="DT49" s="62">
        <f ca="1">AVERAGE(OFFSET($DS$3,0,0,'Données projet'!$E$14+1,1))-AVERAGE(OFFSET($H$3,0,0,'Données projet'!$E$14+1,1))</f>
        <v>383.83934938682984</v>
      </c>
      <c r="DU49" s="62">
        <f t="shared" si="44"/>
        <v>223.93106361972281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315.47908955985213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2">
        <f t="shared" si="0"/>
        <v>683.96045320765336</v>
      </c>
      <c r="S50" s="62">
        <f ca="1">AVERAGE(OFFSET($R$3,0,0,'Données projet'!$E$9+1,1))-AVERAGE(OFFSET($H$3,0,0,'Données projet'!$E$9+1,1))</f>
        <v>415.89259563928869</v>
      </c>
      <c r="T50" s="62">
        <f t="shared" si="34"/>
        <v>240.19413322685813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218.99999999999983</v>
      </c>
      <c r="AJ50" s="14">
        <f>AI50*VLOOKUP('Données projet'!$B$10,Paramètres!$A$1:$I$89,3,0)*VLOOKUP('Données projet'!$B$10,Paramètres!$A$1:$I$89,5,0)</f>
        <v>143.48879999999988</v>
      </c>
      <c r="AK50" s="14">
        <f t="shared" si="35"/>
        <v>37.095092027878849</v>
      </c>
      <c r="AL50" s="22">
        <f t="shared" si="4"/>
        <v>314.51694528188875</v>
      </c>
      <c r="AM50" s="62">
        <f t="shared" si="5"/>
        <v>607.85027861522212</v>
      </c>
      <c r="AN50" s="62">
        <f ca="1">AVERAGE(OFFSET($AM$3,0,0,'Données projet'!$E$10+1,1))-AVERAGE(OFFSET($H$3,0,0,'Données projet'!$E$10+1,1))</f>
        <v>214.08705070588002</v>
      </c>
      <c r="AO50" s="62">
        <f t="shared" si="36"/>
        <v>251.33527585147152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17.2</v>
      </c>
      <c r="BD50" s="13">
        <f>IF('Données projet'!$A$88&gt;35,BD49+BC50-BL49,IF(A50&lt;'Données projet'!$A$88,$BA$205^A50,IF(A50='Données projet'!$A$88,'Données projet'!$B$88,BD49+BC50-BL49)))</f>
        <v>286.39999999999998</v>
      </c>
      <c r="BE50" s="14">
        <f>BD50*VLOOKUP('Données projet'!$B$11,Paramètres!$A$1:$I$89,3,0)*VLOOKUP('Données projet'!$B$11,Paramètres!$A$1:$I$89,5,0)</f>
        <v>163.82079999999999</v>
      </c>
      <c r="BF50" s="14">
        <f t="shared" si="37"/>
        <v>41.703120290555795</v>
      </c>
      <c r="BG50" s="22">
        <f t="shared" si="7"/>
        <v>357.95416117271793</v>
      </c>
      <c r="BH50" s="62">
        <f t="shared" si="8"/>
        <v>651.28749450605119</v>
      </c>
      <c r="BI50" s="62">
        <f ca="1">AVERAGE(OFFSET($BH$3,0,0,'Données projet'!$E$11+1,1))-AVERAGE(OFFSET($H$3,0,0,'Données projet'!$E$11+1,1))</f>
        <v>239.41486198585676</v>
      </c>
      <c r="BJ50" s="62">
        <f t="shared" si="38"/>
        <v>224.9174498508774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8.5381814467767273E-3</v>
      </c>
      <c r="BS50" s="24">
        <f t="shared" si="9"/>
        <v>8.5381814467767273E-3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19.399999999999999</v>
      </c>
      <c r="BY50" s="13">
        <f>IF('Données projet'!$A$114&gt;35,BY49+BX50-CG49,IF(A50&lt;'Données projet'!$A$114,$BV$205^A50,IF(A50='Données projet'!$A$114,'Données projet'!$B$114,BY49+BX50-CG49)))</f>
        <v>365.79999999999967</v>
      </c>
      <c r="BZ50" s="14">
        <f>BY50*VLOOKUP('Données projet'!$B$12,Paramètres!$A$1:$I$89,3,0)*VLOOKUP('Données projet'!$B$12,Paramètres!$A$1:$I$89,5,0)</f>
        <v>218.74839999999983</v>
      </c>
      <c r="CA50" s="14">
        <f t="shared" si="39"/>
        <v>53.842766383032867</v>
      </c>
      <c r="CB50" s="22">
        <f t="shared" si="10"/>
        <v>474.76294811711523</v>
      </c>
      <c r="CC50" s="62">
        <f t="shared" si="11"/>
        <v>768.09628145044849</v>
      </c>
      <c r="CD50" s="62">
        <f ca="1">AVERAGE(OFFSET($CC$3,0,0,'Données projet'!$E$12+1,1))-AVERAGE(OFFSET($H$3,0,0,'Données projet'!$E$12+1,1))</f>
        <v>288.65195492450403</v>
      </c>
      <c r="CE50" s="62">
        <f t="shared" si="40"/>
        <v>310.66800441693891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8.5034424154279836E-2</v>
      </c>
      <c r="CN50" s="24">
        <f t="shared" si="12"/>
        <v>8.5034424154279836E-2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33.799999999999997</v>
      </c>
      <c r="CT50" s="13">
        <f>IF('Données projet'!$A$140&gt;35,CT49+CS50-DB49,IF(A50&lt;'Données projet'!$A$140,$CQ$205^A50,IF(A50='Données projet'!$A$140,'Données projet'!$B$140,CT49+CS50-DB49)))</f>
        <v>875.40000000000009</v>
      </c>
      <c r="CU50" s="18">
        <f>CT50*VLOOKUP('Données projet'!$B$13,Paramètres!$A$1:$I$89,3,0)*VLOOKUP('Données projet'!$B$13,Paramètres!$A$1:$I$89,5,0)</f>
        <v>386.92680000000007</v>
      </c>
      <c r="CV50" s="14">
        <f t="shared" si="41"/>
        <v>89.121170708628895</v>
      </c>
      <c r="CW50" s="22">
        <f t="shared" si="13"/>
        <v>829.11688231752885</v>
      </c>
      <c r="CX50" s="62">
        <f t="shared" si="14"/>
        <v>1122.4502156508622</v>
      </c>
      <c r="CY50" s="62">
        <f ca="1">AVERAGE(OFFSET($CX$3,0,0,'Données projet'!$E$13+1,1))-AVERAGE(OFFSET($H$3,0,0,'Données projet'!$E$13+1,1))</f>
        <v>572.6451446653349</v>
      </c>
      <c r="CZ50" s="62">
        <f t="shared" si="42"/>
        <v>389.15977992931374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</v>
      </c>
      <c r="DO50" s="13">
        <f>IF('Données projet'!$A$166&gt;35,DO49+DN50-DW49,IF(A50&lt;'Données projet'!$A$166,$DL$205^A50,IF(A50='Données projet'!$A$166,'Données projet'!$B$166,DO49+DN50-DW49)))</f>
        <v>198.00000000000006</v>
      </c>
      <c r="DP50" s="18">
        <f>DO50*VLOOKUP('Données projet'!$B$14,Paramètres!$A$1:$I$89,3,0)*VLOOKUP('Données projet'!$B$14,Paramètres!$A$1:$I$89,5,0)</f>
        <v>166.79520000000008</v>
      </c>
      <c r="DQ50" s="14">
        <f t="shared" si="43"/>
        <v>42.371461898472788</v>
      </c>
      <c r="DR50" s="22">
        <f t="shared" si="16"/>
        <v>364.29860280650684</v>
      </c>
      <c r="DS50" s="62">
        <f t="shared" si="17"/>
        <v>657.63193613984015</v>
      </c>
      <c r="DT50" s="62">
        <f ca="1">AVERAGE(OFFSET($DS$3,0,0,'Données projet'!$E$14+1,1))-AVERAGE(OFFSET($H$3,0,0,'Données projet'!$E$14+1,1))</f>
        <v>383.83934938682984</v>
      </c>
      <c r="DU50" s="62">
        <f t="shared" si="44"/>
        <v>223.93106361972281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316.69512760183437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415.89259563928869</v>
      </c>
      <c r="T51" s="62">
        <f t="shared" si="34"/>
        <v>240.19413322685813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225.99999999999983</v>
      </c>
      <c r="AJ51" s="14">
        <f>AI51*VLOOKUP('Données projet'!$B$10,Paramètres!$A$1:$I$89,3,0)*VLOOKUP('Données projet'!$B$10,Paramètres!$A$1:$I$89,5,0)</f>
        <v>148.07519999999991</v>
      </c>
      <c r="AK51" s="14">
        <f t="shared" si="35"/>
        <v>38.140839670017236</v>
      </c>
      <c r="AL51" s="22">
        <f t="shared" si="4"/>
        <v>324.32626909194659</v>
      </c>
      <c r="AM51" s="62">
        <f t="shared" si="5"/>
        <v>617.6596024252799</v>
      </c>
      <c r="AN51" s="62">
        <f ca="1">AVERAGE(OFFSET($AM$3,0,0,'Données projet'!$E$10+1,1))-AVERAGE(OFFSET($H$3,0,0,'Données projet'!$E$10+1,1))</f>
        <v>214.08705070588002</v>
      </c>
      <c r="AO51" s="62">
        <f t="shared" si="36"/>
        <v>251.33527585147152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17.2</v>
      </c>
      <c r="BD51" s="13">
        <f>IF('Données projet'!$A$88&gt;35,BD50+BC51-BL50,IF(A51&lt;'Données projet'!$A$88,$BA$205^A51,IF(A51='Données projet'!$A$88,'Données projet'!$B$88,BD50+BC51-BL50)))</f>
        <v>303.59999999999997</v>
      </c>
      <c r="BE51" s="14">
        <f>BD51*VLOOKUP('Données projet'!$B$11,Paramètres!$A$1:$I$89,3,0)*VLOOKUP('Données projet'!$B$11,Paramètres!$A$1:$I$89,5,0)</f>
        <v>173.65919999999997</v>
      </c>
      <c r="BF51" s="14">
        <f t="shared" si="37"/>
        <v>43.908544123262651</v>
      </c>
      <c r="BG51" s="22">
        <f t="shared" si="7"/>
        <v>378.93048768134901</v>
      </c>
      <c r="BH51" s="62">
        <f t="shared" si="8"/>
        <v>672.26382101468232</v>
      </c>
      <c r="BI51" s="62">
        <f ca="1">AVERAGE(OFFSET($BH$3,0,0,'Données projet'!$E$11+1,1))-AVERAGE(OFFSET($H$3,0,0,'Données projet'!$E$11+1,1))</f>
        <v>239.41486198585676</v>
      </c>
      <c r="BJ51" s="62">
        <f t="shared" si="38"/>
        <v>224.9174498508774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6.0374060000169911E-3</v>
      </c>
      <c r="BS51" s="24">
        <f t="shared" si="9"/>
        <v>6.0374060000169911E-3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19.399999999999999</v>
      </c>
      <c r="BY51" s="13">
        <f>IF('Données projet'!$A$114&gt;35,BY50+BX51-CG50,IF(A51&lt;'Données projet'!$A$114,$BV$205^A51,IF(A51='Données projet'!$A$114,'Données projet'!$B$114,BY50+BX51-CG50)))</f>
        <v>385.19999999999965</v>
      </c>
      <c r="BZ51" s="14">
        <f>BY51*VLOOKUP('Données projet'!$B$12,Paramètres!$A$1:$I$89,3,0)*VLOOKUP('Données projet'!$B$12,Paramètres!$A$1:$I$89,5,0)</f>
        <v>230.34959999999978</v>
      </c>
      <c r="CA51" s="14">
        <f t="shared" si="39"/>
        <v>56.358266541426261</v>
      </c>
      <c r="CB51" s="22">
        <f t="shared" si="10"/>
        <v>499.34953422631702</v>
      </c>
      <c r="CC51" s="62">
        <f t="shared" si="11"/>
        <v>792.68286755965028</v>
      </c>
      <c r="CD51" s="62">
        <f ca="1">AVERAGE(OFFSET($CC$3,0,0,'Données projet'!$E$12+1,1))-AVERAGE(OFFSET($H$3,0,0,'Données projet'!$E$12+1,1))</f>
        <v>288.65195492450403</v>
      </c>
      <c r="CE51" s="62">
        <f t="shared" si="40"/>
        <v>310.66800441693891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6.012841795378443E-2</v>
      </c>
      <c r="CN51" s="24">
        <f t="shared" si="12"/>
        <v>6.012841795378443E-2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33.799999999999997</v>
      </c>
      <c r="CT51" s="13">
        <f>IF('Données projet'!$A$140&gt;35,CT50+CS51-DB50,IF(A51&lt;'Données projet'!$A$140,$CQ$205^A51,IF(A51='Données projet'!$A$140,'Données projet'!$B$140,CT50+CS51-DB50)))</f>
        <v>909.2</v>
      </c>
      <c r="CU51" s="18">
        <f>CT51*VLOOKUP('Données projet'!$B$13,Paramètres!$A$1:$I$89,3,0)*VLOOKUP('Données projet'!$B$13,Paramètres!$A$1:$I$89,5,0)</f>
        <v>401.86640000000006</v>
      </c>
      <c r="CV51" s="14">
        <f t="shared" si="41"/>
        <v>92.154946602068421</v>
      </c>
      <c r="CW51" s="22">
        <f t="shared" si="13"/>
        <v>860.42051199860259</v>
      </c>
      <c r="CX51" s="62">
        <f t="shared" si="14"/>
        <v>1153.753845331936</v>
      </c>
      <c r="CY51" s="62">
        <f ca="1">AVERAGE(OFFSET($CX$3,0,0,'Données projet'!$E$13+1,1))-AVERAGE(OFFSET($H$3,0,0,'Données projet'!$E$13+1,1))</f>
        <v>572.6451446653349</v>
      </c>
      <c r="CZ51" s="62">
        <f t="shared" si="42"/>
        <v>389.15977992931374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</v>
      </c>
      <c r="DO51" s="13">
        <f>IF('Données projet'!$A$166&gt;35,DO50+DN51-DW50,IF(A51&lt;'Données projet'!$A$166,$DL$205^A51,IF(A51='Données projet'!$A$166,'Données projet'!$B$166,DO50+DN51-DW50)))</f>
        <v>209.00000000000006</v>
      </c>
      <c r="DP51" s="18">
        <f>DO51*VLOOKUP('Données projet'!$B$14,Paramètres!$A$1:$I$89,3,0)*VLOOKUP('Données projet'!$B$14,Paramètres!$A$1:$I$89,5,0)</f>
        <v>176.06160000000008</v>
      </c>
      <c r="DQ51" s="14">
        <f t="shared" si="43"/>
        <v>44.444839741138928</v>
      </c>
      <c r="DR51" s="22">
        <f t="shared" si="16"/>
        <v>384.04871588248375</v>
      </c>
      <c r="DS51" s="62">
        <f t="shared" si="17"/>
        <v>677.38204921581701</v>
      </c>
      <c r="DT51" s="62">
        <f ca="1">AVERAGE(OFFSET($DS$3,0,0,'Données projet'!$E$14+1,1))-AVERAGE(OFFSET($H$3,0,0,'Données projet'!$E$14+1,1))</f>
        <v>383.83934938682984</v>
      </c>
      <c r="DU51" s="62">
        <f t="shared" si="44"/>
        <v>223.93106361972281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317.91052353502909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415.89259563928869</v>
      </c>
      <c r="T52" s="62">
        <f t="shared" si="34"/>
        <v>240.19413322685813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232.99999999999983</v>
      </c>
      <c r="AJ52" s="14">
        <f>AI52*VLOOKUP('Données projet'!$B$10,Paramètres!$A$1:$I$89,3,0)*VLOOKUP('Données projet'!$B$10,Paramètres!$A$1:$I$89,5,0)</f>
        <v>152.66159999999991</v>
      </c>
      <c r="AK52" s="14">
        <f t="shared" si="35"/>
        <v>39.182823220412082</v>
      </c>
      <c r="AL52" s="22">
        <f t="shared" si="4"/>
        <v>334.12903710888418</v>
      </c>
      <c r="AM52" s="62">
        <f t="shared" si="5"/>
        <v>627.46237044221743</v>
      </c>
      <c r="AN52" s="62">
        <f ca="1">AVERAGE(OFFSET($AM$3,0,0,'Données projet'!$E$10+1,1))-AVERAGE(OFFSET($H$3,0,0,'Données projet'!$E$10+1,1))</f>
        <v>214.08705070588002</v>
      </c>
      <c r="AO52" s="62">
        <f t="shared" si="36"/>
        <v>251.33527585147152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17.2</v>
      </c>
      <c r="BD52" s="13">
        <f>IF('Données projet'!$A$88&gt;35,BD51+BC52-BL51,IF(A52&lt;'Données projet'!$A$88,$BA$205^A52,IF(A52='Données projet'!$A$88,'Données projet'!$B$88,BD51+BC52-BL51)))</f>
        <v>320.79999999999995</v>
      </c>
      <c r="BE52" s="14">
        <f>BD52*VLOOKUP('Données projet'!$B$11,Paramètres!$A$1:$I$89,3,0)*VLOOKUP('Données projet'!$B$11,Paramètres!$A$1:$I$89,5,0)</f>
        <v>183.49759999999998</v>
      </c>
      <c r="BF52" s="14">
        <f t="shared" si="37"/>
        <v>46.099464021411357</v>
      </c>
      <c r="BG52" s="22">
        <f t="shared" si="7"/>
        <v>399.88155317062478</v>
      </c>
      <c r="BH52" s="62">
        <f t="shared" si="8"/>
        <v>693.21488650395804</v>
      </c>
      <c r="BI52" s="62">
        <f ca="1">AVERAGE(OFFSET($BH$3,0,0,'Données projet'!$E$11+1,1))-AVERAGE(OFFSET($H$3,0,0,'Données projet'!$E$11+1,1))</f>
        <v>239.41486198585676</v>
      </c>
      <c r="BJ52" s="62">
        <f t="shared" si="38"/>
        <v>224.9174498508774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4.2690907233883637E-3</v>
      </c>
      <c r="BS52" s="24">
        <f t="shared" si="9"/>
        <v>4.2690907233883637E-3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19.399999999999999</v>
      </c>
      <c r="BY52" s="13">
        <f>IF('Données projet'!$A$114&gt;35,BY51+BX52-CG51,IF(A52&lt;'Données projet'!$A$114,$BV$205^A52,IF(A52='Données projet'!$A$114,'Données projet'!$B$114,BY51+BX52-CG51)))</f>
        <v>404.59999999999962</v>
      </c>
      <c r="BZ52" s="14">
        <f>BY52*VLOOKUP('Données projet'!$B$12,Paramètres!$A$1:$I$89,3,0)*VLOOKUP('Données projet'!$B$12,Paramètres!$A$1:$I$89,5,0)</f>
        <v>241.95079999999982</v>
      </c>
      <c r="CA52" s="14">
        <f t="shared" si="39"/>
        <v>58.859056644889229</v>
      </c>
      <c r="CB52" s="22">
        <f t="shared" si="10"/>
        <v>523.91050032318174</v>
      </c>
      <c r="CC52" s="62">
        <f t="shared" si="11"/>
        <v>817.24383365651511</v>
      </c>
      <c r="CD52" s="62">
        <f ca="1">AVERAGE(OFFSET($CC$3,0,0,'Données projet'!$E$12+1,1))-AVERAGE(OFFSET($H$3,0,0,'Données projet'!$E$12+1,1))</f>
        <v>288.65195492450403</v>
      </c>
      <c r="CE52" s="62">
        <f t="shared" si="40"/>
        <v>310.66800441693891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4.2517212077139925E-2</v>
      </c>
      <c r="CN52" s="24">
        <f t="shared" si="12"/>
        <v>4.2517212077139925E-2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>
        <f>VLOOKUP(A52,'Données projet'!$A$139:$I$159,2,0)</f>
        <v>943</v>
      </c>
      <c r="CR52" s="13">
        <f>VLOOKUP(A52,'Données projet'!$A$139:$I$159,9,0)</f>
        <v>33.799999999999997</v>
      </c>
      <c r="CS52" s="13">
        <f t="array" ref="CS52">INDEX(CR:CR,MIN(IF(ISNUMBER(CR52:CR248),ROW(CR52:CR248),"")))</f>
        <v>33.799999999999997</v>
      </c>
      <c r="CT52" s="13">
        <f>IF('Données projet'!$A$140&gt;35,CT51+CS52-DB51,IF(A52&lt;'Données projet'!$A$140,$CQ$205^A52,IF(A52='Données projet'!$A$140,'Données projet'!$B$140,CT51+CS52-DB51)))</f>
        <v>943</v>
      </c>
      <c r="CU52" s="18">
        <f>CT52*VLOOKUP('Données projet'!$B$13,Paramètres!$A$1:$I$89,3,0)*VLOOKUP('Données projet'!$B$13,Paramètres!$A$1:$I$89,5,0)</f>
        <v>416.80600000000004</v>
      </c>
      <c r="CV52" s="14">
        <f t="shared" si="41"/>
        <v>95.175619816033517</v>
      </c>
      <c r="CW52" s="22">
        <f t="shared" si="13"/>
        <v>891.70132117959167</v>
      </c>
      <c r="CX52" s="62">
        <f t="shared" si="14"/>
        <v>1185.034654512925</v>
      </c>
      <c r="CY52" s="62">
        <f ca="1">AVERAGE(OFFSET($CX$3,0,0,'Données projet'!$E$13+1,1))-AVERAGE(OFFSET($H$3,0,0,'Données projet'!$E$13+1,1))</f>
        <v>572.6451446653349</v>
      </c>
      <c r="CZ52" s="62">
        <f t="shared" si="42"/>
        <v>389.15977992931374</v>
      </c>
      <c r="DA52" s="16">
        <f>IF(ISNA(VLOOKUP(A52,'Données projet'!$A$139:$I$159,3,0)),0,VLOOKUP(A52,'Données projet'!$A$139:$I$159,3,0))</f>
        <v>4</v>
      </c>
      <c r="DB52" s="16">
        <f>IF(ISNA(VLOOKUP(A52,'Données projet'!$A$139:$I$159,4,0)),0,VLOOKUP(A52,'Données projet'!$A$139:$I$159,4,0))</f>
        <v>159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</v>
      </c>
      <c r="DO52" s="13">
        <f>IF('Données projet'!$A$166&gt;35,DO51+DN52-DW51,IF(A52&lt;'Données projet'!$A$166,$DL$205^A52,IF(A52='Données projet'!$A$166,'Données projet'!$B$166,DO51+DN52-DW51)))</f>
        <v>220.00000000000006</v>
      </c>
      <c r="DP52" s="18">
        <f>DO52*VLOOKUP('Données projet'!$B$14,Paramètres!$A$1:$I$89,3,0)*VLOOKUP('Données projet'!$B$14,Paramètres!$A$1:$I$89,5,0)</f>
        <v>185.32800000000006</v>
      </c>
      <c r="DQ52" s="14">
        <f t="shared" si="43"/>
        <v>46.505548070897625</v>
      </c>
      <c r="DR52" s="22">
        <f t="shared" si="16"/>
        <v>403.77676289014676</v>
      </c>
      <c r="DS52" s="62">
        <f t="shared" si="17"/>
        <v>697.11009622348001</v>
      </c>
      <c r="DT52" s="62">
        <f ca="1">AVERAGE(OFFSET($DS$3,0,0,'Données projet'!$E$14+1,1))-AVERAGE(OFFSET($H$3,0,0,'Données projet'!$E$14+1,1))</f>
        <v>383.83934938682984</v>
      </c>
      <c r="DU52" s="62">
        <f t="shared" si="44"/>
        <v>223.93106361972281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319.12529197371839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415.89259563928869</v>
      </c>
      <c r="T53" s="62">
        <f t="shared" si="34"/>
        <v>240.19413322685813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240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239.99999999999983</v>
      </c>
      <c r="AJ53" s="14">
        <f>AI53*VLOOKUP('Données projet'!$B$10,Paramètres!$A$1:$I$89,3,0)*VLOOKUP('Données projet'!$B$10,Paramètres!$A$1:$I$89,5,0)</f>
        <v>157.24799999999988</v>
      </c>
      <c r="AK53" s="14">
        <f t="shared" si="35"/>
        <v>40.22116874434861</v>
      </c>
      <c r="AL53" s="22">
        <f t="shared" si="4"/>
        <v>343.92546889640693</v>
      </c>
      <c r="AM53" s="62">
        <f t="shared" si="5"/>
        <v>637.25880222974024</v>
      </c>
      <c r="AN53" s="62">
        <f ca="1">AVERAGE(OFFSET($AM$3,0,0,'Données projet'!$E$10+1,1))-AVERAGE(OFFSET($H$3,0,0,'Données projet'!$E$10+1,1))</f>
        <v>214.08705070588002</v>
      </c>
      <c r="AO53" s="62">
        <f t="shared" si="36"/>
        <v>251.33527585147152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39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338</v>
      </c>
      <c r="BB53" s="13">
        <f>VLOOKUP(A53,'Données projet'!$A$87:$I$107,9,0)</f>
        <v>17.2</v>
      </c>
      <c r="BC53" s="13">
        <f t="array" ref="BC53">INDEX(BB:BB,MIN(IF(ISNUMBER(BB53:BB249),ROW(BB53:BB249),"")))</f>
        <v>17.2</v>
      </c>
      <c r="BD53" s="13">
        <f>IF('Données projet'!$A$88&gt;35,BD52+BC53-BL52,IF(A53&lt;'Données projet'!$A$88,$BA$205^A53,IF(A53='Données projet'!$A$88,'Données projet'!$B$88,BD52+BC53-BL52)))</f>
        <v>337.99999999999994</v>
      </c>
      <c r="BE53" s="14">
        <f>BD53*VLOOKUP('Données projet'!$B$11,Paramètres!$A$1:$I$89,3,0)*VLOOKUP('Données projet'!$B$11,Paramètres!$A$1:$I$89,5,0)</f>
        <v>193.33599999999996</v>
      </c>
      <c r="BF53" s="14">
        <f t="shared" si="37"/>
        <v>48.276746293238695</v>
      </c>
      <c r="BG53" s="22">
        <f t="shared" si="7"/>
        <v>420.80886646072395</v>
      </c>
      <c r="BH53" s="62">
        <f t="shared" si="8"/>
        <v>714.14219979405721</v>
      </c>
      <c r="BI53" s="62">
        <f ca="1">AVERAGE(OFFSET($BH$3,0,0,'Données projet'!$E$11+1,1))-AVERAGE(OFFSET($H$3,0,0,'Données projet'!$E$11+1,1))</f>
        <v>239.41486198585676</v>
      </c>
      <c r="BJ53" s="62">
        <f t="shared" si="38"/>
        <v>224.9174498508774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3.0187030000084956E-3</v>
      </c>
      <c r="BS53" s="24">
        <f t="shared" si="9"/>
        <v>3.0187030000084956E-3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424</v>
      </c>
      <c r="BW53" s="13">
        <f>VLOOKUP(A53,'Données projet'!$A$113:$I$133,9,0)</f>
        <v>19.399999999999999</v>
      </c>
      <c r="BX53" s="13">
        <f t="array" ref="BX53">INDEX(BW:BW,MIN(IF(ISNUMBER(BW53:BW249),ROW(BW53:BW249),"")))</f>
        <v>19.399999999999999</v>
      </c>
      <c r="BY53" s="13">
        <f>IF('Données projet'!$A$114&gt;35,BY52+BX53-CG52,IF(A53&lt;'Données projet'!$A$114,$BV$205^A53,IF(A53='Données projet'!$A$114,'Données projet'!$B$114,BY52+BX53-CG52)))</f>
        <v>423.9999999999996</v>
      </c>
      <c r="BZ53" s="14">
        <f>BY53*VLOOKUP('Données projet'!$B$12,Paramètres!$A$1:$I$89,3,0)*VLOOKUP('Données projet'!$B$12,Paramètres!$A$1:$I$89,5,0)</f>
        <v>253.55199999999977</v>
      </c>
      <c r="CA53" s="14">
        <f t="shared" si="39"/>
        <v>61.34592254261343</v>
      </c>
      <c r="CB53" s="22">
        <f t="shared" si="10"/>
        <v>548.44721509505121</v>
      </c>
      <c r="CC53" s="62">
        <f t="shared" si="11"/>
        <v>841.78054842838446</v>
      </c>
      <c r="CD53" s="62">
        <f ca="1">AVERAGE(OFFSET($CC$3,0,0,'Données projet'!$E$12+1,1))-AVERAGE(OFFSET($H$3,0,0,'Données projet'!$E$12+1,1))</f>
        <v>288.65195492450403</v>
      </c>
      <c r="CE53" s="62">
        <f t="shared" si="40"/>
        <v>310.66800441693891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104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3.0064208976892218E-2</v>
      </c>
      <c r="CN53" s="24">
        <f t="shared" si="12"/>
        <v>3.0064208976892218E-2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29.8</v>
      </c>
      <c r="CT53" s="13">
        <f>IF('Données projet'!$A$140&gt;35,CT52+CS53-DB52,IF(A53&lt;'Données projet'!$A$140,$CQ$205^A53,IF(A53='Données projet'!$A$140,'Données projet'!$B$140,CT52+CS53-DB52)))</f>
        <v>813.8</v>
      </c>
      <c r="CU53" s="18">
        <f>CT53*VLOOKUP('Données projet'!$B$13,Paramètres!$A$1:$I$89,3,0)*VLOOKUP('Données projet'!$B$13,Paramètres!$A$1:$I$89,5,0)</f>
        <v>359.69960000000003</v>
      </c>
      <c r="CV53" s="14">
        <f t="shared" si="41"/>
        <v>83.556570984747097</v>
      </c>
      <c r="CW53" s="22">
        <f t="shared" si="13"/>
        <v>772.00449779843473</v>
      </c>
      <c r="CX53" s="62">
        <f t="shared" si="14"/>
        <v>1065.3378311317681</v>
      </c>
      <c r="CY53" s="62">
        <f ca="1">AVERAGE(OFFSET($CX$3,0,0,'Données projet'!$E$13+1,1))-AVERAGE(OFFSET($H$3,0,0,'Données projet'!$E$13+1,1))</f>
        <v>572.6451446653349</v>
      </c>
      <c r="CZ53" s="62">
        <f t="shared" si="42"/>
        <v>389.15977992931374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231</v>
      </c>
      <c r="DM53" s="13">
        <f>VLOOKUP(A53,'Données projet'!$A$165:$I$185,9,0)</f>
        <v>11</v>
      </c>
      <c r="DN53" s="13">
        <f t="array" ref="DN53">INDEX(DM:DM,MIN(IF(ISNUMBER(DM53:DM249),ROW(DM53:DM249),"")))</f>
        <v>11</v>
      </c>
      <c r="DO53" s="13">
        <f>IF('Données projet'!$A$166&gt;35,DO52+DN53-DW52,IF(A53&lt;'Données projet'!$A$166,$DL$205^A53,IF(A53='Données projet'!$A$166,'Données projet'!$B$166,DO52+DN53-DW52)))</f>
        <v>231.00000000000006</v>
      </c>
      <c r="DP53" s="18">
        <f>DO53*VLOOKUP('Données projet'!$B$14,Paramètres!$A$1:$I$89,3,0)*VLOOKUP('Données projet'!$B$14,Paramètres!$A$1:$I$89,5,0)</f>
        <v>194.59440000000006</v>
      </c>
      <c r="DQ53" s="14">
        <f t="shared" si="43"/>
        <v>48.554292648263456</v>
      </c>
      <c r="DR53" s="22">
        <f t="shared" si="16"/>
        <v>423.48397302905897</v>
      </c>
      <c r="DS53" s="62">
        <f t="shared" si="17"/>
        <v>716.81730636239229</v>
      </c>
      <c r="DT53" s="62">
        <f ca="1">AVERAGE(OFFSET($DS$3,0,0,'Données projet'!$E$14+1,1))-AVERAGE(OFFSET($H$3,0,0,'Données projet'!$E$14+1,1))</f>
        <v>383.83934938682984</v>
      </c>
      <c r="DU53" s="62">
        <f t="shared" si="44"/>
        <v>223.93106361972281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320.33944691418702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2">
        <f t="shared" si="0"/>
        <v>767.01346305295999</v>
      </c>
      <c r="S54" s="62">
        <f ca="1">AVERAGE(OFFSET($R$3,0,0,'Données projet'!$E$9+1,1))-AVERAGE(OFFSET($H$3,0,0,'Données projet'!$E$9+1,1))</f>
        <v>415.89259563928869</v>
      </c>
      <c r="T54" s="62">
        <f t="shared" si="34"/>
        <v>240.19413322685813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6.4</v>
      </c>
      <c r="AI54" s="14">
        <f>IF('Données projet'!$A$62&gt;35,AI53+AH54-AQ53,IF(A54&lt;'Données projet'!$A$62,$AF$205^A54,IF(A54='Données projet'!$A$62,'Données projet'!$B$62,AI53+AH54-AQ53)))</f>
        <v>207.39999999999984</v>
      </c>
      <c r="AJ54" s="14">
        <f>AI54*VLOOKUP('Données projet'!$B$10,Paramètres!$A$1:$I$89,3,0)*VLOOKUP('Données projet'!$B$10,Paramètres!$A$1:$I$89,5,0)</f>
        <v>135.8884799999999</v>
      </c>
      <c r="AK54" s="14">
        <f t="shared" si="35"/>
        <v>35.353486228582113</v>
      </c>
      <c r="AL54" s="22">
        <f t="shared" si="4"/>
        <v>298.24642451478036</v>
      </c>
      <c r="AM54" s="62">
        <f t="shared" si="5"/>
        <v>591.57975784811367</v>
      </c>
      <c r="AN54" s="62">
        <f ca="1">AVERAGE(OFFSET($AM$3,0,0,'Données projet'!$E$10+1,1))-AVERAGE(OFFSET($H$3,0,0,'Données projet'!$E$10+1,1))</f>
        <v>214.08705070588002</v>
      </c>
      <c r="AO54" s="62">
        <f t="shared" si="36"/>
        <v>251.33527585147152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16.600000000000001</v>
      </c>
      <c r="BD54" s="13">
        <f>IF('Données projet'!$A$88&gt;35,BD53+BC54-BL53,IF(A54&lt;'Données projet'!$A$88,$BA$205^A54,IF(A54='Données projet'!$A$88,'Données projet'!$B$88,BD53+BC54-BL53)))</f>
        <v>354.59999999999997</v>
      </c>
      <c r="BE54" s="14">
        <f>BD54*VLOOKUP('Données projet'!$B$11,Paramètres!$A$1:$I$89,3,0)*VLOOKUP('Données projet'!$B$11,Paramètres!$A$1:$I$89,5,0)</f>
        <v>202.83119999999997</v>
      </c>
      <c r="BF54" s="14">
        <f t="shared" si="37"/>
        <v>50.365869846333389</v>
      </c>
      <c r="BG54" s="22">
        <f t="shared" si="7"/>
        <v>440.98489664903059</v>
      </c>
      <c r="BH54" s="62">
        <f t="shared" si="8"/>
        <v>734.31822998236385</v>
      </c>
      <c r="BI54" s="62">
        <f ca="1">AVERAGE(OFFSET($BH$3,0,0,'Données projet'!$E$11+1,1))-AVERAGE(OFFSET($H$3,0,0,'Données projet'!$E$11+1,1))</f>
        <v>239.41486198585676</v>
      </c>
      <c r="BJ54" s="62">
        <f t="shared" si="38"/>
        <v>224.9174498508774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2.1345453616941818E-3</v>
      </c>
      <c r="BS54" s="24">
        <f t="shared" si="9"/>
        <v>2.1345453616941818E-3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19</v>
      </c>
      <c r="BY54" s="13">
        <f>IF('Données projet'!$A$114&gt;35,BY53+BX54-CG53,IF(A54&lt;'Données projet'!$A$114,$BV$205^A54,IF(A54='Données projet'!$A$114,'Données projet'!$B$114,BY53+BX54-CG53)))</f>
        <v>338.9999999999996</v>
      </c>
      <c r="BZ54" s="14">
        <f>BY54*VLOOKUP('Données projet'!$B$12,Paramètres!$A$1:$I$89,3,0)*VLOOKUP('Données projet'!$B$12,Paramètres!$A$1:$I$89,5,0)</f>
        <v>202.72199999999978</v>
      </c>
      <c r="CA54" s="14">
        <f t="shared" si="39"/>
        <v>50.341909475522797</v>
      </c>
      <c r="CB54" s="22">
        <f t="shared" si="10"/>
        <v>440.75297566986842</v>
      </c>
      <c r="CC54" s="62">
        <f t="shared" si="11"/>
        <v>734.08630900320168</v>
      </c>
      <c r="CD54" s="62">
        <f ca="1">AVERAGE(OFFSET($CC$3,0,0,'Données projet'!$E$12+1,1))-AVERAGE(OFFSET($H$3,0,0,'Données projet'!$E$12+1,1))</f>
        <v>288.65195492450403</v>
      </c>
      <c r="CE54" s="62">
        <f t="shared" si="40"/>
        <v>310.66800441693891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2.1258606038569966E-2</v>
      </c>
      <c r="CN54" s="24">
        <f t="shared" si="12"/>
        <v>2.1258606038569966E-2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29.8</v>
      </c>
      <c r="CT54" s="13">
        <f>IF('Données projet'!$A$140&gt;35,CT53+CS54-DB53,IF(A54&lt;'Données projet'!$A$140,$CQ$205^A54,IF(A54='Données projet'!$A$140,'Données projet'!$B$140,CT53+CS54-DB53)))</f>
        <v>843.59999999999991</v>
      </c>
      <c r="CU54" s="18">
        <f>CT54*VLOOKUP('Données projet'!$B$13,Paramètres!$A$1:$I$89,3,0)*VLOOKUP('Données projet'!$B$13,Paramètres!$A$1:$I$89,5,0)</f>
        <v>372.87120000000004</v>
      </c>
      <c r="CV54" s="14">
        <f t="shared" si="41"/>
        <v>86.254439278473114</v>
      </c>
      <c r="CW54" s="22">
        <f t="shared" si="13"/>
        <v>799.64382174334071</v>
      </c>
      <c r="CX54" s="62">
        <f t="shared" si="14"/>
        <v>1092.9771550766741</v>
      </c>
      <c r="CY54" s="62">
        <f ca="1">AVERAGE(OFFSET($CX$3,0,0,'Données projet'!$E$13+1,1))-AVERAGE(OFFSET($H$3,0,0,'Données projet'!$E$13+1,1))</f>
        <v>572.6451446653349</v>
      </c>
      <c r="CZ54" s="62">
        <f t="shared" si="42"/>
        <v>389.15977992931374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10.199999999999999</v>
      </c>
      <c r="DO54" s="13">
        <f>IF('Données projet'!$A$166&gt;35,DO53+DN54-DW53,IF(A54&lt;'Données projet'!$A$166,$DL$205^A54,IF(A54='Données projet'!$A$166,'Données projet'!$B$166,DO53+DN54-DW53)))</f>
        <v>241.20000000000005</v>
      </c>
      <c r="DP54" s="18">
        <f>DO54*VLOOKUP('Données projet'!$B$14,Paramètres!$A$1:$I$89,3,0)*VLOOKUP('Données projet'!$B$14,Paramètres!$A$1:$I$89,5,0)</f>
        <v>203.18688000000009</v>
      </c>
      <c r="DQ54" s="14">
        <f t="shared" si="43"/>
        <v>50.443901791793827</v>
      </c>
      <c r="DR54" s="22">
        <f t="shared" si="16"/>
        <v>441.74027828737439</v>
      </c>
      <c r="DS54" s="62">
        <f t="shared" si="17"/>
        <v>735.07361162070765</v>
      </c>
      <c r="DT54" s="62">
        <f ca="1">AVERAGE(OFFSET($DS$3,0,0,'Données projet'!$E$14+1,1))-AVERAGE(OFFSET($H$3,0,0,'Données projet'!$E$14+1,1))</f>
        <v>383.83934938682984</v>
      </c>
      <c r="DU54" s="62">
        <f t="shared" si="44"/>
        <v>223.93106361972281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321.55300177245209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2">
        <f t="shared" si="0"/>
        <v>786.57558808183126</v>
      </c>
      <c r="S55" s="62">
        <f ca="1">AVERAGE(OFFSET($R$3,0,0,'Données projet'!$E$9+1,1))-AVERAGE(OFFSET($H$3,0,0,'Données projet'!$E$9+1,1))</f>
        <v>415.89259563928869</v>
      </c>
      <c r="T55" s="62">
        <f t="shared" si="34"/>
        <v>240.19413322685813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6.4</v>
      </c>
      <c r="AI55" s="14">
        <f>IF('Données projet'!$A$62&gt;35,AI54+AH55-AQ54,IF(A55&lt;'Données projet'!$A$62,$AF$205^A55,IF(A55='Données projet'!$A$62,'Données projet'!$B$62,AI54+AH55-AQ54)))</f>
        <v>213.79999999999984</v>
      </c>
      <c r="AJ55" s="14">
        <f>AI55*VLOOKUP('Données projet'!$B$10,Paramètres!$A$1:$I$89,3,0)*VLOOKUP('Données projet'!$B$10,Paramètres!$A$1:$I$89,5,0)</f>
        <v>140.08175999999992</v>
      </c>
      <c r="AK55" s="14">
        <f t="shared" si="35"/>
        <v>36.315734926422095</v>
      </c>
      <c r="AL55" s="22">
        <f t="shared" si="4"/>
        <v>307.22563699685162</v>
      </c>
      <c r="AM55" s="62">
        <f t="shared" si="5"/>
        <v>600.55897033018493</v>
      </c>
      <c r="AN55" s="62">
        <f ca="1">AVERAGE(OFFSET($AM$3,0,0,'Données projet'!$E$10+1,1))-AVERAGE(OFFSET($H$3,0,0,'Données projet'!$E$10+1,1))</f>
        <v>214.08705070588002</v>
      </c>
      <c r="AO55" s="62">
        <f t="shared" si="36"/>
        <v>251.33527585147152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16.600000000000001</v>
      </c>
      <c r="BD55" s="13">
        <f>IF('Données projet'!$A$88&gt;35,BD54+BC55-BL54,IF(A55&lt;'Données projet'!$A$88,$BA$205^A55,IF(A55='Données projet'!$A$88,'Données projet'!$B$88,BD54+BC55-BL54)))</f>
        <v>371.2</v>
      </c>
      <c r="BE55" s="14">
        <f>BD55*VLOOKUP('Données projet'!$B$11,Paramètres!$A$1:$I$89,3,0)*VLOOKUP('Données projet'!$B$11,Paramètres!$A$1:$I$89,5,0)</f>
        <v>212.32640000000001</v>
      </c>
      <c r="BF55" s="14">
        <f t="shared" si="37"/>
        <v>52.443636199504745</v>
      </c>
      <c r="BG55" s="22">
        <f t="shared" si="7"/>
        <v>461.14114638080417</v>
      </c>
      <c r="BH55" s="62">
        <f t="shared" si="8"/>
        <v>754.47447971413749</v>
      </c>
      <c r="BI55" s="62">
        <f ca="1">AVERAGE(OFFSET($BH$3,0,0,'Données projet'!$E$11+1,1))-AVERAGE(OFFSET($H$3,0,0,'Données projet'!$E$11+1,1))</f>
        <v>239.41486198585676</v>
      </c>
      <c r="BJ55" s="62">
        <f t="shared" si="38"/>
        <v>224.9174498508774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1.5093515000042478E-3</v>
      </c>
      <c r="BS55" s="24">
        <f t="shared" si="9"/>
        <v>1.5093515000042478E-3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19</v>
      </c>
      <c r="BY55" s="13">
        <f>IF('Données projet'!$A$114&gt;35,BY54+BX55-CG54,IF(A55&lt;'Données projet'!$A$114,$BV$205^A55,IF(A55='Données projet'!$A$114,'Données projet'!$B$114,BY54+BX55-CG54)))</f>
        <v>357.9999999999996</v>
      </c>
      <c r="BZ55" s="14">
        <f>BY55*VLOOKUP('Données projet'!$B$12,Paramètres!$A$1:$I$89,3,0)*VLOOKUP('Données projet'!$B$12,Paramètres!$A$1:$I$89,5,0)</f>
        <v>214.0839999999998</v>
      </c>
      <c r="CA55" s="14">
        <f t="shared" si="39"/>
        <v>52.827039557879765</v>
      </c>
      <c r="CB55" s="22">
        <f t="shared" si="10"/>
        <v>464.87006056330688</v>
      </c>
      <c r="CC55" s="62">
        <f t="shared" si="11"/>
        <v>758.20339389664014</v>
      </c>
      <c r="CD55" s="62">
        <f ca="1">AVERAGE(OFFSET($CC$3,0,0,'Données projet'!$E$12+1,1))-AVERAGE(OFFSET($H$3,0,0,'Données projet'!$E$12+1,1))</f>
        <v>288.65195492450403</v>
      </c>
      <c r="CE55" s="62">
        <f t="shared" si="40"/>
        <v>310.66800441693891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1.5032104488446113E-2</v>
      </c>
      <c r="CN55" s="24">
        <f t="shared" si="12"/>
        <v>1.5032104488446113E-2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29.8</v>
      </c>
      <c r="CT55" s="13">
        <f>IF('Données projet'!$A$140&gt;35,CT54+CS55-DB54,IF(A55&lt;'Données projet'!$A$140,$CQ$205^A55,IF(A55='Données projet'!$A$140,'Données projet'!$B$140,CT54+CS55-DB54)))</f>
        <v>873.39999999999986</v>
      </c>
      <c r="CU55" s="18">
        <f>CT55*VLOOKUP('Données projet'!$B$13,Paramètres!$A$1:$I$89,3,0)*VLOOKUP('Données projet'!$B$13,Paramètres!$A$1:$I$89,5,0)</f>
        <v>386.04279999999994</v>
      </c>
      <c r="CV55" s="14">
        <f t="shared" si="41"/>
        <v>88.941234802237275</v>
      </c>
      <c r="CW55" s="22">
        <f t="shared" si="13"/>
        <v>827.26386061389655</v>
      </c>
      <c r="CX55" s="62">
        <f t="shared" si="14"/>
        <v>1120.5971939472299</v>
      </c>
      <c r="CY55" s="62">
        <f ca="1">AVERAGE(OFFSET($CX$3,0,0,'Données projet'!$E$13+1,1))-AVERAGE(OFFSET($H$3,0,0,'Données projet'!$E$13+1,1))</f>
        <v>572.6451446653349</v>
      </c>
      <c r="CZ55" s="62">
        <f t="shared" si="42"/>
        <v>389.15977992931374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10.199999999999999</v>
      </c>
      <c r="DO55" s="13">
        <f>IF('Données projet'!$A$166&gt;35,DO54+DN55-DW54,IF(A55&lt;'Données projet'!$A$166,$DL$205^A55,IF(A55='Données projet'!$A$166,'Données projet'!$B$166,DO54+DN55-DW54)))</f>
        <v>251.40000000000003</v>
      </c>
      <c r="DP55" s="18">
        <f>DO55*VLOOKUP('Données projet'!$B$14,Paramètres!$A$1:$I$89,3,0)*VLOOKUP('Données projet'!$B$14,Paramètres!$A$1:$I$89,5,0)</f>
        <v>211.77936000000005</v>
      </c>
      <c r="DQ55" s="14">
        <f t="shared" si="43"/>
        <v>52.324229479404138</v>
      </c>
      <c r="DR55" s="22">
        <f t="shared" si="16"/>
        <v>459.98041834329564</v>
      </c>
      <c r="DS55" s="62">
        <f t="shared" si="17"/>
        <v>753.31375167662895</v>
      </c>
      <c r="DT55" s="62">
        <f ca="1">AVERAGE(OFFSET($DS$3,0,0,'Données projet'!$E$14+1,1))-AVERAGE(OFFSET($H$3,0,0,'Données projet'!$E$14+1,1))</f>
        <v>383.83934938682984</v>
      </c>
      <c r="DU55" s="62">
        <f t="shared" si="44"/>
        <v>223.93106361972281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322.76596941900885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2">
        <f t="shared" si="0"/>
        <v>806.12127283656628</v>
      </c>
      <c r="S56" s="62">
        <f ca="1">AVERAGE(OFFSET($R$3,0,0,'Données projet'!$E$9+1,1))-AVERAGE(OFFSET($H$3,0,0,'Données projet'!$E$9+1,1))</f>
        <v>415.89259563928869</v>
      </c>
      <c r="T56" s="62">
        <f t="shared" si="34"/>
        <v>240.19413322685813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6.4</v>
      </c>
      <c r="AI56" s="14">
        <f>IF('Données projet'!$A$62&gt;35,AI55+AH56-AQ55,IF(A56&lt;'Données projet'!$A$62,$AF$205^A56,IF(A56='Données projet'!$A$62,'Données projet'!$B$62,AI55+AH56-AQ55)))</f>
        <v>220.19999999999985</v>
      </c>
      <c r="AJ56" s="14">
        <f>AI56*VLOOKUP('Données projet'!$B$10,Paramètres!$A$1:$I$89,3,0)*VLOOKUP('Données projet'!$B$10,Paramètres!$A$1:$I$89,5,0)</f>
        <v>144.2750399999999</v>
      </c>
      <c r="AK56" s="14">
        <f t="shared" si="35"/>
        <v>37.274636092411384</v>
      </c>
      <c r="AL56" s="22">
        <f t="shared" si="4"/>
        <v>316.19901919428293</v>
      </c>
      <c r="AM56" s="62">
        <f t="shared" si="5"/>
        <v>609.53235252761624</v>
      </c>
      <c r="AN56" s="62">
        <f ca="1">AVERAGE(OFFSET($AM$3,0,0,'Données projet'!$E$10+1,1))-AVERAGE(OFFSET($H$3,0,0,'Données projet'!$E$10+1,1))</f>
        <v>214.08705070588002</v>
      </c>
      <c r="AO56" s="62">
        <f t="shared" si="36"/>
        <v>251.33527585147152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16.600000000000001</v>
      </c>
      <c r="BD56" s="13">
        <f>IF('Données projet'!$A$88&gt;35,BD55+BC56-BL55,IF(A56&lt;'Données projet'!$A$88,$BA$205^A56,IF(A56='Données projet'!$A$88,'Données projet'!$B$88,BD55+BC56-BL55)))</f>
        <v>387.8</v>
      </c>
      <c r="BE56" s="14">
        <f>BD56*VLOOKUP('Données projet'!$B$11,Paramètres!$A$1:$I$89,3,0)*VLOOKUP('Données projet'!$B$11,Paramètres!$A$1:$I$89,5,0)</f>
        <v>221.82160000000002</v>
      </c>
      <c r="BF56" s="14">
        <f t="shared" si="37"/>
        <v>54.510611275515949</v>
      </c>
      <c r="BG56" s="22">
        <f t="shared" si="7"/>
        <v>481.27860130485692</v>
      </c>
      <c r="BH56" s="62">
        <f t="shared" si="8"/>
        <v>774.61193463819018</v>
      </c>
      <c r="BI56" s="62">
        <f ca="1">AVERAGE(OFFSET($BH$3,0,0,'Données projet'!$E$11+1,1))-AVERAGE(OFFSET($H$3,0,0,'Données projet'!$E$11+1,1))</f>
        <v>239.41486198585676</v>
      </c>
      <c r="BJ56" s="62">
        <f t="shared" si="38"/>
        <v>224.9174498508774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1.0672726808470909E-3</v>
      </c>
      <c r="BS56" s="24">
        <f t="shared" si="9"/>
        <v>1.0672726808470909E-3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19</v>
      </c>
      <c r="BY56" s="13">
        <f>IF('Données projet'!$A$114&gt;35,BY55+BX56-CG55,IF(A56&lt;'Données projet'!$A$114,$BV$205^A56,IF(A56='Données projet'!$A$114,'Données projet'!$B$114,BY55+BX56-CG55)))</f>
        <v>376.9999999999996</v>
      </c>
      <c r="BZ56" s="14">
        <f>BY56*VLOOKUP('Données projet'!$B$12,Paramètres!$A$1:$I$89,3,0)*VLOOKUP('Données projet'!$B$12,Paramètres!$A$1:$I$89,5,0)</f>
        <v>225.44599999999977</v>
      </c>
      <c r="CA56" s="14">
        <f t="shared" si="39"/>
        <v>55.296857101810794</v>
      </c>
      <c r="CB56" s="22">
        <f t="shared" si="10"/>
        <v>488.96047611898666</v>
      </c>
      <c r="CC56" s="62">
        <f t="shared" si="11"/>
        <v>782.29380945231992</v>
      </c>
      <c r="CD56" s="62">
        <f ca="1">AVERAGE(OFFSET($CC$3,0,0,'Données projet'!$E$12+1,1))-AVERAGE(OFFSET($H$3,0,0,'Données projet'!$E$12+1,1))</f>
        <v>288.65195492450403</v>
      </c>
      <c r="CE56" s="62">
        <f t="shared" si="40"/>
        <v>310.66800441693891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1.0629303019284985E-2</v>
      </c>
      <c r="CN56" s="24">
        <f t="shared" si="12"/>
        <v>1.0629303019284985E-2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29.8</v>
      </c>
      <c r="CT56" s="13">
        <f>IF('Données projet'!$A$140&gt;35,CT55+CS56-DB55,IF(A56&lt;'Données projet'!$A$140,$CQ$205^A56,IF(A56='Données projet'!$A$140,'Données projet'!$B$140,CT55+CS56-DB55)))</f>
        <v>903.19999999999982</v>
      </c>
      <c r="CU56" s="18">
        <f>CT56*VLOOKUP('Données projet'!$B$13,Paramètres!$A$1:$I$89,3,0)*VLOOKUP('Données projet'!$B$13,Paramètres!$A$1:$I$89,5,0)</f>
        <v>399.21439999999996</v>
      </c>
      <c r="CV56" s="14">
        <f t="shared" si="41"/>
        <v>91.617378659021043</v>
      </c>
      <c r="CW56" s="22">
        <f t="shared" si="13"/>
        <v>854.86534783112813</v>
      </c>
      <c r="CX56" s="62">
        <f t="shared" si="14"/>
        <v>1148.1986811644615</v>
      </c>
      <c r="CY56" s="62">
        <f ca="1">AVERAGE(OFFSET($CX$3,0,0,'Données projet'!$E$13+1,1))-AVERAGE(OFFSET($H$3,0,0,'Données projet'!$E$13+1,1))</f>
        <v>572.6451446653349</v>
      </c>
      <c r="CZ56" s="62">
        <f t="shared" si="42"/>
        <v>389.15977992931374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10.199999999999999</v>
      </c>
      <c r="DO56" s="13">
        <f>IF('Données projet'!$A$166&gt;35,DO55+DN56-DW55,IF(A56&lt;'Données projet'!$A$166,$DL$205^A56,IF(A56='Données projet'!$A$166,'Données projet'!$B$166,DO55+DN56-DW55)))</f>
        <v>261.60000000000002</v>
      </c>
      <c r="DP56" s="18">
        <f>DO56*VLOOKUP('Données projet'!$B$14,Paramètres!$A$1:$I$89,3,0)*VLOOKUP('Données projet'!$B$14,Paramètres!$A$1:$I$89,5,0)</f>
        <v>220.37184000000002</v>
      </c>
      <c r="DQ56" s="14">
        <f t="shared" si="43"/>
        <v>54.195695362491193</v>
      </c>
      <c r="DR56" s="22">
        <f t="shared" si="16"/>
        <v>478.20512408967215</v>
      </c>
      <c r="DS56" s="62">
        <f t="shared" si="17"/>
        <v>771.53845742300541</v>
      </c>
      <c r="DT56" s="62">
        <f ca="1">AVERAGE(OFFSET($DS$3,0,0,'Données projet'!$E$14+1,1))-AVERAGE(OFFSET($H$3,0,0,'Données projet'!$E$14+1,1))</f>
        <v>383.83934938682984</v>
      </c>
      <c r="DU56" s="62">
        <f t="shared" si="44"/>
        <v>223.93106361972281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323.97836221087948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2">
        <f t="shared" si="0"/>
        <v>825.65123169891604</v>
      </c>
      <c r="S57" s="62">
        <f ca="1">AVERAGE(OFFSET($R$3,0,0,'Données projet'!$E$9+1,1))-AVERAGE(OFFSET($H$3,0,0,'Données projet'!$E$9+1,1))</f>
        <v>415.89259563928869</v>
      </c>
      <c r="T57" s="62">
        <f t="shared" si="34"/>
        <v>240.19413322685813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6.4</v>
      </c>
      <c r="AI57" s="14">
        <f>IF('Données projet'!$A$62&gt;35,AI56+AH57-AQ56,IF(A57&lt;'Données projet'!$A$62,$AF$205^A57,IF(A57='Données projet'!$A$62,'Données projet'!$B$62,AI56+AH57-AQ56)))</f>
        <v>226.59999999999985</v>
      </c>
      <c r="AJ57" s="14">
        <f>AI57*VLOOKUP('Données projet'!$B$10,Paramètres!$A$1:$I$89,3,0)*VLOOKUP('Données projet'!$B$10,Paramètres!$A$1:$I$89,5,0)</f>
        <v>148.46831999999992</v>
      </c>
      <c r="AK57" s="14">
        <f t="shared" si="35"/>
        <v>38.230298193326924</v>
      </c>
      <c r="AL57" s="22">
        <f t="shared" si="4"/>
        <v>325.16676002004425</v>
      </c>
      <c r="AM57" s="62">
        <f t="shared" si="5"/>
        <v>618.50009335337757</v>
      </c>
      <c r="AN57" s="62">
        <f ca="1">AVERAGE(OFFSET($AM$3,0,0,'Données projet'!$E$10+1,1))-AVERAGE(OFFSET($H$3,0,0,'Données projet'!$E$10+1,1))</f>
        <v>214.08705070588002</v>
      </c>
      <c r="AO57" s="62">
        <f t="shared" si="36"/>
        <v>251.33527585147152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16.600000000000001</v>
      </c>
      <c r="BD57" s="13">
        <f>IF('Données projet'!$A$88&gt;35,BD56+BC57-BL56,IF(A57&lt;'Données projet'!$A$88,$BA$205^A57,IF(A57='Données projet'!$A$88,'Données projet'!$B$88,BD56+BC57-BL56)))</f>
        <v>404.40000000000003</v>
      </c>
      <c r="BE57" s="14">
        <f>BD57*VLOOKUP('Données projet'!$B$11,Paramètres!$A$1:$I$89,3,0)*VLOOKUP('Données projet'!$B$11,Paramètres!$A$1:$I$89,5,0)</f>
        <v>231.31680000000003</v>
      </c>
      <c r="BF57" s="14">
        <f t="shared" si="37"/>
        <v>56.567309807584252</v>
      </c>
      <c r="BG57" s="22">
        <f t="shared" si="7"/>
        <v>501.39815791487598</v>
      </c>
      <c r="BH57" s="62">
        <f t="shared" si="8"/>
        <v>794.7314912482093</v>
      </c>
      <c r="BI57" s="62">
        <f ca="1">AVERAGE(OFFSET($BH$3,0,0,'Données projet'!$E$11+1,1))-AVERAGE(OFFSET($H$3,0,0,'Données projet'!$E$11+1,1))</f>
        <v>239.41486198585676</v>
      </c>
      <c r="BJ57" s="62">
        <f t="shared" si="38"/>
        <v>224.9174498508774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7.5467575000212389E-4</v>
      </c>
      <c r="BS57" s="24">
        <f t="shared" si="9"/>
        <v>7.5467575000212389E-4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19</v>
      </c>
      <c r="BY57" s="13">
        <f>IF('Données projet'!$A$114&gt;35,BY56+BX57-CG56,IF(A57&lt;'Données projet'!$A$114,$BV$205^A57,IF(A57='Données projet'!$A$114,'Données projet'!$B$114,BY56+BX57-CG56)))</f>
        <v>395.9999999999996</v>
      </c>
      <c r="BZ57" s="14">
        <f>BY57*VLOOKUP('Données projet'!$B$12,Paramètres!$A$1:$I$89,3,0)*VLOOKUP('Données projet'!$B$12,Paramètres!$A$1:$I$89,5,0)</f>
        <v>236.80799999999979</v>
      </c>
      <c r="CA57" s="14">
        <f t="shared" si="39"/>
        <v>57.752221878398714</v>
      </c>
      <c r="CB57" s="22">
        <f t="shared" si="10"/>
        <v>513.02571977154412</v>
      </c>
      <c r="CC57" s="62">
        <f t="shared" si="11"/>
        <v>806.35905310487738</v>
      </c>
      <c r="CD57" s="62">
        <f ca="1">AVERAGE(OFFSET($CC$3,0,0,'Données projet'!$E$12+1,1))-AVERAGE(OFFSET($H$3,0,0,'Données projet'!$E$12+1,1))</f>
        <v>288.65195492450403</v>
      </c>
      <c r="CE57" s="62">
        <f t="shared" si="40"/>
        <v>310.66800441693891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7.5160522442230572E-3</v>
      </c>
      <c r="CN57" s="24">
        <f t="shared" si="12"/>
        <v>7.5160522442230572E-3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>
        <f>VLOOKUP(A57,'Données projet'!$A$139:$I$159,2,0)</f>
        <v>933</v>
      </c>
      <c r="CR57" s="13">
        <f>VLOOKUP(A57,'Données projet'!$A$139:$I$159,9,0)</f>
        <v>29.8</v>
      </c>
      <c r="CS57" s="13">
        <f t="array" ref="CS57">INDEX(CR:CR,MIN(IF(ISNUMBER(CR57:CR253),ROW(CR57:CR253),"")))</f>
        <v>29.8</v>
      </c>
      <c r="CT57" s="13">
        <f>IF('Données projet'!$A$140&gt;35,CT56+CS57-DB56,IF(A57&lt;'Données projet'!$A$140,$CQ$205^A57,IF(A57='Données projet'!$A$140,'Données projet'!$B$140,CT56+CS57-DB56)))</f>
        <v>932.99999999999977</v>
      </c>
      <c r="CU57" s="18">
        <f>CT57*VLOOKUP('Données projet'!$B$13,Paramètres!$A$1:$I$89,3,0)*VLOOKUP('Données projet'!$B$13,Paramètres!$A$1:$I$89,5,0)</f>
        <v>412.38599999999997</v>
      </c>
      <c r="CV57" s="14">
        <f t="shared" si="41"/>
        <v>94.283262587190933</v>
      </c>
      <c r="CW57" s="22">
        <f t="shared" si="13"/>
        <v>882.44896567269086</v>
      </c>
      <c r="CX57" s="62">
        <f t="shared" si="14"/>
        <v>1175.7822990060242</v>
      </c>
      <c r="CY57" s="62">
        <f ca="1">AVERAGE(OFFSET($CX$3,0,0,'Données projet'!$E$13+1,1))-AVERAGE(OFFSET($H$3,0,0,'Données projet'!$E$13+1,1))</f>
        <v>572.6451446653349</v>
      </c>
      <c r="CZ57" s="62">
        <f t="shared" si="42"/>
        <v>389.15977992931374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10.199999999999999</v>
      </c>
      <c r="DO57" s="13">
        <f>IF('Données projet'!$A$166&gt;35,DO56+DN57-DW56,IF(A57&lt;'Données projet'!$A$166,$DL$205^A57,IF(A57='Données projet'!$A$166,'Données projet'!$B$166,DO56+DN57-DW56)))</f>
        <v>271.8</v>
      </c>
      <c r="DP57" s="18">
        <f>DO57*VLOOKUP('Données projet'!$B$14,Paramètres!$A$1:$I$89,3,0)*VLOOKUP('Données projet'!$B$14,Paramètres!$A$1:$I$89,5,0)</f>
        <v>228.96432000000004</v>
      </c>
      <c r="DQ57" s="14">
        <f t="shared" si="43"/>
        <v>56.058684514404661</v>
      </c>
      <c r="DR57" s="22">
        <f t="shared" si="16"/>
        <v>496.4150661959215</v>
      </c>
      <c r="DS57" s="62">
        <f t="shared" si="17"/>
        <v>789.74839952925481</v>
      </c>
      <c r="DT57" s="62">
        <f ca="1">AVERAGE(OFFSET($DS$3,0,0,'Données projet'!$E$14+1,1))-AVERAGE(OFFSET($H$3,0,0,'Données projet'!$E$14+1,1))</f>
        <v>383.83934938682984</v>
      </c>
      <c r="DU57" s="62">
        <f t="shared" si="44"/>
        <v>223.93106361972281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325.19019202122132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2">
        <f t="shared" si="0"/>
        <v>845.16612239513051</v>
      </c>
      <c r="S58" s="62">
        <f ca="1">AVERAGE(OFFSET($R$3,0,0,'Données projet'!$E$9+1,1))-AVERAGE(OFFSET($H$3,0,0,'Données projet'!$E$9+1,1))</f>
        <v>415.89259563928869</v>
      </c>
      <c r="T58" s="62">
        <f t="shared" si="34"/>
        <v>240.19413322685813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233</v>
      </c>
      <c r="AG58" s="13">
        <f>VLOOKUP(A58,'Données projet'!$A$61:$I$81,9,0)</f>
        <v>6.4</v>
      </c>
      <c r="AH58" s="13">
        <f t="array" ref="AH58">INDEX(AG:AG,MIN(IF(ISNUMBER(AG58:AG254),ROW(AG58:AG254),"")))</f>
        <v>6.4</v>
      </c>
      <c r="AI58" s="14">
        <f>IF('Données projet'!$A$62&gt;35,AI57+AH58-AQ57,IF(A58&lt;'Données projet'!$A$62,$AF$205^A58,IF(A58='Données projet'!$A$62,'Données projet'!$B$62,AI57+AH58-AQ57)))</f>
        <v>232.99999999999986</v>
      </c>
      <c r="AJ58" s="14">
        <f>AI58*VLOOKUP('Données projet'!$B$10,Paramètres!$A$1:$I$89,3,0)*VLOOKUP('Données projet'!$B$10,Paramètres!$A$1:$I$89,5,0)</f>
        <v>152.66159999999991</v>
      </c>
      <c r="AK58" s="14">
        <f t="shared" si="35"/>
        <v>39.182823220412082</v>
      </c>
      <c r="AL58" s="22">
        <f t="shared" si="4"/>
        <v>334.12903710888418</v>
      </c>
      <c r="AM58" s="62">
        <f t="shared" si="5"/>
        <v>627.46237044221743</v>
      </c>
      <c r="AN58" s="62">
        <f ca="1">AVERAGE(OFFSET($AM$3,0,0,'Données projet'!$E$10+1,1))-AVERAGE(OFFSET($H$3,0,0,'Données projet'!$E$10+1,1))</f>
        <v>214.08705070588002</v>
      </c>
      <c r="AO58" s="62">
        <f t="shared" si="36"/>
        <v>251.33527585147152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421</v>
      </c>
      <c r="BB58" s="13">
        <f>VLOOKUP(A58,'Données projet'!$A$87:$I$107,9,0)</f>
        <v>16.600000000000001</v>
      </c>
      <c r="BC58" s="13">
        <f t="array" ref="BC58">INDEX(BB:BB,MIN(IF(ISNUMBER(BB58:BB254),ROW(BB58:BB254),"")))</f>
        <v>16.600000000000001</v>
      </c>
      <c r="BD58" s="13">
        <f>IF('Données projet'!$A$88&gt;35,BD57+BC58-BL57,IF(A58&lt;'Données projet'!$A$88,$BA$205^A58,IF(A58='Données projet'!$A$88,'Données projet'!$B$88,BD57+BC58-BL57)))</f>
        <v>421.00000000000006</v>
      </c>
      <c r="BE58" s="14">
        <f>BD58*VLOOKUP('Données projet'!$B$11,Paramètres!$A$1:$I$89,3,0)*VLOOKUP('Données projet'!$B$11,Paramètres!$A$1:$I$89,5,0)</f>
        <v>240.81200000000007</v>
      </c>
      <c r="BF58" s="14">
        <f t="shared" si="37"/>
        <v>58.614201879710208</v>
      </c>
      <c r="BG58" s="22">
        <f t="shared" si="7"/>
        <v>521.50063494049539</v>
      </c>
      <c r="BH58" s="62">
        <f t="shared" si="8"/>
        <v>814.83396827382876</v>
      </c>
      <c r="BI58" s="62">
        <f ca="1">AVERAGE(OFFSET($BH$3,0,0,'Données projet'!$E$11+1,1))-AVERAGE(OFFSET($H$3,0,0,'Données projet'!$E$11+1,1))</f>
        <v>239.41486198585676</v>
      </c>
      <c r="BJ58" s="62">
        <f t="shared" si="38"/>
        <v>224.9174498508774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75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5.3363634042354546E-4</v>
      </c>
      <c r="BS58" s="24">
        <f t="shared" si="9"/>
        <v>5.3363634042354546E-4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415</v>
      </c>
      <c r="BW58" s="13">
        <f>VLOOKUP(A58,'Données projet'!$A$113:$I$133,9,0)</f>
        <v>19</v>
      </c>
      <c r="BX58" s="13">
        <f t="array" ref="BX58">INDEX(BW:BW,MIN(IF(ISNUMBER(BW58:BW254),ROW(BW58:BW254),"")))</f>
        <v>19</v>
      </c>
      <c r="BY58" s="13">
        <f>IF('Données projet'!$A$114&gt;35,BY57+BX58-CG57,IF(A58&lt;'Données projet'!$A$114,$BV$205^A58,IF(A58='Données projet'!$A$114,'Données projet'!$B$114,BY57+BX58-CG57)))</f>
        <v>414.9999999999996</v>
      </c>
      <c r="BZ58" s="14">
        <f>BY58*VLOOKUP('Données projet'!$B$12,Paramètres!$A$1:$I$89,3,0)*VLOOKUP('Données projet'!$B$12,Paramètres!$A$1:$I$89,5,0)</f>
        <v>248.16999999999979</v>
      </c>
      <c r="CA58" s="14">
        <f t="shared" si="39"/>
        <v>60.193906493778805</v>
      </c>
      <c r="CB58" s="22">
        <f t="shared" si="10"/>
        <v>537.06713714333102</v>
      </c>
      <c r="CC58" s="62">
        <f t="shared" si="11"/>
        <v>830.4004704766644</v>
      </c>
      <c r="CD58" s="62">
        <f ca="1">AVERAGE(OFFSET($CC$3,0,0,'Données projet'!$E$12+1,1))-AVERAGE(OFFSET($H$3,0,0,'Données projet'!$E$12+1,1))</f>
        <v>288.65195492450403</v>
      </c>
      <c r="CE58" s="62">
        <f t="shared" si="40"/>
        <v>310.66800441693891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5.3146515096424932E-3</v>
      </c>
      <c r="CN58" s="24">
        <f t="shared" si="12"/>
        <v>5.3146515096424932E-3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26</v>
      </c>
      <c r="CT58" s="13">
        <f>IF('Données projet'!$A$140&gt;35,CT57+CS58-DB57,IF(A58&lt;'Données projet'!$A$140,$CQ$205^A58,IF(A58='Données projet'!$A$140,'Données projet'!$B$140,CT57+CS58-DB57)))</f>
        <v>958.99999999999977</v>
      </c>
      <c r="CU58" s="18">
        <f>CT58*VLOOKUP('Données projet'!$B$13,Paramètres!$A$1:$I$89,3,0)*VLOOKUP('Données projet'!$B$13,Paramètres!$A$1:$I$89,5,0)</f>
        <v>423.87799999999993</v>
      </c>
      <c r="CV58" s="14">
        <f t="shared" si="41"/>
        <v>96.601107027251544</v>
      </c>
      <c r="CW58" s="22">
        <f t="shared" si="13"/>
        <v>906.50111140579645</v>
      </c>
      <c r="CX58" s="62">
        <f t="shared" si="14"/>
        <v>1199.8344447391298</v>
      </c>
      <c r="CY58" s="62">
        <f ca="1">AVERAGE(OFFSET($CX$3,0,0,'Données projet'!$E$13+1,1))-AVERAGE(OFFSET($H$3,0,0,'Données projet'!$E$13+1,1))</f>
        <v>572.6451446653349</v>
      </c>
      <c r="CZ58" s="62">
        <f t="shared" si="42"/>
        <v>389.15977992931374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282</v>
      </c>
      <c r="DM58" s="13">
        <f>VLOOKUP(A58,'Données projet'!$A$165:$I$185,9,0)</f>
        <v>10.199999999999999</v>
      </c>
      <c r="DN58" s="13">
        <f t="array" ref="DN58">INDEX(DM:DM,MIN(IF(ISNUMBER(DM58:DM254),ROW(DM58:DM254),"")))</f>
        <v>10.199999999999999</v>
      </c>
      <c r="DO58" s="13">
        <f>IF('Données projet'!$A$166&gt;35,DO57+DN58-DW57,IF(A58&lt;'Données projet'!$A$166,$DL$205^A58,IF(A58='Données projet'!$A$166,'Données projet'!$B$166,DO57+DN58-DW57)))</f>
        <v>282</v>
      </c>
      <c r="DP58" s="18">
        <f>DO58*VLOOKUP('Données projet'!$B$14,Paramètres!$A$1:$I$89,3,0)*VLOOKUP('Données projet'!$B$14,Paramètres!$A$1:$I$89,5,0)</f>
        <v>237.55680000000001</v>
      </c>
      <c r="DQ58" s="14">
        <f t="shared" si="43"/>
        <v>57.913551469467357</v>
      </c>
      <c r="DR58" s="22">
        <f t="shared" si="16"/>
        <v>514.61086214265561</v>
      </c>
      <c r="DS58" s="62">
        <f t="shared" si="17"/>
        <v>807.94419547598886</v>
      </c>
      <c r="DT58" s="62">
        <f ca="1">AVERAGE(OFFSET($DS$3,0,0,'Données projet'!$E$14+1,1))-AVERAGE(OFFSET($H$3,0,0,'Données projet'!$E$14+1,1))</f>
        <v>383.83934938682984</v>
      </c>
      <c r="DU58" s="62">
        <f t="shared" si="44"/>
        <v>223.93106361972281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56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326.40147026672037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415.89259563928869</v>
      </c>
      <c r="T59" s="62">
        <f t="shared" si="34"/>
        <v>240.19413322685813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</v>
      </c>
      <c r="AI59" s="14">
        <f>IF('Données projet'!$A$62&gt;35,AI58+AH59-AQ58,IF(A59&lt;'Données projet'!$A$62,$AF$205^A59,IF(A59='Données projet'!$A$62,'Données projet'!$B$62,AI58+AH59-AQ58)))</f>
        <v>237.99999999999986</v>
      </c>
      <c r="AJ59" s="14">
        <f>AI59*VLOOKUP('Données projet'!$B$10,Paramètres!$A$1:$I$89,3,0)*VLOOKUP('Données projet'!$B$10,Paramètres!$A$1:$I$89,5,0)</f>
        <v>155.93759999999992</v>
      </c>
      <c r="AK59" s="14">
        <f t="shared" si="35"/>
        <v>39.924862785906306</v>
      </c>
      <c r="AL59" s="22">
        <f t="shared" si="4"/>
        <v>341.12712268545334</v>
      </c>
      <c r="AM59" s="62">
        <f t="shared" si="5"/>
        <v>634.46045601878666</v>
      </c>
      <c r="AN59" s="62">
        <f ca="1">AVERAGE(OFFSET($AM$3,0,0,'Données projet'!$E$10+1,1))-AVERAGE(OFFSET($H$3,0,0,'Données projet'!$E$10+1,1))</f>
        <v>214.08705070588002</v>
      </c>
      <c r="AO59" s="62">
        <f t="shared" si="36"/>
        <v>251.33527585147152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13.4</v>
      </c>
      <c r="BD59" s="13">
        <f>IF('Données projet'!$A$88&gt;35,BD58+BC59-BL58,IF(A59&lt;'Données projet'!$A$88,$BA$205^A59,IF(A59='Données projet'!$A$88,'Données projet'!$B$88,BD58+BC59-BL58)))</f>
        <v>359.40000000000003</v>
      </c>
      <c r="BE59" s="14">
        <f>BD59*VLOOKUP('Données projet'!$B$11,Paramètres!$A$1:$I$89,3,0)*VLOOKUP('Données projet'!$B$11,Paramètres!$A$1:$I$89,5,0)</f>
        <v>205.57680000000005</v>
      </c>
      <c r="BF59" s="14">
        <f t="shared" si="37"/>
        <v>50.967810929232002</v>
      </c>
      <c r="BG59" s="22">
        <f t="shared" si="7"/>
        <v>446.81519736841238</v>
      </c>
      <c r="BH59" s="62">
        <f t="shared" si="8"/>
        <v>740.1485307017457</v>
      </c>
      <c r="BI59" s="62">
        <f ca="1">AVERAGE(OFFSET($BH$3,0,0,'Données projet'!$E$11+1,1))-AVERAGE(OFFSET($H$3,0,0,'Données projet'!$E$11+1,1))</f>
        <v>239.41486198585676</v>
      </c>
      <c r="BJ59" s="62">
        <f t="shared" si="38"/>
        <v>224.9174498508774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3.7733787500106194E-4</v>
      </c>
      <c r="BS59" s="24">
        <f t="shared" si="9"/>
        <v>3.7733787500106194E-4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20.2</v>
      </c>
      <c r="BY59" s="13">
        <f>IF('Données projet'!$A$114&gt;35,BY58+BX59-CG58,IF(A59&lt;'Données projet'!$A$114,$BV$205^A59,IF(A59='Données projet'!$A$114,'Données projet'!$B$114,BY58+BX59-CG58)))</f>
        <v>435.19999999999959</v>
      </c>
      <c r="BZ59" s="14">
        <f>BY59*VLOOKUP('Données projet'!$B$12,Paramètres!$A$1:$I$89,3,0)*VLOOKUP('Données projet'!$B$12,Paramètres!$A$1:$I$89,5,0)</f>
        <v>260.24959999999976</v>
      </c>
      <c r="CA59" s="14">
        <f t="shared" si="39"/>
        <v>62.775579618010354</v>
      </c>
      <c r="CB59" s="22">
        <f t="shared" si="10"/>
        <v>562.60218783470089</v>
      </c>
      <c r="CC59" s="62">
        <f t="shared" si="11"/>
        <v>855.93552116803426</v>
      </c>
      <c r="CD59" s="62">
        <f ca="1">AVERAGE(OFFSET($CC$3,0,0,'Données projet'!$E$12+1,1))-AVERAGE(OFFSET($H$3,0,0,'Données projet'!$E$12+1,1))</f>
        <v>288.65195492450403</v>
      </c>
      <c r="CE59" s="62">
        <f t="shared" si="40"/>
        <v>310.66800441693891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3.758026122111529E-3</v>
      </c>
      <c r="CN59" s="24">
        <f t="shared" si="12"/>
        <v>3.758026122111529E-3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26</v>
      </c>
      <c r="CT59" s="13">
        <f>IF('Données projet'!$A$140&gt;35,CT58+CS59-DB58,IF(A59&lt;'Données projet'!$A$140,$CQ$205^A59,IF(A59='Données projet'!$A$140,'Données projet'!$B$140,CT58+CS59-DB58)))</f>
        <v>984.99999999999977</v>
      </c>
      <c r="CU59" s="18">
        <f>CT59*VLOOKUP('Données projet'!$B$13,Paramètres!$A$1:$I$89,3,0)*VLOOKUP('Données projet'!$B$13,Paramètres!$A$1:$I$89,5,0)</f>
        <v>435.36999999999989</v>
      </c>
      <c r="CV59" s="14">
        <f t="shared" si="41"/>
        <v>98.911647427339489</v>
      </c>
      <c r="CW59" s="22">
        <f t="shared" si="13"/>
        <v>930.54053593594938</v>
      </c>
      <c r="CX59" s="62">
        <f t="shared" si="14"/>
        <v>1223.8738692692827</v>
      </c>
      <c r="CY59" s="62">
        <f ca="1">AVERAGE(OFFSET($CX$3,0,0,'Données projet'!$E$13+1,1))-AVERAGE(OFFSET($H$3,0,0,'Données projet'!$E$13+1,1))</f>
        <v>572.6451446653349</v>
      </c>
      <c r="CZ59" s="62">
        <f t="shared" si="42"/>
        <v>389.15977992931374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9.4</v>
      </c>
      <c r="DO59" s="13">
        <f>IF('Données projet'!$A$166&gt;35,DO58+DN59-DW58,IF(A59&lt;'Données projet'!$A$166,$DL$205^A59,IF(A59='Données projet'!$A$166,'Données projet'!$B$166,DO58+DN59-DW58)))</f>
        <v>235.39999999999998</v>
      </c>
      <c r="DP59" s="18">
        <f>DO59*VLOOKUP('Données projet'!$B$14,Paramètres!$A$1:$I$89,3,0)*VLOOKUP('Données projet'!$B$14,Paramètres!$A$1:$I$89,5,0)</f>
        <v>198.30096</v>
      </c>
      <c r="DQ59" s="14">
        <f t="shared" si="43"/>
        <v>49.3705849564736</v>
      </c>
      <c r="DR59" s="22">
        <f t="shared" si="16"/>
        <v>431.36127413252484</v>
      </c>
      <c r="DS59" s="62">
        <f t="shared" si="17"/>
        <v>724.6946074658581</v>
      </c>
      <c r="DT59" s="62">
        <f ca="1">AVERAGE(OFFSET($DS$3,0,0,'Données projet'!$E$14+1,1))-AVERAGE(OFFSET($H$3,0,0,'Données projet'!$E$14+1,1))</f>
        <v>383.83934938682984</v>
      </c>
      <c r="DU59" s="62">
        <f t="shared" si="44"/>
        <v>223.93106361972281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327.61220793297304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415.89259563928869</v>
      </c>
      <c r="T60" s="62">
        <f t="shared" si="34"/>
        <v>240.19413322685813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</v>
      </c>
      <c r="AI60" s="14">
        <f>IF('Données projet'!$A$62&gt;35,AI59+AH60-AQ59,IF(A60&lt;'Données projet'!$A$62,$AF$205^A60,IF(A60='Données projet'!$A$62,'Données projet'!$B$62,AI59+AH60-AQ59)))</f>
        <v>242.99999999999986</v>
      </c>
      <c r="AJ60" s="14">
        <f>AI60*VLOOKUP('Données projet'!$B$10,Paramètres!$A$1:$I$89,3,0)*VLOOKUP('Données projet'!$B$10,Paramètres!$A$1:$I$89,5,0)</f>
        <v>159.2135999999999</v>
      </c>
      <c r="AK60" s="14">
        <f t="shared" si="35"/>
        <v>40.665089859977073</v>
      </c>
      <c r="AL60" s="22">
        <f t="shared" si="4"/>
        <v>348.12205150612658</v>
      </c>
      <c r="AM60" s="62">
        <f t="shared" si="5"/>
        <v>641.45538483945984</v>
      </c>
      <c r="AN60" s="62">
        <f ca="1">AVERAGE(OFFSET($AM$3,0,0,'Données projet'!$E$10+1,1))-AVERAGE(OFFSET($H$3,0,0,'Données projet'!$E$10+1,1))</f>
        <v>214.08705070588002</v>
      </c>
      <c r="AO60" s="62">
        <f t="shared" si="36"/>
        <v>251.33527585147152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13.4</v>
      </c>
      <c r="BD60" s="13">
        <f>IF('Données projet'!$A$88&gt;35,BD59+BC60-BL59,IF(A60&lt;'Données projet'!$A$88,$BA$205^A60,IF(A60='Données projet'!$A$88,'Données projet'!$B$88,BD59+BC60-BL59)))</f>
        <v>372.8</v>
      </c>
      <c r="BE60" s="14">
        <f>BD60*VLOOKUP('Données projet'!$B$11,Paramètres!$A$1:$I$89,3,0)*VLOOKUP('Données projet'!$B$11,Paramètres!$A$1:$I$89,5,0)</f>
        <v>213.24160000000003</v>
      </c>
      <c r="BF60" s="14">
        <f t="shared" si="37"/>
        <v>52.643324090897032</v>
      </c>
      <c r="BG60" s="22">
        <f t="shared" si="7"/>
        <v>463.08290945831237</v>
      </c>
      <c r="BH60" s="62">
        <f t="shared" si="8"/>
        <v>756.41624279164569</v>
      </c>
      <c r="BI60" s="62">
        <f ca="1">AVERAGE(OFFSET($BH$3,0,0,'Données projet'!$E$11+1,1))-AVERAGE(OFFSET($H$3,0,0,'Données projet'!$E$11+1,1))</f>
        <v>239.41486198585676</v>
      </c>
      <c r="BJ60" s="62">
        <f t="shared" si="38"/>
        <v>224.9174498508774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2.6681817021177273E-4</v>
      </c>
      <c r="BS60" s="24">
        <f t="shared" si="9"/>
        <v>2.6681817021177273E-4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20.2</v>
      </c>
      <c r="BY60" s="13">
        <f>IF('Données projet'!$A$114&gt;35,BY59+BX60-CG59,IF(A60&lt;'Données projet'!$A$114,$BV$205^A60,IF(A60='Données projet'!$A$114,'Données projet'!$B$114,BY59+BX60-CG59)))</f>
        <v>455.39999999999958</v>
      </c>
      <c r="BZ60" s="14">
        <f>BY60*VLOOKUP('Données projet'!$B$12,Paramètres!$A$1:$I$89,3,0)*VLOOKUP('Données projet'!$B$12,Paramètres!$A$1:$I$89,5,0)</f>
        <v>272.32919999999979</v>
      </c>
      <c r="CA60" s="14">
        <f t="shared" si="39"/>
        <v>65.34333692428207</v>
      </c>
      <c r="CB60" s="22">
        <f t="shared" si="10"/>
        <v>588.11300180979094</v>
      </c>
      <c r="CC60" s="62">
        <f t="shared" si="11"/>
        <v>881.44633514312432</v>
      </c>
      <c r="CD60" s="62">
        <f ca="1">AVERAGE(OFFSET($CC$3,0,0,'Données projet'!$E$12+1,1))-AVERAGE(OFFSET($H$3,0,0,'Données projet'!$E$12+1,1))</f>
        <v>288.65195492450403</v>
      </c>
      <c r="CE60" s="62">
        <f t="shared" si="40"/>
        <v>310.66800441693891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2.6573257548212471E-3</v>
      </c>
      <c r="CN60" s="24">
        <f t="shared" si="12"/>
        <v>2.6573257548212471E-3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26</v>
      </c>
      <c r="CT60" s="13">
        <f>IF('Données projet'!$A$140&gt;35,CT59+CS60-DB59,IF(A60&lt;'Données projet'!$A$140,$CQ$205^A60,IF(A60='Données projet'!$A$140,'Données projet'!$B$140,CT59+CS60-DB59)))</f>
        <v>1010.9999999999998</v>
      </c>
      <c r="CU60" s="18">
        <f>CT60*VLOOKUP('Données projet'!$B$13,Paramètres!$A$1:$I$89,3,0)*VLOOKUP('Données projet'!$B$13,Paramètres!$A$1:$I$89,5,0)</f>
        <v>446.86199999999997</v>
      </c>
      <c r="CV60" s="14">
        <f t="shared" si="41"/>
        <v>101.21509874623068</v>
      </c>
      <c r="CW60" s="22">
        <f t="shared" si="13"/>
        <v>954.56761364968497</v>
      </c>
      <c r="CX60" s="62">
        <f t="shared" si="14"/>
        <v>1247.9009469830182</v>
      </c>
      <c r="CY60" s="62">
        <f ca="1">AVERAGE(OFFSET($CX$3,0,0,'Données projet'!$E$13+1,1))-AVERAGE(OFFSET($H$3,0,0,'Données projet'!$E$13+1,1))</f>
        <v>572.6451446653349</v>
      </c>
      <c r="CZ60" s="62">
        <f t="shared" si="42"/>
        <v>389.15977992931374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9.4</v>
      </c>
      <c r="DO60" s="13">
        <f>IF('Données projet'!$A$166&gt;35,DO59+DN60-DW59,IF(A60&lt;'Données projet'!$A$166,$DL$205^A60,IF(A60='Données projet'!$A$166,'Données projet'!$B$166,DO59+DN60-DW59)))</f>
        <v>244.79999999999998</v>
      </c>
      <c r="DP60" s="18">
        <f>DO60*VLOOKUP('Données projet'!$B$14,Paramètres!$A$1:$I$89,3,0)*VLOOKUP('Données projet'!$B$14,Paramètres!$A$1:$I$89,5,0)</f>
        <v>206.21952000000002</v>
      </c>
      <c r="DQ60" s="14">
        <f t="shared" si="43"/>
        <v>51.108584284640322</v>
      </c>
      <c r="DR60" s="22">
        <f t="shared" si="16"/>
        <v>448.1797816290819</v>
      </c>
      <c r="DS60" s="62">
        <f t="shared" si="17"/>
        <v>741.51311496241522</v>
      </c>
      <c r="DT60" s="62">
        <f ca="1">AVERAGE(OFFSET($DS$3,0,0,'Données projet'!$E$14+1,1))-AVERAGE(OFFSET($H$3,0,0,'Données projet'!$E$14+1,1))</f>
        <v>383.83934938682984</v>
      </c>
      <c r="DU60" s="62">
        <f t="shared" si="44"/>
        <v>223.93106361972281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328.82241559803606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415.89259563928869</v>
      </c>
      <c r="T61" s="62">
        <f t="shared" si="34"/>
        <v>240.19413322685813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</v>
      </c>
      <c r="AI61" s="14">
        <f>IF('Données projet'!$A$62&gt;35,AI60+AH61-AQ60,IF(A61&lt;'Données projet'!$A$62,$AF$205^A61,IF(A61='Données projet'!$A$62,'Données projet'!$B$62,AI60+AH61-AQ60)))</f>
        <v>247.99999999999986</v>
      </c>
      <c r="AJ61" s="14">
        <f>AI61*VLOOKUP('Données projet'!$B$10,Paramètres!$A$1:$I$89,3,0)*VLOOKUP('Données projet'!$B$10,Paramètres!$A$1:$I$89,5,0)</f>
        <v>162.48959999999991</v>
      </c>
      <c r="AK61" s="14">
        <f t="shared" si="35"/>
        <v>41.40354603382066</v>
      </c>
      <c r="AL61" s="22">
        <f t="shared" si="4"/>
        <v>355.11389600890419</v>
      </c>
      <c r="AM61" s="62">
        <f t="shared" si="5"/>
        <v>648.44722934223751</v>
      </c>
      <c r="AN61" s="62">
        <f ca="1">AVERAGE(OFFSET($AM$3,0,0,'Données projet'!$E$10+1,1))-AVERAGE(OFFSET($H$3,0,0,'Données projet'!$E$10+1,1))</f>
        <v>214.08705070588002</v>
      </c>
      <c r="AO61" s="62">
        <f t="shared" si="36"/>
        <v>251.33527585147152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13.4</v>
      </c>
      <c r="BD61" s="13">
        <f>IF('Données projet'!$A$88&gt;35,BD60+BC61-BL60,IF(A61&lt;'Données projet'!$A$88,$BA$205^A61,IF(A61='Données projet'!$A$88,'Données projet'!$B$88,BD60+BC61-BL60)))</f>
        <v>386.2</v>
      </c>
      <c r="BE61" s="14">
        <f>BD61*VLOOKUP('Données projet'!$B$11,Paramètres!$A$1:$I$89,3,0)*VLOOKUP('Données projet'!$B$11,Paramètres!$A$1:$I$89,5,0)</f>
        <v>220.90639999999999</v>
      </c>
      <c r="BF61" s="14">
        <f t="shared" si="37"/>
        <v>54.311840116694214</v>
      </c>
      <c r="BG61" s="22">
        <f t="shared" si="7"/>
        <v>479.33843486990912</v>
      </c>
      <c r="BH61" s="62">
        <f t="shared" si="8"/>
        <v>772.67176820324244</v>
      </c>
      <c r="BI61" s="62">
        <f ca="1">AVERAGE(OFFSET($BH$3,0,0,'Données projet'!$E$11+1,1))-AVERAGE(OFFSET($H$3,0,0,'Données projet'!$E$11+1,1))</f>
        <v>239.41486198585676</v>
      </c>
      <c r="BJ61" s="62">
        <f t="shared" si="38"/>
        <v>224.9174498508774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1.8866893750053097E-4</v>
      </c>
      <c r="BS61" s="24">
        <f t="shared" si="9"/>
        <v>1.8866893750053097E-4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20.2</v>
      </c>
      <c r="BY61" s="13">
        <f>IF('Données projet'!$A$114&gt;35,BY60+BX61-CG60,IF(A61&lt;'Données projet'!$A$114,$BV$205^A61,IF(A61='Données projet'!$A$114,'Données projet'!$B$114,BY60+BX61-CG60)))</f>
        <v>475.59999999999957</v>
      </c>
      <c r="BZ61" s="14">
        <f>BY61*VLOOKUP('Données projet'!$B$12,Paramètres!$A$1:$I$89,3,0)*VLOOKUP('Données projet'!$B$12,Paramètres!$A$1:$I$89,5,0)</f>
        <v>284.40879999999976</v>
      </c>
      <c r="CA61" s="14">
        <f t="shared" si="39"/>
        <v>67.89786620469836</v>
      </c>
      <c r="CB61" s="22">
        <f t="shared" si="10"/>
        <v>613.60077697318252</v>
      </c>
      <c r="CC61" s="62">
        <f t="shared" si="11"/>
        <v>906.93411030651578</v>
      </c>
      <c r="CD61" s="62">
        <f ca="1">AVERAGE(OFFSET($CC$3,0,0,'Données projet'!$E$12+1,1))-AVERAGE(OFFSET($H$3,0,0,'Données projet'!$E$12+1,1))</f>
        <v>288.65195492450403</v>
      </c>
      <c r="CE61" s="62">
        <f t="shared" si="40"/>
        <v>310.66800441693891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1.879013061055765E-3</v>
      </c>
      <c r="CN61" s="24">
        <f t="shared" si="12"/>
        <v>1.879013061055765E-3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26</v>
      </c>
      <c r="CT61" s="13">
        <f>IF('Données projet'!$A$140&gt;35,CT60+CS61-DB60,IF(A61&lt;'Données projet'!$A$140,$CQ$205^A61,IF(A61='Données projet'!$A$140,'Données projet'!$B$140,CT60+CS61-DB60)))</f>
        <v>1036.9999999999998</v>
      </c>
      <c r="CU61" s="18">
        <f>CT61*VLOOKUP('Données projet'!$B$13,Paramètres!$A$1:$I$89,3,0)*VLOOKUP('Données projet'!$B$13,Paramètres!$A$1:$I$89,5,0)</f>
        <v>458.35399999999993</v>
      </c>
      <c r="CV61" s="14">
        <f t="shared" si="41"/>
        <v>103.511664256598</v>
      </c>
      <c r="CW61" s="22">
        <f t="shared" si="13"/>
        <v>978.58269858024141</v>
      </c>
      <c r="CX61" s="62">
        <f t="shared" si="14"/>
        <v>1271.9160319135747</v>
      </c>
      <c r="CY61" s="62">
        <f ca="1">AVERAGE(OFFSET($CX$3,0,0,'Données projet'!$E$13+1,1))-AVERAGE(OFFSET($H$3,0,0,'Données projet'!$E$13+1,1))</f>
        <v>572.6451446653349</v>
      </c>
      <c r="CZ61" s="62">
        <f t="shared" si="42"/>
        <v>389.15977992931374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9.4</v>
      </c>
      <c r="DO61" s="13">
        <f>IF('Données projet'!$A$166&gt;35,DO60+DN61-DW60,IF(A61&lt;'Données projet'!$A$166,$DL$205^A61,IF(A61='Données projet'!$A$166,'Données projet'!$B$166,DO60+DN61-DW60)))</f>
        <v>254.2</v>
      </c>
      <c r="DP61" s="18">
        <f>DO61*VLOOKUP('Données projet'!$B$14,Paramètres!$A$1:$I$89,3,0)*VLOOKUP('Données projet'!$B$14,Paramètres!$A$1:$I$89,5,0)</f>
        <v>214.13808</v>
      </c>
      <c r="DQ61" s="14">
        <f t="shared" si="43"/>
        <v>52.838830759579693</v>
      </c>
      <c r="DR61" s="22">
        <f t="shared" si="16"/>
        <v>464.98478623960131</v>
      </c>
      <c r="DS61" s="62">
        <f t="shared" si="17"/>
        <v>758.31811957293462</v>
      </c>
      <c r="DT61" s="62">
        <f ca="1">AVERAGE(OFFSET($DS$3,0,0,'Données projet'!$E$14+1,1))-AVERAGE(OFFSET($H$3,0,0,'Données projet'!$E$14+1,1))</f>
        <v>383.83934938682984</v>
      </c>
      <c r="DU61" s="62">
        <f t="shared" si="44"/>
        <v>223.93106361972281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330.03210345430642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415.89259563928869</v>
      </c>
      <c r="T62" s="62">
        <f t="shared" si="34"/>
        <v>240.19413322685813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</v>
      </c>
      <c r="AI62" s="14">
        <f>IF('Données projet'!$A$62&gt;35,AI61+AH62-AQ61,IF(A62&lt;'Données projet'!$A$62,$AF$205^A62,IF(A62='Données projet'!$A$62,'Données projet'!$B$62,AI61+AH62-AQ61)))</f>
        <v>252.99999999999986</v>
      </c>
      <c r="AJ62" s="14">
        <f>AI62*VLOOKUP('Données projet'!$B$10,Paramètres!$A$1:$I$89,3,0)*VLOOKUP('Données projet'!$B$10,Paramètres!$A$1:$I$89,5,0)</f>
        <v>165.76559999999989</v>
      </c>
      <c r="AK62" s="14">
        <f t="shared" si="35"/>
        <v>42.14027112568423</v>
      </c>
      <c r="AL62" s="22">
        <f t="shared" si="4"/>
        <v>362.10272554389985</v>
      </c>
      <c r="AM62" s="62">
        <f t="shared" si="5"/>
        <v>655.43605887723311</v>
      </c>
      <c r="AN62" s="62">
        <f ca="1">AVERAGE(OFFSET($AM$3,0,0,'Données projet'!$E$10+1,1))-AVERAGE(OFFSET($H$3,0,0,'Données projet'!$E$10+1,1))</f>
        <v>214.08705070588002</v>
      </c>
      <c r="AO62" s="62">
        <f t="shared" si="36"/>
        <v>251.33527585147152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13.4</v>
      </c>
      <c r="BD62" s="13">
        <f>IF('Données projet'!$A$88&gt;35,BD61+BC62-BL61,IF(A62&lt;'Données projet'!$A$88,$BA$205^A62,IF(A62='Données projet'!$A$88,'Données projet'!$B$88,BD61+BC62-BL61)))</f>
        <v>399.59999999999997</v>
      </c>
      <c r="BE62" s="14">
        <f>BD62*VLOOKUP('Données projet'!$B$11,Paramètres!$A$1:$I$89,3,0)*VLOOKUP('Données projet'!$B$11,Paramètres!$A$1:$I$89,5,0)</f>
        <v>228.57119999999998</v>
      </c>
      <c r="BF62" s="14">
        <f t="shared" si="37"/>
        <v>55.973629609935649</v>
      </c>
      <c r="BG62" s="22">
        <f t="shared" si="7"/>
        <v>495.58224490397123</v>
      </c>
      <c r="BH62" s="62">
        <f t="shared" si="8"/>
        <v>788.91557823730454</v>
      </c>
      <c r="BI62" s="62">
        <f ca="1">AVERAGE(OFFSET($BH$3,0,0,'Données projet'!$E$11+1,1))-AVERAGE(OFFSET($H$3,0,0,'Données projet'!$E$11+1,1))</f>
        <v>239.41486198585676</v>
      </c>
      <c r="BJ62" s="62">
        <f t="shared" si="38"/>
        <v>224.9174498508774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1.3340908510588636E-4</v>
      </c>
      <c r="BS62" s="24">
        <f t="shared" si="9"/>
        <v>1.3340908510588636E-4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20.2</v>
      </c>
      <c r="BY62" s="13">
        <f>IF('Données projet'!$A$114&gt;35,BY61+BX62-CG61,IF(A62&lt;'Données projet'!$A$114,$BV$205^A62,IF(A62='Données projet'!$A$114,'Données projet'!$B$114,BY61+BX62-CG61)))</f>
        <v>495.79999999999956</v>
      </c>
      <c r="BZ62" s="14">
        <f>BY62*VLOOKUP('Données projet'!$B$12,Paramètres!$A$1:$I$89,3,0)*VLOOKUP('Données projet'!$B$12,Paramètres!$A$1:$I$89,5,0)</f>
        <v>296.48839999999979</v>
      </c>
      <c r="CA62" s="14">
        <f t="shared" si="39"/>
        <v>70.439793521902985</v>
      </c>
      <c r="CB62" s="22">
        <f t="shared" si="10"/>
        <v>639.06660371731391</v>
      </c>
      <c r="CC62" s="62">
        <f t="shared" si="11"/>
        <v>932.39993705064717</v>
      </c>
      <c r="CD62" s="62">
        <f ca="1">AVERAGE(OFFSET($CC$3,0,0,'Données projet'!$E$12+1,1))-AVERAGE(OFFSET($H$3,0,0,'Données projet'!$E$12+1,1))</f>
        <v>288.65195492450403</v>
      </c>
      <c r="CE62" s="62">
        <f t="shared" si="40"/>
        <v>310.66800441693891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1.3286628774106237E-3</v>
      </c>
      <c r="CN62" s="24">
        <f t="shared" si="12"/>
        <v>1.3286628774106237E-3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>
        <f>VLOOKUP(A62,'Données projet'!$A$139:$I$159,2,0)</f>
        <v>1063</v>
      </c>
      <c r="CR62" s="13">
        <f>VLOOKUP(A62,'Données projet'!$A$139:$I$159,9,0)</f>
        <v>26</v>
      </c>
      <c r="CS62" s="13">
        <f t="array" ref="CS62">INDEX(CR:CR,MIN(IF(ISNUMBER(CR62:CR258),ROW(CR62:CR258),"")))</f>
        <v>26</v>
      </c>
      <c r="CT62" s="13">
        <f>IF('Données projet'!$A$140&gt;35,CT61+CS62-DB61,IF(A62&lt;'Données projet'!$A$140,$CQ$205^A62,IF(A62='Données projet'!$A$140,'Données projet'!$B$140,CT61+CS62-DB61)))</f>
        <v>1062.9999999999998</v>
      </c>
      <c r="CU62" s="18">
        <f>CT62*VLOOKUP('Données projet'!$B$13,Paramètres!$A$1:$I$89,3,0)*VLOOKUP('Données projet'!$B$13,Paramètres!$A$1:$I$89,5,0)</f>
        <v>469.84599999999995</v>
      </c>
      <c r="CV62" s="14">
        <f t="shared" si="41"/>
        <v>105.80153645716383</v>
      </c>
      <c r="CW62" s="22">
        <f t="shared" si="13"/>
        <v>1002.586125996227</v>
      </c>
      <c r="CX62" s="62">
        <f t="shared" si="14"/>
        <v>1295.9194593295604</v>
      </c>
      <c r="CY62" s="62">
        <f ca="1">AVERAGE(OFFSET($CX$3,0,0,'Données projet'!$E$13+1,1))-AVERAGE(OFFSET($H$3,0,0,'Données projet'!$E$13+1,1))</f>
        <v>572.6451446653349</v>
      </c>
      <c r="CZ62" s="62">
        <f t="shared" si="42"/>
        <v>389.15977992931374</v>
      </c>
      <c r="DA62" s="16">
        <f>IF(ISNA(VLOOKUP(A62,'Données projet'!$A$139:$I$159,3,0)),0,VLOOKUP(A62,'Données projet'!$A$139:$I$159,3,0))</f>
        <v>5</v>
      </c>
      <c r="DB62" s="16">
        <f>IF(ISNA(VLOOKUP(A62,'Données projet'!$A$139:$I$159,4,0)),0,VLOOKUP(A62,'Données projet'!$A$139:$I$159,4,0))</f>
        <v>121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9.4</v>
      </c>
      <c r="DO62" s="13">
        <f>IF('Données projet'!$A$166&gt;35,DO61+DN62-DW61,IF(A62&lt;'Données projet'!$A$166,$DL$205^A62,IF(A62='Données projet'!$A$166,'Données projet'!$B$166,DO61+DN62-DW61)))</f>
        <v>263.59999999999997</v>
      </c>
      <c r="DP62" s="18">
        <f>DO62*VLOOKUP('Données projet'!$B$14,Paramètres!$A$1:$I$89,3,0)*VLOOKUP('Données projet'!$B$14,Paramètres!$A$1:$I$89,5,0)</f>
        <v>222.05663999999999</v>
      </c>
      <c r="DQ62" s="14">
        <f t="shared" si="43"/>
        <v>54.561643903321311</v>
      </c>
      <c r="DR62" s="22">
        <f t="shared" si="16"/>
        <v>481.77684446495124</v>
      </c>
      <c r="DS62" s="62">
        <f t="shared" si="17"/>
        <v>775.11017779828455</v>
      </c>
      <c r="DT62" s="62">
        <f ca="1">AVERAGE(OFFSET($DS$3,0,0,'Données projet'!$E$14+1,1))-AVERAGE(OFFSET($H$3,0,0,'Données projet'!$E$14+1,1))</f>
        <v>383.83934938682984</v>
      </c>
      <c r="DU62" s="62">
        <f t="shared" si="44"/>
        <v>223.93106361972281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331.24128132887591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415.89259563928869</v>
      </c>
      <c r="T63" s="62">
        <f t="shared" si="34"/>
        <v>240.19413322685813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258</v>
      </c>
      <c r="AG63" s="13">
        <f>VLOOKUP(A63,'Données projet'!$A$61:$I$81,9,0)</f>
        <v>5</v>
      </c>
      <c r="AH63" s="13">
        <f t="array" ref="AH63">INDEX(AG:AG,MIN(IF(ISNUMBER(AG63:AG259),ROW(AG63:AG259),"")))</f>
        <v>5</v>
      </c>
      <c r="AI63" s="14">
        <f>IF('Données projet'!$A$62&gt;35,AI62+AH63-AQ62,IF(A63&lt;'Données projet'!$A$62,$AF$205^A63,IF(A63='Données projet'!$A$62,'Données projet'!$B$62,AI62+AH63-AQ62)))</f>
        <v>257.99999999999989</v>
      </c>
      <c r="AJ63" s="14">
        <f>AI63*VLOOKUP('Données projet'!$B$10,Paramètres!$A$1:$I$89,3,0)*VLOOKUP('Données projet'!$B$10,Paramètres!$A$1:$I$89,5,0)</f>
        <v>169.0415999999999</v>
      </c>
      <c r="AK63" s="14">
        <f t="shared" si="35"/>
        <v>42.875303289962908</v>
      </c>
      <c r="AL63" s="22">
        <f t="shared" si="4"/>
        <v>369.0886065633519</v>
      </c>
      <c r="AM63" s="62">
        <f t="shared" si="5"/>
        <v>662.42193989668522</v>
      </c>
      <c r="AN63" s="62">
        <f ca="1">AVERAGE(OFFSET($AM$3,0,0,'Données projet'!$E$10+1,1))-AVERAGE(OFFSET($H$3,0,0,'Données projet'!$E$10+1,1))</f>
        <v>214.08705070588002</v>
      </c>
      <c r="AO63" s="62">
        <f t="shared" si="36"/>
        <v>251.33527585147152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25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413</v>
      </c>
      <c r="BB63" s="13">
        <f>VLOOKUP(A63,'Données projet'!$A$87:$I$107,9,0)</f>
        <v>13.4</v>
      </c>
      <c r="BC63" s="13">
        <f t="array" ref="BC63">INDEX(BB:BB,MIN(IF(ISNUMBER(BB63:BB259),ROW(BB63:BB259),"")))</f>
        <v>13.4</v>
      </c>
      <c r="BD63" s="13">
        <f>IF('Données projet'!$A$88&gt;35,BD62+BC63-BL62,IF(A63&lt;'Données projet'!$A$88,$BA$205^A63,IF(A63='Données projet'!$A$88,'Données projet'!$B$88,BD62+BC63-BL62)))</f>
        <v>412.99999999999994</v>
      </c>
      <c r="BE63" s="14">
        <f>BD63*VLOOKUP('Données projet'!$B$11,Paramètres!$A$1:$I$89,3,0)*VLOOKUP('Données projet'!$B$11,Paramètres!$A$1:$I$89,5,0)</f>
        <v>236.23599999999996</v>
      </c>
      <c r="BF63" s="14">
        <f t="shared" si="37"/>
        <v>57.628943995616872</v>
      </c>
      <c r="BG63" s="22">
        <f t="shared" si="7"/>
        <v>511.81477745903265</v>
      </c>
      <c r="BH63" s="62">
        <f t="shared" si="8"/>
        <v>805.14811079236597</v>
      </c>
      <c r="BI63" s="62">
        <f ca="1">AVERAGE(OFFSET($BH$3,0,0,'Données projet'!$E$11+1,1))-AVERAGE(OFFSET($H$3,0,0,'Données projet'!$E$11+1,1))</f>
        <v>239.41486198585676</v>
      </c>
      <c r="BJ63" s="62">
        <f t="shared" si="38"/>
        <v>224.9174498508774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9.4334468750265486E-5</v>
      </c>
      <c r="BS63" s="24">
        <f t="shared" si="9"/>
        <v>9.4334468750265486E-5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516</v>
      </c>
      <c r="BW63" s="13">
        <f>VLOOKUP(A63,'Données projet'!$A$113:$I$133,9,0)</f>
        <v>20.2</v>
      </c>
      <c r="BX63" s="13">
        <f t="array" ref="BX63">INDEX(BW:BW,MIN(IF(ISNUMBER(BW63:BW259),ROW(BW63:BW259),"")))</f>
        <v>20.2</v>
      </c>
      <c r="BY63" s="13">
        <f>IF('Données projet'!$A$114&gt;35,BY62+BX63-CG62,IF(A63&lt;'Données projet'!$A$114,$BV$205^A63,IF(A63='Données projet'!$A$114,'Données projet'!$B$114,BY62+BX63-CG62)))</f>
        <v>515.99999999999955</v>
      </c>
      <c r="BZ63" s="14">
        <f>BY63*VLOOKUP('Données projet'!$B$12,Paramètres!$A$1:$I$89,3,0)*VLOOKUP('Données projet'!$B$12,Paramètres!$A$1:$I$89,5,0)</f>
        <v>308.56799999999976</v>
      </c>
      <c r="CA63" s="14">
        <f t="shared" si="39"/>
        <v>72.969691037219874</v>
      </c>
      <c r="CB63" s="22">
        <f t="shared" si="10"/>
        <v>664.51147855649094</v>
      </c>
      <c r="CC63" s="62">
        <f t="shared" si="11"/>
        <v>957.84481188982431</v>
      </c>
      <c r="CD63" s="62">
        <f ca="1">AVERAGE(OFFSET($CC$3,0,0,'Données projet'!$E$12+1,1))-AVERAGE(OFFSET($H$3,0,0,'Données projet'!$E$12+1,1))</f>
        <v>288.65195492450403</v>
      </c>
      <c r="CE63" s="62">
        <f t="shared" si="40"/>
        <v>310.66800441693891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80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9.3950653052788258E-4</v>
      </c>
      <c r="CN63" s="24">
        <f t="shared" si="12"/>
        <v>9.3950653052788258E-4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22.6</v>
      </c>
      <c r="CT63" s="13">
        <f>IF('Données projet'!$A$140&gt;35,CT62+CS63-DB62,IF(A63&lt;'Données projet'!$A$140,$CQ$205^A63,IF(A63='Données projet'!$A$140,'Données projet'!$B$140,CT62+CS63-DB62)))</f>
        <v>964.59999999999968</v>
      </c>
      <c r="CU63" s="18">
        <f>CT63*VLOOKUP('Données projet'!$B$13,Paramètres!$A$1:$I$89,3,0)*VLOOKUP('Données projet'!$B$13,Paramètres!$A$1:$I$89,5,0)</f>
        <v>426.35319999999996</v>
      </c>
      <c r="CV63" s="14">
        <f t="shared" si="41"/>
        <v>97.099371507149129</v>
      </c>
      <c r="CW63" s="22">
        <f t="shared" si="13"/>
        <v>911.67989537495123</v>
      </c>
      <c r="CX63" s="62">
        <f t="shared" si="14"/>
        <v>1205.0132287082845</v>
      </c>
      <c r="CY63" s="62">
        <f ca="1">AVERAGE(OFFSET($CX$3,0,0,'Données projet'!$E$13+1,1))-AVERAGE(OFFSET($H$3,0,0,'Données projet'!$E$13+1,1))</f>
        <v>572.6451446653349</v>
      </c>
      <c r="CZ63" s="62">
        <f t="shared" si="42"/>
        <v>389.15977992931374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273</v>
      </c>
      <c r="DM63" s="13">
        <f>VLOOKUP(A63,'Données projet'!$A$165:$I$185,9,0)</f>
        <v>9.4</v>
      </c>
      <c r="DN63" s="13">
        <f t="array" ref="DN63">INDEX(DM:DM,MIN(IF(ISNUMBER(DM63:DM259),ROW(DM63:DM259),"")))</f>
        <v>9.4</v>
      </c>
      <c r="DO63" s="13">
        <f>IF('Données projet'!$A$166&gt;35,DO62+DN63-DW62,IF(A63&lt;'Données projet'!$A$166,$DL$205^A63,IF(A63='Données projet'!$A$166,'Données projet'!$B$166,DO62+DN63-DW62)))</f>
        <v>272.99999999999994</v>
      </c>
      <c r="DP63" s="18">
        <f>DO63*VLOOKUP('Données projet'!$B$14,Paramètres!$A$1:$I$89,3,0)*VLOOKUP('Données projet'!$B$14,Paramètres!$A$1:$I$89,5,0)</f>
        <v>229.9752</v>
      </c>
      <c r="DQ63" s="14">
        <f t="shared" si="43"/>
        <v>56.277319157664316</v>
      </c>
      <c r="DR63" s="22">
        <f t="shared" si="16"/>
        <v>498.55647086626527</v>
      </c>
      <c r="DS63" s="62">
        <f t="shared" si="17"/>
        <v>791.88980419959853</v>
      </c>
      <c r="DT63" s="62">
        <f ca="1">AVERAGE(OFFSET($DS$3,0,0,'Données projet'!$E$14+1,1))-AVERAGE(OFFSET($H$3,0,0,'Données projet'!$E$14+1,1))</f>
        <v>383.83934938682984</v>
      </c>
      <c r="DU63" s="62">
        <f t="shared" si="44"/>
        <v>223.93106361972281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332.44995870249011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2">
        <f t="shared" si="0"/>
        <v>844.78361837999637</v>
      </c>
      <c r="S64" s="62">
        <f ca="1">AVERAGE(OFFSET($R$3,0,0,'Données projet'!$E$9+1,1))-AVERAGE(OFFSET($H$3,0,0,'Données projet'!$E$9+1,1))</f>
        <v>415.89259563928869</v>
      </c>
      <c r="T64" s="62">
        <f t="shared" si="34"/>
        <v>240.19413322685813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4.4000000000000004</v>
      </c>
      <c r="AI64" s="14">
        <f>IF('Données projet'!$A$62&gt;35,AI63+AH64-AQ63,IF(A64&lt;'Données projet'!$A$62,$AF$205^A64,IF(A64='Données projet'!$A$62,'Données projet'!$B$62,AI63+AH64-AQ63)))</f>
        <v>237.39999999999986</v>
      </c>
      <c r="AJ64" s="14">
        <f>AI64*VLOOKUP('Données projet'!$B$10,Paramètres!$A$1:$I$89,3,0)*VLOOKUP('Données projet'!$B$10,Paramètres!$A$1:$I$89,5,0)</f>
        <v>155.54447999999991</v>
      </c>
      <c r="AK64" s="14">
        <f t="shared" si="35"/>
        <v>39.835914576715666</v>
      </c>
      <c r="AL64" s="22">
        <f t="shared" si="4"/>
        <v>340.28752055444625</v>
      </c>
      <c r="AM64" s="62">
        <f t="shared" si="5"/>
        <v>633.6208538877795</v>
      </c>
      <c r="AN64" s="62">
        <f ca="1">AVERAGE(OFFSET($AM$3,0,0,'Données projet'!$E$10+1,1))-AVERAGE(OFFSET($H$3,0,0,'Données projet'!$E$10+1,1))</f>
        <v>214.08705070588002</v>
      </c>
      <c r="AO64" s="62">
        <f t="shared" si="36"/>
        <v>251.33527585147152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13</v>
      </c>
      <c r="BD64" s="13">
        <f>IF('Données projet'!$A$88&gt;35,BD63+BC64-BL63,IF(A64&lt;'Données projet'!$A$88,$BA$205^A64,IF(A64='Données projet'!$A$88,'Données projet'!$B$88,BD63+BC64-BL63)))</f>
        <v>425.99999999999994</v>
      </c>
      <c r="BE64" s="14">
        <f>BD64*VLOOKUP('Données projet'!$B$11,Paramètres!$A$1:$I$89,3,0)*VLOOKUP('Données projet'!$B$11,Paramètres!$A$1:$I$89,5,0)</f>
        <v>243.67199999999997</v>
      </c>
      <c r="BF64" s="14">
        <f t="shared" si="37"/>
        <v>59.228879636606152</v>
      </c>
      <c r="BG64" s="22">
        <f t="shared" si="7"/>
        <v>527.55236536708901</v>
      </c>
      <c r="BH64" s="62">
        <f t="shared" si="8"/>
        <v>820.88569870042238</v>
      </c>
      <c r="BI64" s="62">
        <f ca="1">AVERAGE(OFFSET($BH$3,0,0,'Données projet'!$E$11+1,1))-AVERAGE(OFFSET($H$3,0,0,'Données projet'!$E$11+1,1))</f>
        <v>239.41486198585676</v>
      </c>
      <c r="BJ64" s="62">
        <f t="shared" si="38"/>
        <v>224.9174498508774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6.6704542552943182E-5</v>
      </c>
      <c r="BS64" s="24">
        <f t="shared" si="9"/>
        <v>6.6704542552943182E-5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23.8</v>
      </c>
      <c r="BY64" s="13">
        <f>IF('Données projet'!$A$114&gt;35,BY63+BX64-CG63,IF(A64&lt;'Données projet'!$A$114,$BV$205^A64,IF(A64='Données projet'!$A$114,'Données projet'!$B$114,BY63+BX64-CG63)))</f>
        <v>459.7999999999995</v>
      </c>
      <c r="BZ64" s="14">
        <f>BY64*VLOOKUP('Données projet'!$B$12,Paramètres!$A$1:$I$89,3,0)*VLOOKUP('Données projet'!$B$12,Paramètres!$A$1:$I$89,5,0)</f>
        <v>274.96039999999971</v>
      </c>
      <c r="CA64" s="14">
        <f t="shared" si="39"/>
        <v>65.900873367131126</v>
      </c>
      <c r="CB64" s="22">
        <f t="shared" si="10"/>
        <v>593.66671778108605</v>
      </c>
      <c r="CC64" s="62">
        <f t="shared" si="11"/>
        <v>887.00005111441942</v>
      </c>
      <c r="CD64" s="62">
        <f ca="1">AVERAGE(OFFSET($CC$3,0,0,'Données projet'!$E$12+1,1))-AVERAGE(OFFSET($H$3,0,0,'Données projet'!$E$12+1,1))</f>
        <v>288.65195492450403</v>
      </c>
      <c r="CE64" s="62">
        <f t="shared" si="40"/>
        <v>310.66800441693891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6.6433143870531198E-4</v>
      </c>
      <c r="CN64" s="24">
        <f t="shared" si="12"/>
        <v>6.6433143870531198E-4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22.6</v>
      </c>
      <c r="CT64" s="13">
        <f>IF('Données projet'!$A$140&gt;35,CT63+CS64-DB63,IF(A64&lt;'Données projet'!$A$140,$CQ$205^A64,IF(A64='Données projet'!$A$140,'Données projet'!$B$140,CT63+CS64-DB63)))</f>
        <v>987.1999999999997</v>
      </c>
      <c r="CU64" s="18">
        <f>CT64*VLOOKUP('Données projet'!$B$13,Paramètres!$A$1:$I$89,3,0)*VLOOKUP('Données projet'!$B$13,Paramètres!$A$1:$I$89,5,0)</f>
        <v>436.34239999999988</v>
      </c>
      <c r="CV64" s="14">
        <f t="shared" si="41"/>
        <v>99.106826469416248</v>
      </c>
      <c r="CW64" s="22">
        <f t="shared" si="13"/>
        <v>932.57406943423291</v>
      </c>
      <c r="CX64" s="62">
        <f t="shared" si="14"/>
        <v>1225.9074027675663</v>
      </c>
      <c r="CY64" s="62">
        <f ca="1">AVERAGE(OFFSET($CX$3,0,0,'Données projet'!$E$13+1,1))-AVERAGE(OFFSET($H$3,0,0,'Données projet'!$E$13+1,1))</f>
        <v>572.6451446653349</v>
      </c>
      <c r="CZ64" s="62">
        <f t="shared" si="42"/>
        <v>389.15977992931374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8.8000000000000007</v>
      </c>
      <c r="DO64" s="13">
        <f>IF('Données projet'!$A$166&gt;35,DO63+DN64-DW63,IF(A64&lt;'Données projet'!$A$166,$DL$205^A64,IF(A64='Données projet'!$A$166,'Données projet'!$B$166,DO63+DN64-DW63)))</f>
        <v>281.79999999999995</v>
      </c>
      <c r="DP64" s="18">
        <f>DO64*VLOOKUP('Données projet'!$B$14,Paramètres!$A$1:$I$89,3,0)*VLOOKUP('Données projet'!$B$14,Paramètres!$A$1:$I$89,5,0)</f>
        <v>237.38831999999999</v>
      </c>
      <c r="DQ64" s="14">
        <f t="shared" si="43"/>
        <v>57.877257478787087</v>
      </c>
      <c r="DR64" s="22">
        <f t="shared" si="16"/>
        <v>514.25421410888737</v>
      </c>
      <c r="DS64" s="62">
        <f t="shared" si="17"/>
        <v>807.58754744222074</v>
      </c>
      <c r="DT64" s="62">
        <f ca="1">AVERAGE(OFFSET($DS$3,0,0,'Données projet'!$E$14+1,1))-AVERAGE(OFFSET($H$3,0,0,'Données projet'!$E$14+1,1))</f>
        <v>383.83934938682984</v>
      </c>
      <c r="DU64" s="62">
        <f t="shared" si="44"/>
        <v>223.93106361972281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333.65814472722889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2">
        <f t="shared" si="0"/>
        <v>861.60859430939536</v>
      </c>
      <c r="S65" s="62">
        <f ca="1">AVERAGE(OFFSET($R$3,0,0,'Données projet'!$E$9+1,1))-AVERAGE(OFFSET($H$3,0,0,'Données projet'!$E$9+1,1))</f>
        <v>415.89259563928869</v>
      </c>
      <c r="T65" s="62">
        <f t="shared" si="34"/>
        <v>240.19413322685813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4.4000000000000004</v>
      </c>
      <c r="AI65" s="14">
        <f>IF('Données projet'!$A$62&gt;35,AI64+AH65-AQ64,IF(A65&lt;'Données projet'!$A$62,$AF$205^A65,IF(A65='Données projet'!$A$62,'Données projet'!$B$62,AI64+AH65-AQ64)))</f>
        <v>241.79999999999987</v>
      </c>
      <c r="AJ65" s="14">
        <f>AI65*VLOOKUP('Données projet'!$B$10,Paramètres!$A$1:$I$89,3,0)*VLOOKUP('Données projet'!$B$10,Paramètres!$A$1:$I$89,5,0)</f>
        <v>158.42735999999991</v>
      </c>
      <c r="AK65" s="14">
        <f t="shared" si="35"/>
        <v>40.487598405868212</v>
      </c>
      <c r="AL65" s="22">
        <f t="shared" si="4"/>
        <v>346.44355255688691</v>
      </c>
      <c r="AM65" s="62">
        <f t="shared" si="5"/>
        <v>639.77688589022023</v>
      </c>
      <c r="AN65" s="62">
        <f ca="1">AVERAGE(OFFSET($AM$3,0,0,'Données projet'!$E$10+1,1))-AVERAGE(OFFSET($H$3,0,0,'Données projet'!$E$10+1,1))</f>
        <v>214.08705070588002</v>
      </c>
      <c r="AO65" s="62">
        <f t="shared" si="36"/>
        <v>251.33527585147152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13</v>
      </c>
      <c r="BD65" s="13">
        <f>IF('Données projet'!$A$88&gt;35,BD64+BC65-BL64,IF(A65&lt;'Données projet'!$A$88,$BA$205^A65,IF(A65='Données projet'!$A$88,'Données projet'!$B$88,BD64+BC65-BL64)))</f>
        <v>438.99999999999994</v>
      </c>
      <c r="BE65" s="14">
        <f>BD65*VLOOKUP('Données projet'!$B$11,Paramètres!$A$1:$I$89,3,0)*VLOOKUP('Données projet'!$B$11,Paramètres!$A$1:$I$89,5,0)</f>
        <v>251.10799999999998</v>
      </c>
      <c r="BF65" s="14">
        <f t="shared" si="37"/>
        <v>60.823141277116555</v>
      </c>
      <c r="BG65" s="22">
        <f t="shared" si="7"/>
        <v>543.2800710576447</v>
      </c>
      <c r="BH65" s="62">
        <f t="shared" si="8"/>
        <v>836.61340439097808</v>
      </c>
      <c r="BI65" s="62">
        <f ca="1">AVERAGE(OFFSET($BH$3,0,0,'Données projet'!$E$11+1,1))-AVERAGE(OFFSET($H$3,0,0,'Données projet'!$E$11+1,1))</f>
        <v>239.41486198585676</v>
      </c>
      <c r="BJ65" s="62">
        <f t="shared" si="38"/>
        <v>224.9174498508774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4.7167234375132743E-5</v>
      </c>
      <c r="BS65" s="24">
        <f t="shared" si="9"/>
        <v>4.7167234375132743E-5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23.8</v>
      </c>
      <c r="BY65" s="13">
        <f>IF('Données projet'!$A$114&gt;35,BY64+BX65-CG64,IF(A65&lt;'Données projet'!$A$114,$BV$205^A65,IF(A65='Données projet'!$A$114,'Données projet'!$B$114,BY64+BX65-CG64)))</f>
        <v>483.59999999999951</v>
      </c>
      <c r="BZ65" s="14">
        <f>BY65*VLOOKUP('Données projet'!$B$12,Paramètres!$A$1:$I$89,3,0)*VLOOKUP('Données projet'!$B$12,Paramètres!$A$1:$I$89,5,0)</f>
        <v>289.19279999999975</v>
      </c>
      <c r="CA65" s="14">
        <f t="shared" si="39"/>
        <v>68.906044268306232</v>
      </c>
      <c r="CB65" s="22">
        <f t="shared" si="10"/>
        <v>623.68882043396627</v>
      </c>
      <c r="CC65" s="62">
        <f t="shared" si="11"/>
        <v>917.02215376729964</v>
      </c>
      <c r="CD65" s="62">
        <f ca="1">AVERAGE(OFFSET($CC$3,0,0,'Données projet'!$E$12+1,1))-AVERAGE(OFFSET($H$3,0,0,'Données projet'!$E$12+1,1))</f>
        <v>288.65195492450403</v>
      </c>
      <c r="CE65" s="62">
        <f t="shared" si="40"/>
        <v>310.66800441693891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4.697532652639414E-4</v>
      </c>
      <c r="CN65" s="24">
        <f t="shared" si="12"/>
        <v>4.697532652639414E-4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22.6</v>
      </c>
      <c r="CT65" s="13">
        <f>IF('Données projet'!$A$140&gt;35,CT64+CS65-DB64,IF(A65&lt;'Données projet'!$A$140,$CQ$205^A65,IF(A65='Données projet'!$A$140,'Données projet'!$B$140,CT64+CS65-DB64)))</f>
        <v>1009.7999999999997</v>
      </c>
      <c r="CU65" s="18">
        <f>CT65*VLOOKUP('Données projet'!$B$13,Paramètres!$A$1:$I$89,3,0)*VLOOKUP('Données projet'!$B$13,Paramètres!$A$1:$I$89,5,0)</f>
        <v>446.33159999999992</v>
      </c>
      <c r="CV65" s="14">
        <f t="shared" si="41"/>
        <v>101.10893869629517</v>
      </c>
      <c r="CW65" s="22">
        <f t="shared" si="13"/>
        <v>953.45893822938058</v>
      </c>
      <c r="CX65" s="62">
        <f t="shared" si="14"/>
        <v>1246.7922715627139</v>
      </c>
      <c r="CY65" s="62">
        <f ca="1">AVERAGE(OFFSET($CX$3,0,0,'Données projet'!$E$13+1,1))-AVERAGE(OFFSET($H$3,0,0,'Données projet'!$E$13+1,1))</f>
        <v>572.6451446653349</v>
      </c>
      <c r="CZ65" s="62">
        <f t="shared" si="42"/>
        <v>389.15977992931374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8.8000000000000007</v>
      </c>
      <c r="DO65" s="13">
        <f>IF('Données projet'!$A$166&gt;35,DO64+DN65-DW64,IF(A65&lt;'Données projet'!$A$166,$DL$205^A65,IF(A65='Données projet'!$A$166,'Données projet'!$B$166,DO64+DN65-DW64)))</f>
        <v>290.59999999999997</v>
      </c>
      <c r="DP65" s="18">
        <f>DO65*VLOOKUP('Données projet'!$B$14,Paramètres!$A$1:$I$89,3,0)*VLOOKUP('Données projet'!$B$14,Paramètres!$A$1:$I$89,5,0)</f>
        <v>244.80143999999999</v>
      </c>
      <c r="DQ65" s="14">
        <f t="shared" si="43"/>
        <v>59.471389714596519</v>
      </c>
      <c r="DR65" s="22">
        <f t="shared" si="16"/>
        <v>529.94184508625551</v>
      </c>
      <c r="DS65" s="62">
        <f t="shared" si="17"/>
        <v>823.27517841958888</v>
      </c>
      <c r="DT65" s="62">
        <f ca="1">AVERAGE(OFFSET($DS$3,0,0,'Données projet'!$E$14+1,1))-AVERAGE(OFFSET($H$3,0,0,'Données projet'!$E$14+1,1))</f>
        <v>383.83934938682984</v>
      </c>
      <c r="DU65" s="62">
        <f t="shared" si="44"/>
        <v>223.93106361972281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334.86584824301428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2">
        <f t="shared" si="0"/>
        <v>878.42316250379099</v>
      </c>
      <c r="S66" s="62">
        <f ca="1">AVERAGE(OFFSET($R$3,0,0,'Données projet'!$E$9+1,1))-AVERAGE(OFFSET($H$3,0,0,'Données projet'!$E$9+1,1))</f>
        <v>415.89259563928869</v>
      </c>
      <c r="T66" s="62">
        <f t="shared" si="34"/>
        <v>240.19413322685813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4.4000000000000004</v>
      </c>
      <c r="AI66" s="14">
        <f>IF('Données projet'!$A$62&gt;35,AI65+AH66-AQ65,IF(A66&lt;'Données projet'!$A$62,$AF$205^A66,IF(A66='Données projet'!$A$62,'Données projet'!$B$62,AI65+AH66-AQ65)))</f>
        <v>246.19999999999987</v>
      </c>
      <c r="AJ66" s="14">
        <f>AI66*VLOOKUP('Données projet'!$B$10,Paramètres!$A$1:$I$89,3,0)*VLOOKUP('Données projet'!$B$10,Paramètres!$A$1:$I$89,5,0)</f>
        <v>161.31023999999991</v>
      </c>
      <c r="AK66" s="14">
        <f t="shared" si="35"/>
        <v>41.137903274661063</v>
      </c>
      <c r="AL66" s="22">
        <f t="shared" si="4"/>
        <v>352.59718287003449</v>
      </c>
      <c r="AM66" s="62">
        <f t="shared" si="5"/>
        <v>645.9305162033678</v>
      </c>
      <c r="AN66" s="62">
        <f ca="1">AVERAGE(OFFSET($AM$3,0,0,'Données projet'!$E$10+1,1))-AVERAGE(OFFSET($H$3,0,0,'Données projet'!$E$10+1,1))</f>
        <v>214.08705070588002</v>
      </c>
      <c r="AO66" s="62">
        <f t="shared" si="36"/>
        <v>251.33527585147152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13</v>
      </c>
      <c r="BD66" s="13">
        <f>IF('Données projet'!$A$88&gt;35,BD65+BC66-BL65,IF(A66&lt;'Données projet'!$A$88,$BA$205^A66,IF(A66='Données projet'!$A$88,'Données projet'!$B$88,BD65+BC66-BL65)))</f>
        <v>451.99999999999994</v>
      </c>
      <c r="BE66" s="14">
        <f>BD66*VLOOKUP('Données projet'!$B$11,Paramètres!$A$1:$I$89,3,0)*VLOOKUP('Données projet'!$B$11,Paramètres!$A$1:$I$89,5,0)</f>
        <v>258.54399999999998</v>
      </c>
      <c r="BF66" s="14">
        <f t="shared" si="37"/>
        <v>62.411916230382509</v>
      </c>
      <c r="BG66" s="22">
        <f t="shared" si="7"/>
        <v>558.99822076791611</v>
      </c>
      <c r="BH66" s="62">
        <f t="shared" si="8"/>
        <v>852.33155410124937</v>
      </c>
      <c r="BI66" s="62">
        <f ca="1">AVERAGE(OFFSET($BH$3,0,0,'Données projet'!$E$11+1,1))-AVERAGE(OFFSET($H$3,0,0,'Données projet'!$E$11+1,1))</f>
        <v>239.41486198585676</v>
      </c>
      <c r="BJ66" s="62">
        <f t="shared" si="38"/>
        <v>224.9174498508774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3.3352271276471591E-5</v>
      </c>
      <c r="BS66" s="24">
        <f t="shared" si="9"/>
        <v>3.3352271276471591E-5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23.8</v>
      </c>
      <c r="BY66" s="13">
        <f>IF('Données projet'!$A$114&gt;35,BY65+BX66-CG65,IF(A66&lt;'Données projet'!$A$114,$BV$205^A66,IF(A66='Données projet'!$A$114,'Données projet'!$B$114,BY65+BX66-CG65)))</f>
        <v>507.39999999999952</v>
      </c>
      <c r="BZ66" s="14">
        <f>BY66*VLOOKUP('Données projet'!$B$12,Paramètres!$A$1:$I$89,3,0)*VLOOKUP('Données projet'!$B$12,Paramètres!$A$1:$I$89,5,0)</f>
        <v>303.42519999999973</v>
      </c>
      <c r="CA66" s="14">
        <f t="shared" si="39"/>
        <v>71.89404183566603</v>
      </c>
      <c r="CB66" s="22">
        <f t="shared" si="10"/>
        <v>653.68101286378453</v>
      </c>
      <c r="CC66" s="62">
        <f t="shared" si="11"/>
        <v>947.0143461971179</v>
      </c>
      <c r="CD66" s="62">
        <f ca="1">AVERAGE(OFFSET($CC$3,0,0,'Données projet'!$E$12+1,1))-AVERAGE(OFFSET($H$3,0,0,'Données projet'!$E$12+1,1))</f>
        <v>288.65195492450403</v>
      </c>
      <c r="CE66" s="62">
        <f t="shared" si="40"/>
        <v>310.66800441693891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3.3216571935265604E-4</v>
      </c>
      <c r="CN66" s="24">
        <f t="shared" si="12"/>
        <v>3.3216571935265604E-4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22.6</v>
      </c>
      <c r="CT66" s="13">
        <f>IF('Données projet'!$A$140&gt;35,CT65+CS66-DB65,IF(A66&lt;'Données projet'!$A$140,$CQ$205^A66,IF(A66='Données projet'!$A$140,'Données projet'!$B$140,CT65+CS66-DB65)))</f>
        <v>1032.3999999999996</v>
      </c>
      <c r="CU66" s="18">
        <f>CT66*VLOOKUP('Données projet'!$B$13,Paramètres!$A$1:$I$89,3,0)*VLOOKUP('Données projet'!$B$13,Paramètres!$A$1:$I$89,5,0)</f>
        <v>456.32079999999991</v>
      </c>
      <c r="CV66" s="14">
        <f t="shared" si="41"/>
        <v>103.10584152895463</v>
      </c>
      <c r="CW66" s="22">
        <f t="shared" si="13"/>
        <v>974.33473399626234</v>
      </c>
      <c r="CX66" s="62">
        <f t="shared" si="14"/>
        <v>1267.6680673295957</v>
      </c>
      <c r="CY66" s="62">
        <f ca="1">AVERAGE(OFFSET($CX$3,0,0,'Données projet'!$E$13+1,1))-AVERAGE(OFFSET($H$3,0,0,'Données projet'!$E$13+1,1))</f>
        <v>572.6451446653349</v>
      </c>
      <c r="CZ66" s="62">
        <f t="shared" si="42"/>
        <v>389.15977992931374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8.8000000000000007</v>
      </c>
      <c r="DO66" s="13">
        <f>IF('Données projet'!$A$166&gt;35,DO65+DN66-DW65,IF(A66&lt;'Données projet'!$A$166,$DL$205^A66,IF(A66='Données projet'!$A$166,'Données projet'!$B$166,DO65+DN66-DW65)))</f>
        <v>299.39999999999998</v>
      </c>
      <c r="DP66" s="18">
        <f>DO66*VLOOKUP('Données projet'!$B$14,Paramètres!$A$1:$I$89,3,0)*VLOOKUP('Données projet'!$B$14,Paramètres!$A$1:$I$89,5,0)</f>
        <v>252.21455999999998</v>
      </c>
      <c r="DQ66" s="14">
        <f t="shared" si="43"/>
        <v>61.059911866756252</v>
      </c>
      <c r="DR66" s="22">
        <f t="shared" si="16"/>
        <v>545.61970516793383</v>
      </c>
      <c r="DS66" s="62">
        <f t="shared" si="17"/>
        <v>838.9530385012672</v>
      </c>
      <c r="DT66" s="62">
        <f ca="1">AVERAGE(OFFSET($DS$3,0,0,'Données projet'!$E$14+1,1))-AVERAGE(OFFSET($H$3,0,0,'Données projet'!$E$14+1,1))</f>
        <v>383.83934938682984</v>
      </c>
      <c r="DU66" s="62">
        <f t="shared" si="44"/>
        <v>223.93106361972281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336.07307779303983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2">
        <f t="shared" ref="R67:R130" si="55">Q67+(I67+J67)*44/12</f>
        <v>895.22766399195029</v>
      </c>
      <c r="S67" s="62">
        <f ca="1">AVERAGE(OFFSET($R$3,0,0,'Données projet'!$E$9+1,1))-AVERAGE(OFFSET($H$3,0,0,'Données projet'!$E$9+1,1))</f>
        <v>415.89259563928869</v>
      </c>
      <c r="T67" s="62">
        <f t="shared" si="34"/>
        <v>240.19413322685813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4.4000000000000004</v>
      </c>
      <c r="AI67" s="14">
        <f>IF('Données projet'!$A$62&gt;35,AI66+AH67-AQ66,IF(A67&lt;'Données projet'!$A$62,$AF$205^A67,IF(A67='Données projet'!$A$62,'Données projet'!$B$62,AI66+AH67-AQ66)))</f>
        <v>250.59999999999988</v>
      </c>
      <c r="AJ67" s="14">
        <f>AI67*VLOOKUP('Données projet'!$B$10,Paramètres!$A$1:$I$89,3,0)*VLOOKUP('Données projet'!$B$10,Paramètres!$A$1:$I$89,5,0)</f>
        <v>164.19311999999994</v>
      </c>
      <c r="AK67" s="14">
        <f t="shared" si="35"/>
        <v>41.786856670339013</v>
      </c>
      <c r="AL67" s="22">
        <f t="shared" si="4"/>
        <v>358.748459367507</v>
      </c>
      <c r="AM67" s="62">
        <f t="shared" si="5"/>
        <v>652.08179270084031</v>
      </c>
      <c r="AN67" s="62">
        <f ca="1">AVERAGE(OFFSET($AM$3,0,0,'Données projet'!$E$10+1,1))-AVERAGE(OFFSET($H$3,0,0,'Données projet'!$E$10+1,1))</f>
        <v>214.08705070588002</v>
      </c>
      <c r="AO67" s="62">
        <f t="shared" si="36"/>
        <v>251.33527585147152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13</v>
      </c>
      <c r="BD67" s="13">
        <f>IF('Données projet'!$A$88&gt;35,BD66+BC67-BL66,IF(A67&lt;'Données projet'!$A$88,$BA$205^A67,IF(A67='Données projet'!$A$88,'Données projet'!$B$88,BD66+BC67-BL66)))</f>
        <v>464.99999999999994</v>
      </c>
      <c r="BE67" s="14">
        <f>BD67*VLOOKUP('Données projet'!$B$11,Paramètres!$A$1:$I$89,3,0)*VLOOKUP('Données projet'!$B$11,Paramètres!$A$1:$I$89,5,0)</f>
        <v>265.97999999999996</v>
      </c>
      <c r="BF67" s="14">
        <f t="shared" si="37"/>
        <v>63.995380422211589</v>
      </c>
      <c r="BG67" s="22">
        <f t="shared" si="7"/>
        <v>574.70712090201846</v>
      </c>
      <c r="BH67" s="62">
        <f t="shared" si="8"/>
        <v>868.04045423535172</v>
      </c>
      <c r="BI67" s="62">
        <f ca="1">AVERAGE(OFFSET($BH$3,0,0,'Données projet'!$E$11+1,1))-AVERAGE(OFFSET($H$3,0,0,'Données projet'!$E$11+1,1))</f>
        <v>239.41486198585676</v>
      </c>
      <c r="BJ67" s="62">
        <f t="shared" si="38"/>
        <v>224.9174498508774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2.3583617187566372E-5</v>
      </c>
      <c r="BS67" s="24">
        <f t="shared" si="9"/>
        <v>2.3583617187566372E-5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23.8</v>
      </c>
      <c r="BY67" s="13">
        <f>IF('Données projet'!$A$114&gt;35,BY66+BX67-CG66,IF(A67&lt;'Données projet'!$A$114,$BV$205^A67,IF(A67='Données projet'!$A$114,'Données projet'!$B$114,BY66+BX67-CG66)))</f>
        <v>531.19999999999948</v>
      </c>
      <c r="BZ67" s="14">
        <f>BY67*VLOOKUP('Données projet'!$B$12,Paramètres!$A$1:$I$89,3,0)*VLOOKUP('Données projet'!$B$12,Paramètres!$A$1:$I$89,5,0)</f>
        <v>317.65759999999972</v>
      </c>
      <c r="CA67" s="14">
        <f t="shared" si="39"/>
        <v>74.865763584117673</v>
      </c>
      <c r="CB67" s="22">
        <f t="shared" si="10"/>
        <v>683.64485824233782</v>
      </c>
      <c r="CC67" s="62">
        <f t="shared" si="11"/>
        <v>976.97819157567119</v>
      </c>
      <c r="CD67" s="62">
        <f ca="1">AVERAGE(OFFSET($CC$3,0,0,'Données projet'!$E$12+1,1))-AVERAGE(OFFSET($H$3,0,0,'Données projet'!$E$12+1,1))</f>
        <v>288.65195492450403</v>
      </c>
      <c r="CE67" s="62">
        <f t="shared" si="40"/>
        <v>310.66800441693891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2.3487663263197073E-4</v>
      </c>
      <c r="CN67" s="24">
        <f t="shared" si="12"/>
        <v>2.3487663263197073E-4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>
        <f>VLOOKUP(A67,'Données projet'!$A$139:$I$159,2,0)</f>
        <v>1055</v>
      </c>
      <c r="CR67" s="13">
        <f>VLOOKUP(A67,'Données projet'!$A$139:$I$159,9,0)</f>
        <v>22.6</v>
      </c>
      <c r="CS67" s="13">
        <f t="array" ref="CS67">INDEX(CR:CR,MIN(IF(ISNUMBER(CR67:CR263),ROW(CR67:CR263),"")))</f>
        <v>22.6</v>
      </c>
      <c r="CT67" s="13">
        <f>IF('Données projet'!$A$140&gt;35,CT66+CS67-DB66,IF(A67&lt;'Données projet'!$A$140,$CQ$205^A67,IF(A67='Données projet'!$A$140,'Données projet'!$B$140,CT66+CS67-DB66)))</f>
        <v>1054.9999999999995</v>
      </c>
      <c r="CU67" s="18">
        <f>CT67*VLOOKUP('Données projet'!$B$13,Paramètres!$A$1:$I$89,3,0)*VLOOKUP('Données projet'!$B$13,Paramètres!$A$1:$I$89,5,0)</f>
        <v>466.30999999999983</v>
      </c>
      <c r="CV67" s="14">
        <f t="shared" si="41"/>
        <v>105.0976621373085</v>
      </c>
      <c r="CW67" s="22">
        <f t="shared" si="13"/>
        <v>995.20167822247868</v>
      </c>
      <c r="CX67" s="62">
        <f t="shared" si="14"/>
        <v>1288.5350115558119</v>
      </c>
      <c r="CY67" s="62">
        <f ca="1">AVERAGE(OFFSET($CX$3,0,0,'Données projet'!$E$13+1,1))-AVERAGE(OFFSET($H$3,0,0,'Données projet'!$E$13+1,1))</f>
        <v>572.6451446653349</v>
      </c>
      <c r="CZ67" s="62">
        <f t="shared" si="42"/>
        <v>389.15977992931374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8.8000000000000007</v>
      </c>
      <c r="DO67" s="13">
        <f>IF('Données projet'!$A$166&gt;35,DO66+DN67-DW66,IF(A67&lt;'Données projet'!$A$166,$DL$205^A67,IF(A67='Données projet'!$A$166,'Données projet'!$B$166,DO66+DN67-DW66)))</f>
        <v>308.2</v>
      </c>
      <c r="DP67" s="18">
        <f>DO67*VLOOKUP('Données projet'!$B$14,Paramètres!$A$1:$I$89,3,0)*VLOOKUP('Données projet'!$B$14,Paramètres!$A$1:$I$89,5,0)</f>
        <v>259.62768</v>
      </c>
      <c r="DQ67" s="14">
        <f t="shared" si="43"/>
        <v>62.643007760076095</v>
      </c>
      <c r="DR67" s="22">
        <f t="shared" si="16"/>
        <v>561.28811451546585</v>
      </c>
      <c r="DS67" s="62">
        <f t="shared" si="17"/>
        <v>854.62144784879911</v>
      </c>
      <c r="DT67" s="62">
        <f ca="1">AVERAGE(OFFSET($DS$3,0,0,'Données projet'!$E$14+1,1))-AVERAGE(OFFSET($H$3,0,0,'Données projet'!$E$14+1,1))</f>
        <v>383.83934938682984</v>
      </c>
      <c r="DU67" s="62">
        <f t="shared" si="44"/>
        <v>223.93106361972281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337.27984163820884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2">
        <f t="shared" si="55"/>
        <v>912.02241922024541</v>
      </c>
      <c r="S68" s="62">
        <f ca="1">AVERAGE(OFFSET($R$3,0,0,'Données projet'!$E$9+1,1))-AVERAGE(OFFSET($H$3,0,0,'Données projet'!$E$9+1,1))</f>
        <v>415.89259563928869</v>
      </c>
      <c r="T68" s="62">
        <f t="shared" si="34"/>
        <v>240.19413322685813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255</v>
      </c>
      <c r="AG68" s="13">
        <f>VLOOKUP(A68,'Données projet'!$A$61:$I$81,9,0)</f>
        <v>4.4000000000000004</v>
      </c>
      <c r="AH68" s="13">
        <f t="array" ref="AH68">INDEX(AG:AG,MIN(IF(ISNUMBER(AG68:AG264),ROW(AG68:AG264),"")))</f>
        <v>4.4000000000000004</v>
      </c>
      <c r="AI68" s="14">
        <f>IF('Données projet'!$A$62&gt;35,AI67+AH68-AQ67,IF(A68&lt;'Données projet'!$A$62,$AF$205^A68,IF(A68='Données projet'!$A$62,'Données projet'!$B$62,AI67+AH68-AQ67)))</f>
        <v>254.99999999999989</v>
      </c>
      <c r="AJ68" s="14">
        <f>AI68*VLOOKUP('Données projet'!$B$10,Paramètres!$A$1:$I$89,3,0)*VLOOKUP('Données projet'!$B$10,Paramètres!$A$1:$I$89,5,0)</f>
        <v>167.07599999999994</v>
      </c>
      <c r="AK68" s="14">
        <f t="shared" si="35"/>
        <v>42.434485059621636</v>
      </c>
      <c r="AL68" s="22">
        <f t="shared" ref="AL68:AL131" si="58">(AJ68+AK68)*0.475*44/12</f>
        <v>364.89742814550755</v>
      </c>
      <c r="AM68" s="62">
        <f t="shared" ref="AM68:AM131" si="59">AL68+(AD68+AE68)*44/12</f>
        <v>658.2307614788408</v>
      </c>
      <c r="AN68" s="62">
        <f ca="1">AVERAGE(OFFSET($AM$3,0,0,'Données projet'!$E$10+1,1))-AVERAGE(OFFSET($H$3,0,0,'Données projet'!$E$10+1,1))</f>
        <v>214.08705070588002</v>
      </c>
      <c r="AO68" s="62">
        <f t="shared" si="36"/>
        <v>251.33527585147152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478</v>
      </c>
      <c r="BB68" s="13">
        <f>VLOOKUP(A68,'Données projet'!$A$87:$I$107,9,0)</f>
        <v>13</v>
      </c>
      <c r="BC68" s="13">
        <f t="array" ref="BC68">INDEX(BB:BB,MIN(IF(ISNUMBER(BB68:BB264),ROW(BB68:BB264),"")))</f>
        <v>13</v>
      </c>
      <c r="BD68" s="13">
        <f>IF('Données projet'!$A$88&gt;35,BD67+BC68-BL67,IF(A68&lt;'Données projet'!$A$88,$BA$205^A68,IF(A68='Données projet'!$A$88,'Données projet'!$B$88,BD67+BC68-BL67)))</f>
        <v>477.99999999999994</v>
      </c>
      <c r="BE68" s="14">
        <f>BD68*VLOOKUP('Données projet'!$B$11,Paramètres!$A$1:$I$89,3,0)*VLOOKUP('Données projet'!$B$11,Paramètres!$A$1:$I$89,5,0)</f>
        <v>273.41599999999994</v>
      </c>
      <c r="BF68" s="14">
        <f t="shared" si="37"/>
        <v>65.573699382025879</v>
      </c>
      <c r="BG68" s="22">
        <f t="shared" ref="BG68:BG131" si="61">(BE68+BF68)*0.475*44/12</f>
        <v>590.40705975702826</v>
      </c>
      <c r="BH68" s="62">
        <f t="shared" ref="BH68:BH131" si="62">BG68+(AY68+AZ68)*44/12</f>
        <v>883.74039309036152</v>
      </c>
      <c r="BI68" s="62">
        <f ca="1">AVERAGE(OFFSET($BH$3,0,0,'Données projet'!$E$11+1,1))-AVERAGE(OFFSET($H$3,0,0,'Données projet'!$E$11+1,1))</f>
        <v>239.41486198585676</v>
      </c>
      <c r="BJ68" s="62">
        <f t="shared" si="38"/>
        <v>224.9174498508774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478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1.6676135638235796E-5</v>
      </c>
      <c r="BS68" s="24">
        <f t="shared" ref="BS68:BS131" si="63">SUM(BP68:BR68)</f>
        <v>1.6676135638235796E-5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555</v>
      </c>
      <c r="BW68" s="13">
        <f>VLOOKUP(A68,'Données projet'!$A$113:$I$133,9,0)</f>
        <v>23.8</v>
      </c>
      <c r="BX68" s="13">
        <f t="array" ref="BX68">INDEX(BW:BW,MIN(IF(ISNUMBER(BW68:BW264),ROW(BW68:BW264),"")))</f>
        <v>23.8</v>
      </c>
      <c r="BY68" s="13">
        <f>IF('Données projet'!$A$114&gt;35,BY67+BX68-CG67,IF(A68&lt;'Données projet'!$A$114,$BV$205^A68,IF(A68='Données projet'!$A$114,'Données projet'!$B$114,BY67+BX68-CG67)))</f>
        <v>554.99999999999943</v>
      </c>
      <c r="BZ68" s="14">
        <f>BY68*VLOOKUP('Données projet'!$B$12,Paramètres!$A$1:$I$89,3,0)*VLOOKUP('Données projet'!$B$12,Paramètres!$A$1:$I$89,5,0)</f>
        <v>331.8899999999997</v>
      </c>
      <c r="CA68" s="14">
        <f t="shared" si="39"/>
        <v>77.822022056956115</v>
      </c>
      <c r="CB68" s="22">
        <f t="shared" ref="CB68:CB131" si="64">(BZ68+CA68)*0.475*44/12</f>
        <v>713.58177174919808</v>
      </c>
      <c r="CC68" s="62">
        <f t="shared" ref="CC68:CC131" si="65">CB68+(BT68+BU68)*44/12</f>
        <v>1006.9151050825315</v>
      </c>
      <c r="CD68" s="62">
        <f ca="1">AVERAGE(OFFSET($CC$3,0,0,'Données projet'!$E$12+1,1))-AVERAGE(OFFSET($H$3,0,0,'Données projet'!$E$12+1,1))</f>
        <v>288.65195492450403</v>
      </c>
      <c r="CE68" s="62">
        <f t="shared" si="40"/>
        <v>310.66800441693891</v>
      </c>
      <c r="CF68" s="16">
        <f>IF(ISNA(VLOOKUP(A68,'Données projet'!$A$113:$I$133,3,0)),0,VLOOKUP(A68,'Données projet'!$A$113:$I$133,3,0))</f>
        <v>6</v>
      </c>
      <c r="CG68" s="16">
        <f>IF(ISNA(VLOOKUP(A68,'Données projet'!$A$113:$I$133,4,0)),0,VLOOKUP(A68,'Données projet'!$A$113:$I$133,4,0))</f>
        <v>555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1.6608285967632805E-4</v>
      </c>
      <c r="CN68" s="24">
        <f t="shared" ref="CN68:CN131" si="66">SUM(CK68:CM68)</f>
        <v>1.6608285967632805E-4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19.2</v>
      </c>
      <c r="CT68" s="13">
        <f>IF('Données projet'!$A$140&gt;35,CT67+CS68-DB67,IF(A68&lt;'Données projet'!$A$140,$CQ$205^A68,IF(A68='Données projet'!$A$140,'Données projet'!$B$140,CT67+CS68-DB67)))</f>
        <v>1074.1999999999996</v>
      </c>
      <c r="CU68" s="18">
        <f>CT68*VLOOKUP('Données projet'!$B$13,Paramètres!$A$1:$I$89,3,0)*VLOOKUP('Données projet'!$B$13,Paramètres!$A$1:$I$89,5,0)</f>
        <v>474.79639999999989</v>
      </c>
      <c r="CV68" s="14">
        <f t="shared" si="41"/>
        <v>106.78592621065363</v>
      </c>
      <c r="CW68" s="22">
        <f t="shared" ref="CW68:CW131" si="67">(CU68+CV68)*0.475*44/12</f>
        <v>1012.9225514835547</v>
      </c>
      <c r="CX68" s="62">
        <f t="shared" ref="CX68:CX131" si="68">CW68+(CO68+CP68)*44/12</f>
        <v>1306.2558848168881</v>
      </c>
      <c r="CY68" s="62">
        <f ca="1">AVERAGE(OFFSET($CX$3,0,0,'Données projet'!$E$13+1,1))-AVERAGE(OFFSET($H$3,0,0,'Données projet'!$E$13+1,1))</f>
        <v>572.6451446653349</v>
      </c>
      <c r="CZ68" s="62">
        <f t="shared" si="42"/>
        <v>389.15977992931374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317</v>
      </c>
      <c r="DM68" s="13">
        <f>VLOOKUP(A68,'Données projet'!$A$165:$I$185,9,0)</f>
        <v>8.8000000000000007</v>
      </c>
      <c r="DN68" s="13">
        <f t="array" ref="DN68">INDEX(DM:DM,MIN(IF(ISNUMBER(DM68:DM264),ROW(DM68:DM264),"")))</f>
        <v>8.8000000000000007</v>
      </c>
      <c r="DO68" s="13">
        <f>IF('Données projet'!$A$166&gt;35,DO67+DN68-DW67,IF(A68&lt;'Données projet'!$A$166,$DL$205^A68,IF(A68='Données projet'!$A$166,'Données projet'!$B$166,DO67+DN68-DW67)))</f>
        <v>317</v>
      </c>
      <c r="DP68" s="18">
        <f>DO68*VLOOKUP('Données projet'!$B$14,Paramètres!$A$1:$I$89,3,0)*VLOOKUP('Données projet'!$B$14,Paramètres!$A$1:$I$89,5,0)</f>
        <v>267.04080000000005</v>
      </c>
      <c r="DQ68" s="14">
        <f t="shared" si="43"/>
        <v>64.220850124833518</v>
      </c>
      <c r="DR68" s="22">
        <f t="shared" ref="DR68:DR131" si="70">(DP68+DQ68)*0.475*44/12</f>
        <v>576.94737396741846</v>
      </c>
      <c r="DS68" s="62">
        <f t="shared" ref="DS68:DS131" si="71">DR68+(DJ68+DK68)*44/12</f>
        <v>870.28070730075183</v>
      </c>
      <c r="DT68" s="62">
        <f ca="1">AVERAGE(OFFSET($DS$3,0,0,'Données projet'!$E$14+1,1))-AVERAGE(OFFSET($H$3,0,0,'Données projet'!$E$14+1,1))</f>
        <v>383.83934938682984</v>
      </c>
      <c r="DU68" s="62">
        <f t="shared" si="44"/>
        <v>223.93106361972281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56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338.48614777065865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415.89259563928869</v>
      </c>
      <c r="T69" s="62">
        <f t="shared" ref="T69:T132" si="88">$T$3</f>
        <v>240.19413322685813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3.8</v>
      </c>
      <c r="AI69" s="14">
        <f>IF('Données projet'!$A$62&gt;35,AI68+AH69-AQ68,IF(A69&lt;'Données projet'!$A$62,$AF$205^A69,IF(A69='Données projet'!$A$62,'Données projet'!$B$62,AI68+AH69-AQ68)))</f>
        <v>258.7999999999999</v>
      </c>
      <c r="AJ69" s="14">
        <f>AI69*VLOOKUP('Données projet'!$B$10,Paramètres!$A$1:$I$89,3,0)*VLOOKUP('Données projet'!$B$10,Paramètres!$A$1:$I$89,5,0)</f>
        <v>169.56575999999993</v>
      </c>
      <c r="AK69" s="14">
        <f t="shared" ref="AK69:AK132" si="89">EXP(-1.0587+0.8836*LN(AJ69)+0.284)</f>
        <v>42.992753798524603</v>
      </c>
      <c r="AL69" s="22">
        <f t="shared" si="58"/>
        <v>370.20607819909691</v>
      </c>
      <c r="AM69" s="62">
        <f t="shared" si="59"/>
        <v>663.53941153243022</v>
      </c>
      <c r="AN69" s="62">
        <f ca="1">AVERAGE(OFFSET($AM$3,0,0,'Données projet'!$E$10+1,1))-AVERAGE(OFFSET($H$3,0,0,'Données projet'!$E$10+1,1))</f>
        <v>214.08705070588002</v>
      </c>
      <c r="AO69" s="62">
        <f t="shared" ref="AO69:AO132" si="90">$AO$3</f>
        <v>251.33527585147152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-5.6843418860808015E-14</v>
      </c>
      <c r="BE69" s="14">
        <f>BD69*VLOOKUP('Données projet'!$B$11,Paramètres!$A$1:$I$89,3,0)*VLOOKUP('Données projet'!$B$11,Paramètres!$A$1:$I$89,5,0)</f>
        <v>-3.2514435588382188E-14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239.41486198585676</v>
      </c>
      <c r="BJ69" s="62">
        <f t="shared" ref="BJ69:BJ132" si="92">$BJ$3</f>
        <v>224.9174498508774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1.1791808593783186E-5</v>
      </c>
      <c r="BS69" s="24">
        <f t="shared" si="63"/>
        <v>1.1791808593783186E-5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-5.6843418860808015E-13</v>
      </c>
      <c r="BZ69" s="14">
        <f>BY69*VLOOKUP('Données projet'!$B$12,Paramètres!$A$1:$I$89,3,0)*VLOOKUP('Données projet'!$B$12,Paramètres!$A$1:$I$89,5,0)</f>
        <v>-3.39923644787632E-13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288.65195492450403</v>
      </c>
      <c r="CE69" s="62">
        <f t="shared" ref="CE69:CE132" si="94">$CE$3</f>
        <v>310.66800441693891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1.1743831631598538E-4</v>
      </c>
      <c r="CN69" s="24">
        <f t="shared" si="66"/>
        <v>1.1743831631598538E-4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19.2</v>
      </c>
      <c r="CT69" s="13">
        <f>IF('Données projet'!$A$140&gt;35,CT68+CS69-DB68,IF(A69&lt;'Données projet'!$A$140,$CQ$205^A69,IF(A69='Données projet'!$A$140,'Données projet'!$B$140,CT68+CS69-DB68)))</f>
        <v>1093.3999999999996</v>
      </c>
      <c r="CU69" s="18">
        <f>CT69*VLOOKUP('Données projet'!$B$13,Paramètres!$A$1:$I$89,3,0)*VLOOKUP('Données projet'!$B$13,Paramètres!$A$1:$I$89,5,0)</f>
        <v>483.2827999999999</v>
      </c>
      <c r="CV69" s="14">
        <f t="shared" ref="CV69:CV132" si="95">EXP(-1.0587+0.8836*LN(CU69)+0.284)</f>
        <v>108.47068129352783</v>
      </c>
      <c r="CW69" s="22">
        <f t="shared" si="67"/>
        <v>1030.637313252894</v>
      </c>
      <c r="CX69" s="62">
        <f t="shared" si="68"/>
        <v>1323.9706465862273</v>
      </c>
      <c r="CY69" s="62">
        <f ca="1">AVERAGE(OFFSET($CX$3,0,0,'Données projet'!$E$13+1,1))-AVERAGE(OFFSET($H$3,0,0,'Données projet'!$E$13+1,1))</f>
        <v>572.6451446653349</v>
      </c>
      <c r="CZ69" s="62">
        <f t="shared" ref="CZ69:CZ132" si="96">$CZ$3</f>
        <v>389.15977992931374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8.1999999999999993</v>
      </c>
      <c r="DO69" s="13">
        <f>IF('Données projet'!$A$166&gt;35,DO68+DN69-DW68,IF(A69&lt;'Données projet'!$A$166,$DL$205^A69,IF(A69='Données projet'!$A$166,'Données projet'!$B$166,DO68+DN69-DW68)))</f>
        <v>269.2</v>
      </c>
      <c r="DP69" s="18">
        <f>DO69*VLOOKUP('Données projet'!$B$14,Paramètres!$A$1:$I$89,3,0)*VLOOKUP('Données projet'!$B$14,Paramètres!$A$1:$I$89,5,0)</f>
        <v>226.77408</v>
      </c>
      <c r="DQ69" s="14">
        <f t="shared" ref="DQ69:DQ132" si="97">EXP(-1.0587+0.8836*LN(DP69)+0.284)</f>
        <v>55.584589827360034</v>
      </c>
      <c r="DR69" s="22">
        <f t="shared" si="70"/>
        <v>491.77468328265195</v>
      </c>
      <c r="DS69" s="62">
        <f t="shared" si="71"/>
        <v>785.10801661598521</v>
      </c>
      <c r="DT69" s="62">
        <f ca="1">AVERAGE(OFFSET($DS$3,0,0,'Données projet'!$E$14+1,1))-AVERAGE(OFFSET($H$3,0,0,'Données projet'!$E$14+1,1))</f>
        <v>383.83934938682984</v>
      </c>
      <c r="DU69" s="62">
        <f t="shared" ref="DU69:DU132" si="98">$DU$3</f>
        <v>223.93106361972281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339.69200392644217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415.89259563928869</v>
      </c>
      <c r="T70" s="62">
        <f t="shared" si="88"/>
        <v>240.19413322685813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3.8</v>
      </c>
      <c r="AI70" s="14">
        <f>IF('Données projet'!$A$62&gt;35,AI69+AH70-AQ69,IF(A70&lt;'Données projet'!$A$62,$AF$205^A70,IF(A70='Données projet'!$A$62,'Données projet'!$B$62,AI69+AH70-AQ69)))</f>
        <v>262.59999999999991</v>
      </c>
      <c r="AJ70" s="14">
        <f>AI70*VLOOKUP('Données projet'!$B$10,Paramètres!$A$1:$I$89,3,0)*VLOOKUP('Données projet'!$B$10,Paramètres!$A$1:$I$89,5,0)</f>
        <v>172.05551999999994</v>
      </c>
      <c r="AK70" s="14">
        <f t="shared" si="89"/>
        <v>43.550069168402835</v>
      </c>
      <c r="AL70" s="22">
        <f t="shared" si="58"/>
        <v>375.51306780163486</v>
      </c>
      <c r="AM70" s="62">
        <f t="shared" si="59"/>
        <v>668.84640113496812</v>
      </c>
      <c r="AN70" s="62">
        <f ca="1">AVERAGE(OFFSET($AM$3,0,0,'Données projet'!$E$10+1,1))-AVERAGE(OFFSET($H$3,0,0,'Données projet'!$E$10+1,1))</f>
        <v>214.08705070588002</v>
      </c>
      <c r="AO70" s="62">
        <f t="shared" si="90"/>
        <v>251.33527585147152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-5.6843418860808015E-14</v>
      </c>
      <c r="BE70" s="14">
        <f>BD70*VLOOKUP('Données projet'!$B$11,Paramètres!$A$1:$I$89,3,0)*VLOOKUP('Données projet'!$B$11,Paramètres!$A$1:$I$89,5,0)</f>
        <v>-3.2514435588382188E-14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239.41486198585676</v>
      </c>
      <c r="BJ70" s="62">
        <f t="shared" si="92"/>
        <v>224.9174498508774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8.3380678191178978E-6</v>
      </c>
      <c r="BS70" s="24">
        <f t="shared" si="63"/>
        <v>8.3380678191178978E-6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-5.6843418860808015E-13</v>
      </c>
      <c r="BZ70" s="14">
        <f>BY70*VLOOKUP('Données projet'!$B$12,Paramètres!$A$1:$I$89,3,0)*VLOOKUP('Données projet'!$B$12,Paramètres!$A$1:$I$89,5,0)</f>
        <v>-3.39923644787632E-13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288.65195492450403</v>
      </c>
      <c r="CE70" s="62">
        <f t="shared" si="94"/>
        <v>310.66800441693891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8.3041429838164038E-5</v>
      </c>
      <c r="CN70" s="24">
        <f t="shared" si="66"/>
        <v>8.3041429838164038E-5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19.2</v>
      </c>
      <c r="CT70" s="13">
        <f>IF('Données projet'!$A$140&gt;35,CT69+CS70-DB69,IF(A70&lt;'Données projet'!$A$140,$CQ$205^A70,IF(A70='Données projet'!$A$140,'Données projet'!$B$140,CT69+CS70-DB69)))</f>
        <v>1112.5999999999997</v>
      </c>
      <c r="CU70" s="18">
        <f>CT70*VLOOKUP('Données projet'!$B$13,Paramètres!$A$1:$I$89,3,0)*VLOOKUP('Données projet'!$B$13,Paramètres!$A$1:$I$89,5,0)</f>
        <v>491.76919999999996</v>
      </c>
      <c r="CV70" s="14">
        <f t="shared" si="95"/>
        <v>110.15199611261752</v>
      </c>
      <c r="CW70" s="22">
        <f t="shared" si="67"/>
        <v>1048.3460832294754</v>
      </c>
      <c r="CX70" s="62">
        <f t="shared" si="68"/>
        <v>1341.6794165628087</v>
      </c>
      <c r="CY70" s="62">
        <f ca="1">AVERAGE(OFFSET($CX$3,0,0,'Données projet'!$E$13+1,1))-AVERAGE(OFFSET($H$3,0,0,'Données projet'!$E$13+1,1))</f>
        <v>572.6451446653349</v>
      </c>
      <c r="CZ70" s="62">
        <f t="shared" si="96"/>
        <v>389.15977992931374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8.1999999999999993</v>
      </c>
      <c r="DO70" s="13">
        <f>IF('Données projet'!$A$166&gt;35,DO69+DN70-DW69,IF(A70&lt;'Données projet'!$A$166,$DL$205^A70,IF(A70='Données projet'!$A$166,'Données projet'!$B$166,DO69+DN70-DW69)))</f>
        <v>277.39999999999998</v>
      </c>
      <c r="DP70" s="18">
        <f>DO70*VLOOKUP('Données projet'!$B$14,Paramètres!$A$1:$I$89,3,0)*VLOOKUP('Données projet'!$B$14,Paramètres!$A$1:$I$89,5,0)</f>
        <v>233.68176</v>
      </c>
      <c r="DQ70" s="14">
        <f t="shared" si="97"/>
        <v>57.078026837098335</v>
      </c>
      <c r="DR70" s="22">
        <f t="shared" si="70"/>
        <v>506.40662874127952</v>
      </c>
      <c r="DS70" s="62">
        <f t="shared" si="71"/>
        <v>799.73996207461278</v>
      </c>
      <c r="DT70" s="62">
        <f ca="1">AVERAGE(OFFSET($DS$3,0,0,'Données projet'!$E$14+1,1))-AVERAGE(OFFSET($H$3,0,0,'Données projet'!$E$14+1,1))</f>
        <v>383.83934938682984</v>
      </c>
      <c r="DU70" s="62">
        <f t="shared" si="98"/>
        <v>223.93106361972281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340.89741759743021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415.89259563928869</v>
      </c>
      <c r="T71" s="62">
        <f t="shared" si="88"/>
        <v>240.19413322685813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3.8</v>
      </c>
      <c r="AI71" s="14">
        <f>IF('Données projet'!$A$62&gt;35,AI70+AH71-AQ70,IF(A71&lt;'Données projet'!$A$62,$AF$205^A71,IF(A71='Données projet'!$A$62,'Données projet'!$B$62,AI70+AH71-AQ70)))</f>
        <v>266.39999999999992</v>
      </c>
      <c r="AJ71" s="14">
        <f>AI71*VLOOKUP('Données projet'!$B$10,Paramètres!$A$1:$I$89,3,0)*VLOOKUP('Données projet'!$B$10,Paramètres!$A$1:$I$89,5,0)</f>
        <v>174.54527999999993</v>
      </c>
      <c r="AK71" s="14">
        <f t="shared" si="89"/>
        <v>44.106446559111959</v>
      </c>
      <c r="AL71" s="22">
        <f t="shared" si="58"/>
        <v>380.81842375711989</v>
      </c>
      <c r="AM71" s="62">
        <f t="shared" si="59"/>
        <v>674.1517570904532</v>
      </c>
      <c r="AN71" s="62">
        <f ca="1">AVERAGE(OFFSET($AM$3,0,0,'Données projet'!$E$10+1,1))-AVERAGE(OFFSET($H$3,0,0,'Données projet'!$E$10+1,1))</f>
        <v>214.08705070588002</v>
      </c>
      <c r="AO71" s="62">
        <f t="shared" si="90"/>
        <v>251.33527585147152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-5.6843418860808015E-14</v>
      </c>
      <c r="BE71" s="14">
        <f>BD71*VLOOKUP('Données projet'!$B$11,Paramètres!$A$1:$I$89,3,0)*VLOOKUP('Données projet'!$B$11,Paramètres!$A$1:$I$89,5,0)</f>
        <v>-3.2514435588382188E-14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239.41486198585676</v>
      </c>
      <c r="BJ71" s="62">
        <f t="shared" si="92"/>
        <v>224.9174498508774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5.8959042968915929E-6</v>
      </c>
      <c r="BS71" s="24">
        <f t="shared" si="63"/>
        <v>5.8959042968915929E-6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-5.6843418860808015E-13</v>
      </c>
      <c r="BZ71" s="14">
        <f>BY71*VLOOKUP('Données projet'!$B$12,Paramètres!$A$1:$I$89,3,0)*VLOOKUP('Données projet'!$B$12,Paramètres!$A$1:$I$89,5,0)</f>
        <v>-3.39923644787632E-13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288.65195492450403</v>
      </c>
      <c r="CE71" s="62">
        <f t="shared" si="94"/>
        <v>310.66800441693891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5.8719158157992702E-5</v>
      </c>
      <c r="CN71" s="24">
        <f t="shared" si="66"/>
        <v>5.8719158157992702E-5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19.2</v>
      </c>
      <c r="CT71" s="13">
        <f>IF('Données projet'!$A$140&gt;35,CT70+CS71-DB70,IF(A71&lt;'Données projet'!$A$140,$CQ$205^A71,IF(A71='Données projet'!$A$140,'Données projet'!$B$140,CT70+CS71-DB70)))</f>
        <v>1131.7999999999997</v>
      </c>
      <c r="CU71" s="18">
        <f>CT71*VLOOKUP('Données projet'!$B$13,Paramètres!$A$1:$I$89,3,0)*VLOOKUP('Données projet'!$B$13,Paramètres!$A$1:$I$89,5,0)</f>
        <v>500.25559999999996</v>
      </c>
      <c r="CV71" s="14">
        <f t="shared" si="95"/>
        <v>111.82993688668894</v>
      </c>
      <c r="CW71" s="22">
        <f t="shared" si="67"/>
        <v>1066.0489767443166</v>
      </c>
      <c r="CX71" s="62">
        <f t="shared" si="68"/>
        <v>1359.3823100776499</v>
      </c>
      <c r="CY71" s="62">
        <f ca="1">AVERAGE(OFFSET($CX$3,0,0,'Données projet'!$E$13+1,1))-AVERAGE(OFFSET($H$3,0,0,'Données projet'!$E$13+1,1))</f>
        <v>572.6451446653349</v>
      </c>
      <c r="CZ71" s="62">
        <f t="shared" si="96"/>
        <v>389.15977992931374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8.1999999999999993</v>
      </c>
      <c r="DO71" s="13">
        <f>IF('Données projet'!$A$166&gt;35,DO70+DN71-DW70,IF(A71&lt;'Données projet'!$A$166,$DL$205^A71,IF(A71='Données projet'!$A$166,'Données projet'!$B$166,DO70+DN71-DW70)))</f>
        <v>285.59999999999997</v>
      </c>
      <c r="DP71" s="18">
        <f>DO71*VLOOKUP('Données projet'!$B$14,Paramètres!$A$1:$I$89,3,0)*VLOOKUP('Données projet'!$B$14,Paramètres!$A$1:$I$89,5,0)</f>
        <v>240.58944</v>
      </c>
      <c r="DQ71" s="14">
        <f t="shared" si="97"/>
        <v>58.56633325847811</v>
      </c>
      <c r="DR71" s="22">
        <f t="shared" si="70"/>
        <v>521.02963842518272</v>
      </c>
      <c r="DS71" s="62">
        <f t="shared" si="71"/>
        <v>814.3629717585161</v>
      </c>
      <c r="DT71" s="62">
        <f ca="1">AVERAGE(OFFSET($DS$3,0,0,'Données projet'!$E$14+1,1))-AVERAGE(OFFSET($H$3,0,0,'Données projet'!$E$14+1,1))</f>
        <v>383.83934938682984</v>
      </c>
      <c r="DU71" s="62">
        <f t="shared" si="98"/>
        <v>223.93106361972281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342.10239604249472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415.89259563928869</v>
      </c>
      <c r="T72" s="62">
        <f t="shared" si="88"/>
        <v>240.19413322685813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3.8</v>
      </c>
      <c r="AI72" s="14">
        <f>IF('Données projet'!$A$62&gt;35,AI71+AH72-AQ71,IF(A72&lt;'Données projet'!$A$62,$AF$205^A72,IF(A72='Données projet'!$A$62,'Données projet'!$B$62,AI71+AH72-AQ71)))</f>
        <v>270.19999999999993</v>
      </c>
      <c r="AJ72" s="14">
        <f>AI72*VLOOKUP('Données projet'!$B$10,Paramètres!$A$1:$I$89,3,0)*VLOOKUP('Données projet'!$B$10,Paramètres!$A$1:$I$89,5,0)</f>
        <v>177.03503999999995</v>
      </c>
      <c r="AK72" s="14">
        <f t="shared" si="89"/>
        <v>44.66190089624336</v>
      </c>
      <c r="AL72" s="22">
        <f t="shared" si="58"/>
        <v>386.1221720609571</v>
      </c>
      <c r="AM72" s="62">
        <f t="shared" si="59"/>
        <v>679.45550539429041</v>
      </c>
      <c r="AN72" s="62">
        <f ca="1">AVERAGE(OFFSET($AM$3,0,0,'Données projet'!$E$10+1,1))-AVERAGE(OFFSET($H$3,0,0,'Données projet'!$E$10+1,1))</f>
        <v>214.08705070588002</v>
      </c>
      <c r="AO72" s="62">
        <f t="shared" si="90"/>
        <v>251.33527585147152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-5.6843418860808015E-14</v>
      </c>
      <c r="BE72" s="14">
        <f>BD72*VLOOKUP('Données projet'!$B$11,Paramètres!$A$1:$I$89,3,0)*VLOOKUP('Données projet'!$B$11,Paramètres!$A$1:$I$89,5,0)</f>
        <v>-3.2514435588382188E-14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239.41486198585676</v>
      </c>
      <c r="BJ72" s="62">
        <f t="shared" si="92"/>
        <v>224.9174498508774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4.1690339095589489E-6</v>
      </c>
      <c r="BS72" s="24">
        <f t="shared" si="63"/>
        <v>4.1690339095589489E-6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-5.6843418860808015E-13</v>
      </c>
      <c r="BZ72" s="14">
        <f>BY72*VLOOKUP('Données projet'!$B$12,Paramètres!$A$1:$I$89,3,0)*VLOOKUP('Données projet'!$B$12,Paramètres!$A$1:$I$89,5,0)</f>
        <v>-3.39923644787632E-13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288.65195492450403</v>
      </c>
      <c r="CE72" s="62">
        <f t="shared" si="94"/>
        <v>310.66800441693891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4.1520714919082026E-5</v>
      </c>
      <c r="CN72" s="24">
        <f t="shared" si="66"/>
        <v>4.1520714919082026E-5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1151</v>
      </c>
      <c r="CR72" s="13">
        <f>VLOOKUP(A72,'Données projet'!$A$139:$I$159,9,0)</f>
        <v>19.2</v>
      </c>
      <c r="CS72" s="13">
        <f t="array" ref="CS72">INDEX(CR:CR,MIN(IF(ISNUMBER(CR72:CR268),ROW(CR72:CR268),"")))</f>
        <v>19.2</v>
      </c>
      <c r="CT72" s="13">
        <f>IF('Données projet'!$A$140&gt;35,CT71+CS72-DB71,IF(A72&lt;'Données projet'!$A$140,$CQ$205^A72,IF(A72='Données projet'!$A$140,'Données projet'!$B$140,CT71+CS72-DB71)))</f>
        <v>1150.9999999999998</v>
      </c>
      <c r="CU72" s="18">
        <f>CT72*VLOOKUP('Données projet'!$B$13,Paramètres!$A$1:$I$89,3,0)*VLOOKUP('Données projet'!$B$13,Paramètres!$A$1:$I$89,5,0)</f>
        <v>508.74199999999996</v>
      </c>
      <c r="CV72" s="14">
        <f t="shared" si="95"/>
        <v>113.50456745906871</v>
      </c>
      <c r="CW72" s="22">
        <f t="shared" si="67"/>
        <v>1083.7461049912113</v>
      </c>
      <c r="CX72" s="62">
        <f t="shared" si="68"/>
        <v>1377.0794383245445</v>
      </c>
      <c r="CY72" s="62">
        <f ca="1">AVERAGE(OFFSET($CX$3,0,0,'Données projet'!$E$13+1,1))-AVERAGE(OFFSET($H$3,0,0,'Données projet'!$E$13+1,1))</f>
        <v>572.6451446653349</v>
      </c>
      <c r="CZ72" s="62">
        <f t="shared" si="96"/>
        <v>389.15977992931374</v>
      </c>
      <c r="DA72" s="16">
        <f>IF(ISNA(VLOOKUP(A72,'Données projet'!$A$139:$I$159,3,0)),0,VLOOKUP(A72,'Données projet'!$A$139:$I$159,3,0))</f>
        <v>6</v>
      </c>
      <c r="DB72" s="16">
        <f>IF(ISNA(VLOOKUP(A72,'Données projet'!$A$139:$I$159,4,0)),0,VLOOKUP(A72,'Données projet'!$A$139:$I$159,4,0))</f>
        <v>96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8.1999999999999993</v>
      </c>
      <c r="DO72" s="13">
        <f>IF('Données projet'!$A$166&gt;35,DO71+DN72-DW71,IF(A72&lt;'Données projet'!$A$166,$DL$205^A72,IF(A72='Données projet'!$A$166,'Données projet'!$B$166,DO71+DN72-DW71)))</f>
        <v>293.79999999999995</v>
      </c>
      <c r="DP72" s="18">
        <f>DO72*VLOOKUP('Données projet'!$B$14,Paramètres!$A$1:$I$89,3,0)*VLOOKUP('Données projet'!$B$14,Paramètres!$A$1:$I$89,5,0)</f>
        <v>247.49712</v>
      </c>
      <c r="DQ72" s="14">
        <f t="shared" si="97"/>
        <v>60.049673316050104</v>
      </c>
      <c r="DR72" s="22">
        <f t="shared" si="70"/>
        <v>535.64399835878714</v>
      </c>
      <c r="DS72" s="62">
        <f t="shared" si="71"/>
        <v>828.97733169212052</v>
      </c>
      <c r="DT72" s="62">
        <f ca="1">AVERAGE(OFFSET($DS$3,0,0,'Données projet'!$E$14+1,1))-AVERAGE(OFFSET($H$3,0,0,'Données projet'!$E$14+1,1))</f>
        <v>383.83934938682984</v>
      </c>
      <c r="DU72" s="62">
        <f t="shared" si="98"/>
        <v>223.93106361972281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343.30694629802451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415.89259563928869</v>
      </c>
      <c r="T73" s="62">
        <f t="shared" si="88"/>
        <v>240.19413322685813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274</v>
      </c>
      <c r="AG73" s="13">
        <f>VLOOKUP(A73,'Données projet'!$A$61:$I$81,9,0)</f>
        <v>3.8</v>
      </c>
      <c r="AH73" s="13">
        <f t="array" ref="AH73">INDEX(AG:AG,MIN(IF(ISNUMBER(AG73:AG269),ROW(AG73:AG269),"")))</f>
        <v>3.8</v>
      </c>
      <c r="AI73" s="14">
        <f>IF('Données projet'!$A$62&gt;35,AI72+AH73-AQ72,IF(A73&lt;'Données projet'!$A$62,$AF$205^A73,IF(A73='Données projet'!$A$62,'Données projet'!$B$62,AI72+AH73-AQ72)))</f>
        <v>273.99999999999994</v>
      </c>
      <c r="AJ73" s="14">
        <f>AI73*VLOOKUP('Données projet'!$B$10,Paramètres!$A$1:$I$89,3,0)*VLOOKUP('Données projet'!$B$10,Paramètres!$A$1:$I$89,5,0)</f>
        <v>179.52479999999997</v>
      </c>
      <c r="AK73" s="14">
        <f t="shared" si="89"/>
        <v>45.216446661458264</v>
      </c>
      <c r="AL73" s="22">
        <f t="shared" si="58"/>
        <v>391.4243379353731</v>
      </c>
      <c r="AM73" s="62">
        <f t="shared" si="59"/>
        <v>684.75767126870642</v>
      </c>
      <c r="AN73" s="62">
        <f ca="1">AVERAGE(OFFSET($AM$3,0,0,'Données projet'!$E$10+1,1))-AVERAGE(OFFSET($H$3,0,0,'Données projet'!$E$10+1,1))</f>
        <v>214.08705070588002</v>
      </c>
      <c r="AO73" s="62">
        <f t="shared" si="90"/>
        <v>251.33527585147152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-5.6843418860808015E-14</v>
      </c>
      <c r="BE73" s="14">
        <f>BD73*VLOOKUP('Données projet'!$B$11,Paramètres!$A$1:$I$89,3,0)*VLOOKUP('Données projet'!$B$11,Paramètres!$A$1:$I$89,5,0)</f>
        <v>-3.2514435588382188E-14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239.41486198585676</v>
      </c>
      <c r="BJ73" s="62">
        <f t="shared" si="92"/>
        <v>224.9174498508774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2.9479521484457964E-6</v>
      </c>
      <c r="BS73" s="24">
        <f t="shared" si="63"/>
        <v>2.9479521484457964E-6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-5.6843418860808015E-13</v>
      </c>
      <c r="BZ73" s="14">
        <f>BY73*VLOOKUP('Données projet'!$B$12,Paramètres!$A$1:$I$89,3,0)*VLOOKUP('Données projet'!$B$12,Paramètres!$A$1:$I$89,5,0)</f>
        <v>-3.39923644787632E-13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288.65195492450403</v>
      </c>
      <c r="CE73" s="62">
        <f t="shared" si="94"/>
        <v>310.66800441693891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2.9359579078996354E-5</v>
      </c>
      <c r="CN73" s="24">
        <f t="shared" si="66"/>
        <v>2.9359579078996354E-5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15.6</v>
      </c>
      <c r="CT73" s="13">
        <f>IF('Données projet'!$A$140&gt;35,CT72+CS73-DB72,IF(A73&lt;'Données projet'!$A$140,$CQ$205^A73,IF(A73='Données projet'!$A$140,'Données projet'!$B$140,CT72+CS73-DB72)))</f>
        <v>1070.5999999999997</v>
      </c>
      <c r="CU73" s="18">
        <f>CT73*VLOOKUP('Données projet'!$B$13,Paramètres!$A$1:$I$89,3,0)*VLOOKUP('Données projet'!$B$13,Paramètres!$A$1:$I$89,5,0)</f>
        <v>473.20519999999988</v>
      </c>
      <c r="CV73" s="14">
        <f t="shared" si="95"/>
        <v>106.46964609830549</v>
      </c>
      <c r="CW73" s="22">
        <f t="shared" si="67"/>
        <v>1009.6003569545486</v>
      </c>
      <c r="CX73" s="62">
        <f t="shared" si="68"/>
        <v>1302.933690287882</v>
      </c>
      <c r="CY73" s="62">
        <f ca="1">AVERAGE(OFFSET($CX$3,0,0,'Données projet'!$E$13+1,1))-AVERAGE(OFFSET($H$3,0,0,'Données projet'!$E$13+1,1))</f>
        <v>572.6451446653349</v>
      </c>
      <c r="CZ73" s="62">
        <f t="shared" si="96"/>
        <v>389.15977992931374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302</v>
      </c>
      <c r="DM73" s="13">
        <f>VLOOKUP(A73,'Données projet'!$A$165:$I$185,9,0)</f>
        <v>8.1999999999999993</v>
      </c>
      <c r="DN73" s="13">
        <f t="array" ref="DN73">INDEX(DM:DM,MIN(IF(ISNUMBER(DM73:DM269),ROW(DM73:DM269),"")))</f>
        <v>8.1999999999999993</v>
      </c>
      <c r="DO73" s="13">
        <f>IF('Données projet'!$A$166&gt;35,DO72+DN73-DW72,IF(A73&lt;'Données projet'!$A$166,$DL$205^A73,IF(A73='Données projet'!$A$166,'Données projet'!$B$166,DO72+DN73-DW72)))</f>
        <v>301.99999999999994</v>
      </c>
      <c r="DP73" s="18">
        <f>DO73*VLOOKUP('Données projet'!$B$14,Paramètres!$A$1:$I$89,3,0)*VLOOKUP('Données projet'!$B$14,Paramètres!$A$1:$I$89,5,0)</f>
        <v>254.40479999999999</v>
      </c>
      <c r="DQ73" s="14">
        <f t="shared" si="97"/>
        <v>61.52820154571765</v>
      </c>
      <c r="DR73" s="22">
        <f t="shared" si="70"/>
        <v>550.24997769212484</v>
      </c>
      <c r="DS73" s="62">
        <f t="shared" si="71"/>
        <v>843.58331102545822</v>
      </c>
      <c r="DT73" s="62">
        <f ca="1">AVERAGE(OFFSET($DS$3,0,0,'Données projet'!$E$14+1,1))-AVERAGE(OFFSET($H$3,0,0,'Données projet'!$E$14+1,1))</f>
        <v>383.83934938682984</v>
      </c>
      <c r="DU73" s="62">
        <f t="shared" si="98"/>
        <v>223.93106361972281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344.51107518782362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2">
        <f t="shared" si="55"/>
        <v>897.90020079058013</v>
      </c>
      <c r="S74" s="62">
        <f ca="1">AVERAGE(OFFSET($R$3,0,0,'Données projet'!$E$9+1,1))-AVERAGE(OFFSET($H$3,0,0,'Données projet'!$E$9+1,1))</f>
        <v>415.89259563928869</v>
      </c>
      <c r="T74" s="62">
        <f t="shared" si="88"/>
        <v>240.19413322685813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3.4</v>
      </c>
      <c r="AI74" s="14">
        <f>IF('Données projet'!$A$62&gt;35,AI73+AH74-AQ73,IF(A74&lt;'Données projet'!$A$62,$AF$205^A74,IF(A74='Données projet'!$A$62,'Données projet'!$B$62,AI73+AH74-AQ73)))</f>
        <v>256.39999999999992</v>
      </c>
      <c r="AJ74" s="14">
        <f>AI74*VLOOKUP('Données projet'!$B$10,Paramètres!$A$1:$I$89,3,0)*VLOOKUP('Données projet'!$B$10,Paramètres!$A$1:$I$89,5,0)</f>
        <v>167.99327999999994</v>
      </c>
      <c r="AK74" s="14">
        <f t="shared" si="89"/>
        <v>42.640274928095231</v>
      </c>
      <c r="AL74" s="22">
        <f t="shared" si="58"/>
        <v>366.85344149976572</v>
      </c>
      <c r="AM74" s="62">
        <f t="shared" si="59"/>
        <v>660.18677483309898</v>
      </c>
      <c r="AN74" s="62">
        <f ca="1">AVERAGE(OFFSET($AM$3,0,0,'Données projet'!$E$10+1,1))-AVERAGE(OFFSET($H$3,0,0,'Données projet'!$E$10+1,1))</f>
        <v>214.08705070588002</v>
      </c>
      <c r="AO74" s="62">
        <f t="shared" si="90"/>
        <v>251.33527585147152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-5.6843418860808015E-14</v>
      </c>
      <c r="BE74" s="14">
        <f>BD74*VLOOKUP('Données projet'!$B$11,Paramètres!$A$1:$I$89,3,0)*VLOOKUP('Données projet'!$B$11,Paramètres!$A$1:$I$89,5,0)</f>
        <v>-3.2514435588382188E-14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239.41486198585676</v>
      </c>
      <c r="BJ74" s="62">
        <f t="shared" si="92"/>
        <v>224.9174498508774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2.0845169547794744E-6</v>
      </c>
      <c r="BS74" s="24">
        <f t="shared" si="63"/>
        <v>2.0845169547794744E-6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-5.6843418860808015E-13</v>
      </c>
      <c r="BZ74" s="14">
        <f>BY74*VLOOKUP('Données projet'!$B$12,Paramètres!$A$1:$I$89,3,0)*VLOOKUP('Données projet'!$B$12,Paramètres!$A$1:$I$89,5,0)</f>
        <v>-3.39923644787632E-13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288.65195492450403</v>
      </c>
      <c r="CE74" s="62">
        <f t="shared" si="94"/>
        <v>310.66800441693891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2.0760357459541016E-5</v>
      </c>
      <c r="CN74" s="24">
        <f t="shared" si="66"/>
        <v>2.0760357459541016E-5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15.6</v>
      </c>
      <c r="CT74" s="13">
        <f>IF('Données projet'!$A$140&gt;35,CT73+CS74-DB73,IF(A74&lt;'Données projet'!$A$140,$CQ$205^A74,IF(A74='Données projet'!$A$140,'Données projet'!$B$140,CT73+CS74-DB73)))</f>
        <v>1086.1999999999996</v>
      </c>
      <c r="CU74" s="18">
        <f>CT74*VLOOKUP('Données projet'!$B$13,Paramètres!$A$1:$I$89,3,0)*VLOOKUP('Données projet'!$B$13,Paramètres!$A$1:$I$89,5,0)</f>
        <v>480.10039999999987</v>
      </c>
      <c r="CV74" s="14">
        <f t="shared" si="95"/>
        <v>107.83930492858497</v>
      </c>
      <c r="CW74" s="22">
        <f t="shared" si="67"/>
        <v>1023.994986083952</v>
      </c>
      <c r="CX74" s="62">
        <f t="shared" si="68"/>
        <v>1317.3283194172852</v>
      </c>
      <c r="CY74" s="62">
        <f ca="1">AVERAGE(OFFSET($CX$3,0,0,'Données projet'!$E$13+1,1))-AVERAGE(OFFSET($H$3,0,0,'Données projet'!$E$13+1,1))</f>
        <v>572.6451446653349</v>
      </c>
      <c r="CZ74" s="62">
        <f t="shared" si="96"/>
        <v>389.15977992931374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7.6</v>
      </c>
      <c r="DO74" s="13">
        <f>IF('Données projet'!$A$166&gt;35,DO73+DN74-DW73,IF(A74&lt;'Données projet'!$A$166,$DL$205^A74,IF(A74='Données projet'!$A$166,'Données projet'!$B$166,DO73+DN74-DW73)))</f>
        <v>309.59999999999997</v>
      </c>
      <c r="DP74" s="18">
        <f>DO74*VLOOKUP('Données projet'!$B$14,Paramètres!$A$1:$I$89,3,0)*VLOOKUP('Données projet'!$B$14,Paramètres!$A$1:$I$89,5,0)</f>
        <v>260.80704000000003</v>
      </c>
      <c r="DQ74" s="14">
        <f t="shared" si="97"/>
        <v>62.89437522937974</v>
      </c>
      <c r="DR74" s="22">
        <f t="shared" si="70"/>
        <v>563.77996485783649</v>
      </c>
      <c r="DS74" s="62">
        <f t="shared" si="71"/>
        <v>857.11329819116986</v>
      </c>
      <c r="DT74" s="62">
        <f ca="1">AVERAGE(OFFSET($DS$3,0,0,'Données projet'!$E$14+1,1))-AVERAGE(OFFSET($H$3,0,0,'Données projet'!$E$14+1,1))</f>
        <v>383.83934938682984</v>
      </c>
      <c r="DU74" s="62">
        <f t="shared" si="98"/>
        <v>223.93106361972281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345.71478933243532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2">
        <f t="shared" si="55"/>
        <v>912.40400733040633</v>
      </c>
      <c r="S75" s="62">
        <f ca="1">AVERAGE(OFFSET($R$3,0,0,'Données projet'!$E$9+1,1))-AVERAGE(OFFSET($H$3,0,0,'Données projet'!$E$9+1,1))</f>
        <v>415.89259563928869</v>
      </c>
      <c r="T75" s="62">
        <f t="shared" si="88"/>
        <v>240.19413322685813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3.4</v>
      </c>
      <c r="AI75" s="14">
        <f>IF('Données projet'!$A$62&gt;35,AI74+AH75-AQ74,IF(A75&lt;'Données projet'!$A$62,$AF$205^A75,IF(A75='Données projet'!$A$62,'Données projet'!$B$62,AI74+AH75-AQ74)))</f>
        <v>259.7999999999999</v>
      </c>
      <c r="AJ75" s="14">
        <f>AI75*VLOOKUP('Données projet'!$B$10,Paramètres!$A$1:$I$89,3,0)*VLOOKUP('Données projet'!$B$10,Paramètres!$A$1:$I$89,5,0)</f>
        <v>170.22095999999993</v>
      </c>
      <c r="AK75" s="14">
        <f t="shared" si="89"/>
        <v>43.13950753318327</v>
      </c>
      <c r="AL75" s="22">
        <f t="shared" si="58"/>
        <v>371.60281428696072</v>
      </c>
      <c r="AM75" s="62">
        <f t="shared" si="59"/>
        <v>664.93614762029404</v>
      </c>
      <c r="AN75" s="62">
        <f ca="1">AVERAGE(OFFSET($AM$3,0,0,'Données projet'!$E$10+1,1))-AVERAGE(OFFSET($H$3,0,0,'Données projet'!$E$10+1,1))</f>
        <v>214.08705070588002</v>
      </c>
      <c r="AO75" s="62">
        <f t="shared" si="90"/>
        <v>251.33527585147152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-5.6843418860808015E-14</v>
      </c>
      <c r="BE75" s="14">
        <f>BD75*VLOOKUP('Données projet'!$B$11,Paramètres!$A$1:$I$89,3,0)*VLOOKUP('Données projet'!$B$11,Paramètres!$A$1:$I$89,5,0)</f>
        <v>-3.2514435588382188E-14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239.41486198585676</v>
      </c>
      <c r="BJ75" s="62">
        <f t="shared" si="92"/>
        <v>224.9174498508774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1.4739760742228982E-6</v>
      </c>
      <c r="BS75" s="24">
        <f t="shared" si="63"/>
        <v>1.4739760742228982E-6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-5.6843418860808015E-13</v>
      </c>
      <c r="BZ75" s="14">
        <f>BY75*VLOOKUP('Données projet'!$B$12,Paramètres!$A$1:$I$89,3,0)*VLOOKUP('Données projet'!$B$12,Paramètres!$A$1:$I$89,5,0)</f>
        <v>-3.39923644787632E-13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288.65195492450403</v>
      </c>
      <c r="CE75" s="62">
        <f t="shared" si="94"/>
        <v>310.66800441693891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1.4679789539498181E-5</v>
      </c>
      <c r="CN75" s="24">
        <f t="shared" si="66"/>
        <v>1.4679789539498181E-5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15.6</v>
      </c>
      <c r="CT75" s="13">
        <f>IF('Données projet'!$A$140&gt;35,CT74+CS75-DB74,IF(A75&lt;'Données projet'!$A$140,$CQ$205^A75,IF(A75='Données projet'!$A$140,'Données projet'!$B$140,CT74+CS75-DB74)))</f>
        <v>1101.7999999999995</v>
      </c>
      <c r="CU75" s="18">
        <f>CT75*VLOOKUP('Données projet'!$B$13,Paramètres!$A$1:$I$89,3,0)*VLOOKUP('Données projet'!$B$13,Paramètres!$A$1:$I$89,5,0)</f>
        <v>486.9955999999998</v>
      </c>
      <c r="CV75" s="14">
        <f t="shared" si="95"/>
        <v>109.20667588010411</v>
      </c>
      <c r="CW75" s="22">
        <f t="shared" si="67"/>
        <v>1038.3856304911808</v>
      </c>
      <c r="CX75" s="62">
        <f t="shared" si="68"/>
        <v>1331.718963824514</v>
      </c>
      <c r="CY75" s="62">
        <f ca="1">AVERAGE(OFFSET($CX$3,0,0,'Données projet'!$E$13+1,1))-AVERAGE(OFFSET($H$3,0,0,'Données projet'!$E$13+1,1))</f>
        <v>572.6451446653349</v>
      </c>
      <c r="CZ75" s="62">
        <f t="shared" si="96"/>
        <v>389.15977992931374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7.6</v>
      </c>
      <c r="DO75" s="13">
        <f>IF('Données projet'!$A$166&gt;35,DO74+DN75-DW74,IF(A75&lt;'Données projet'!$A$166,$DL$205^A75,IF(A75='Données projet'!$A$166,'Données projet'!$B$166,DO74+DN75-DW74)))</f>
        <v>317.2</v>
      </c>
      <c r="DP75" s="18">
        <f>DO75*VLOOKUP('Données projet'!$B$14,Paramètres!$A$1:$I$89,3,0)*VLOOKUP('Données projet'!$B$14,Paramètres!$A$1:$I$89,5,0)</f>
        <v>267.20928000000004</v>
      </c>
      <c r="DQ75" s="14">
        <f t="shared" si="97"/>
        <v>64.256650415058076</v>
      </c>
      <c r="DR75" s="22">
        <f t="shared" si="70"/>
        <v>577.3031621395595</v>
      </c>
      <c r="DS75" s="62">
        <f t="shared" si="71"/>
        <v>870.63649547289288</v>
      </c>
      <c r="DT75" s="62">
        <f ca="1">AVERAGE(OFFSET($DS$3,0,0,'Données projet'!$E$14+1,1))-AVERAGE(OFFSET($H$3,0,0,'Données projet'!$E$14+1,1))</f>
        <v>383.83934938682984</v>
      </c>
      <c r="DU75" s="62">
        <f t="shared" si="98"/>
        <v>223.93106361972281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346.9180951579346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2">
        <f t="shared" si="55"/>
        <v>926.90077466569664</v>
      </c>
      <c r="S76" s="62">
        <f ca="1">AVERAGE(OFFSET($R$3,0,0,'Données projet'!$E$9+1,1))-AVERAGE(OFFSET($H$3,0,0,'Données projet'!$E$9+1,1))</f>
        <v>415.89259563928869</v>
      </c>
      <c r="T76" s="62">
        <f t="shared" si="88"/>
        <v>240.19413322685813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3.4</v>
      </c>
      <c r="AI76" s="14">
        <f>IF('Données projet'!$A$62&gt;35,AI75+AH76-AQ75,IF(A76&lt;'Données projet'!$A$62,$AF$205^A76,IF(A76='Données projet'!$A$62,'Données projet'!$B$62,AI75+AH76-AQ75)))</f>
        <v>263.19999999999987</v>
      </c>
      <c r="AJ76" s="14">
        <f>AI76*VLOOKUP('Données projet'!$B$10,Paramètres!$A$1:$I$89,3,0)*VLOOKUP('Données projet'!$B$10,Paramètres!$A$1:$I$89,5,0)</f>
        <v>172.44863999999993</v>
      </c>
      <c r="AK76" s="14">
        <f t="shared" si="89"/>
        <v>43.637980200453676</v>
      </c>
      <c r="AL76" s="22">
        <f t="shared" si="58"/>
        <v>376.35086351579002</v>
      </c>
      <c r="AM76" s="62">
        <f t="shared" si="59"/>
        <v>669.68419684912328</v>
      </c>
      <c r="AN76" s="62">
        <f ca="1">AVERAGE(OFFSET($AM$3,0,0,'Données projet'!$E$10+1,1))-AVERAGE(OFFSET($H$3,0,0,'Données projet'!$E$10+1,1))</f>
        <v>214.08705070588002</v>
      </c>
      <c r="AO76" s="62">
        <f t="shared" si="90"/>
        <v>251.33527585147152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-5.6843418860808015E-14</v>
      </c>
      <c r="BE76" s="14">
        <f>BD76*VLOOKUP('Données projet'!$B$11,Paramètres!$A$1:$I$89,3,0)*VLOOKUP('Données projet'!$B$11,Paramètres!$A$1:$I$89,5,0)</f>
        <v>-3.2514435588382188E-14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239.41486198585676</v>
      </c>
      <c r="BJ76" s="62">
        <f t="shared" si="92"/>
        <v>224.9174498508774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1.0422584773897372E-6</v>
      </c>
      <c r="BS76" s="24">
        <f t="shared" si="63"/>
        <v>1.0422584773897372E-6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-5.6843418860808015E-13</v>
      </c>
      <c r="BZ76" s="14">
        <f>BY76*VLOOKUP('Données projet'!$B$12,Paramètres!$A$1:$I$89,3,0)*VLOOKUP('Données projet'!$B$12,Paramètres!$A$1:$I$89,5,0)</f>
        <v>-3.39923644787632E-13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288.65195492450403</v>
      </c>
      <c r="CE76" s="62">
        <f t="shared" si="94"/>
        <v>310.66800441693891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1.038017872977051E-5</v>
      </c>
      <c r="CN76" s="24">
        <f t="shared" si="66"/>
        <v>1.038017872977051E-5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15.6</v>
      </c>
      <c r="CT76" s="13">
        <f>IF('Données projet'!$A$140&gt;35,CT75+CS76-DB75,IF(A76&lt;'Données projet'!$A$140,$CQ$205^A76,IF(A76='Données projet'!$A$140,'Données projet'!$B$140,CT75+CS76-DB75)))</f>
        <v>1117.3999999999994</v>
      </c>
      <c r="CU76" s="18">
        <f>CT76*VLOOKUP('Données projet'!$B$13,Paramètres!$A$1:$I$89,3,0)*VLOOKUP('Données projet'!$B$13,Paramètres!$A$1:$I$89,5,0)</f>
        <v>493.89079999999979</v>
      </c>
      <c r="CV76" s="14">
        <f t="shared" si="95"/>
        <v>110.57179508935955</v>
      </c>
      <c r="CW76" s="22">
        <f t="shared" si="67"/>
        <v>1052.7723531139675</v>
      </c>
      <c r="CX76" s="62">
        <f t="shared" si="68"/>
        <v>1346.1056864473007</v>
      </c>
      <c r="CY76" s="62">
        <f ca="1">AVERAGE(OFFSET($CX$3,0,0,'Données projet'!$E$13+1,1))-AVERAGE(OFFSET($H$3,0,0,'Données projet'!$E$13+1,1))</f>
        <v>572.6451446653349</v>
      </c>
      <c r="CZ76" s="62">
        <f t="shared" si="96"/>
        <v>389.15977992931374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7.6</v>
      </c>
      <c r="DO76" s="13">
        <f>IF('Données projet'!$A$166&gt;35,DO75+DN76-DW75,IF(A76&lt;'Données projet'!$A$166,$DL$205^A76,IF(A76='Données projet'!$A$166,'Données projet'!$B$166,DO75+DN76-DW75)))</f>
        <v>324.8</v>
      </c>
      <c r="DP76" s="18">
        <f>DO76*VLOOKUP('Données projet'!$B$14,Paramètres!$A$1:$I$89,3,0)*VLOOKUP('Données projet'!$B$14,Paramètres!$A$1:$I$89,5,0)</f>
        <v>273.61152000000004</v>
      </c>
      <c r="DQ76" s="14">
        <f t="shared" si="97"/>
        <v>65.615131256792893</v>
      </c>
      <c r="DR76" s="22">
        <f t="shared" si="70"/>
        <v>590.81975093891435</v>
      </c>
      <c r="DS76" s="62">
        <f t="shared" si="71"/>
        <v>884.15308427224772</v>
      </c>
      <c r="DT76" s="62">
        <f ca="1">AVERAGE(OFFSET($DS$3,0,0,'Données projet'!$E$14+1,1))-AVERAGE(OFFSET($H$3,0,0,'Données projet'!$E$14+1,1))</f>
        <v>383.83934938682984</v>
      </c>
      <c r="DU76" s="62">
        <f t="shared" si="98"/>
        <v>223.93106361972281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348.12099890422405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2">
        <f t="shared" si="55"/>
        <v>941.39068646288956</v>
      </c>
      <c r="S77" s="62">
        <f ca="1">AVERAGE(OFFSET($R$3,0,0,'Données projet'!$E$9+1,1))-AVERAGE(OFFSET($H$3,0,0,'Données projet'!$E$9+1,1))</f>
        <v>415.89259563928869</v>
      </c>
      <c r="T77" s="62">
        <f t="shared" si="88"/>
        <v>240.19413322685813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3.4</v>
      </c>
      <c r="AI77" s="14">
        <f>IF('Données projet'!$A$62&gt;35,AI76+AH77-AQ76,IF(A77&lt;'Données projet'!$A$62,$AF$205^A77,IF(A77='Données projet'!$A$62,'Données projet'!$B$62,AI76+AH77-AQ76)))</f>
        <v>266.59999999999985</v>
      </c>
      <c r="AJ77" s="14">
        <f>AI77*VLOOKUP('Données projet'!$B$10,Paramètres!$A$1:$I$89,3,0)*VLOOKUP('Données projet'!$B$10,Paramètres!$A$1:$I$89,5,0)</f>
        <v>174.67631999999992</v>
      </c>
      <c r="AK77" s="14">
        <f t="shared" si="89"/>
        <v>44.135703881788075</v>
      </c>
      <c r="AL77" s="22">
        <f t="shared" si="58"/>
        <v>381.09760826078076</v>
      </c>
      <c r="AM77" s="62">
        <f t="shared" si="59"/>
        <v>674.43094159411407</v>
      </c>
      <c r="AN77" s="62">
        <f ca="1">AVERAGE(OFFSET($AM$3,0,0,'Données projet'!$E$10+1,1))-AVERAGE(OFFSET($H$3,0,0,'Données projet'!$E$10+1,1))</f>
        <v>214.08705070588002</v>
      </c>
      <c r="AO77" s="62">
        <f t="shared" si="90"/>
        <v>251.33527585147152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-5.6843418860808015E-14</v>
      </c>
      <c r="BE77" s="14">
        <f>BD77*VLOOKUP('Données projet'!$B$11,Paramètres!$A$1:$I$89,3,0)*VLOOKUP('Données projet'!$B$11,Paramètres!$A$1:$I$89,5,0)</f>
        <v>-3.2514435588382188E-14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239.41486198585676</v>
      </c>
      <c r="BJ77" s="62">
        <f t="shared" si="92"/>
        <v>224.9174498508774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7.3698803711144911E-7</v>
      </c>
      <c r="BS77" s="24">
        <f t="shared" si="63"/>
        <v>7.3698803711144911E-7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-5.6843418860808015E-13</v>
      </c>
      <c r="BZ77" s="14">
        <f>BY77*VLOOKUP('Données projet'!$B$12,Paramètres!$A$1:$I$89,3,0)*VLOOKUP('Données projet'!$B$12,Paramètres!$A$1:$I$89,5,0)</f>
        <v>-3.39923644787632E-13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288.65195492450403</v>
      </c>
      <c r="CE77" s="62">
        <f t="shared" si="94"/>
        <v>310.66800441693891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7.3398947697490912E-6</v>
      </c>
      <c r="CN77" s="24">
        <f t="shared" si="66"/>
        <v>7.3398947697490912E-6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>
        <f>VLOOKUP(A77,'Données projet'!$A$139:$I$159,2,0)</f>
        <v>1133</v>
      </c>
      <c r="CR77" s="13">
        <f>VLOOKUP(A77,'Données projet'!$A$139:$I$159,9,0)</f>
        <v>15.6</v>
      </c>
      <c r="CS77" s="13">
        <f t="array" ref="CS77">INDEX(CR:CR,MIN(IF(ISNUMBER(CR77:CR273),ROW(CR77:CR273),"")))</f>
        <v>15.6</v>
      </c>
      <c r="CT77" s="13">
        <f>IF('Données projet'!$A$140&gt;35,CT76+CS77-DB76,IF(A77&lt;'Données projet'!$A$140,$CQ$205^A77,IF(A77='Données projet'!$A$140,'Données projet'!$B$140,CT76+CS77-DB76)))</f>
        <v>1132.9999999999993</v>
      </c>
      <c r="CU77" s="18">
        <f>CT77*VLOOKUP('Données projet'!$B$13,Paramètres!$A$1:$I$89,3,0)*VLOOKUP('Données projet'!$B$13,Paramètres!$A$1:$I$89,5,0)</f>
        <v>500.78599999999977</v>
      </c>
      <c r="CV77" s="14">
        <f t="shared" si="95"/>
        <v>111.93469762588632</v>
      </c>
      <c r="CW77" s="22">
        <f t="shared" si="67"/>
        <v>1067.1552150317514</v>
      </c>
      <c r="CX77" s="62">
        <f t="shared" si="68"/>
        <v>1360.4885483650846</v>
      </c>
      <c r="CY77" s="62">
        <f ca="1">AVERAGE(OFFSET($CX$3,0,0,'Données projet'!$E$13+1,1))-AVERAGE(OFFSET($H$3,0,0,'Données projet'!$E$13+1,1))</f>
        <v>572.6451446653349</v>
      </c>
      <c r="CZ77" s="62">
        <f t="shared" si="96"/>
        <v>389.15977992931374</v>
      </c>
      <c r="DA77" s="16">
        <f>IF(ISNA(VLOOKUP(A77,'Données projet'!$A$139:$I$159,3,0)),0,VLOOKUP(A77,'Données projet'!$A$139:$I$159,3,0))</f>
        <v>7</v>
      </c>
      <c r="DB77" s="16">
        <f>IF(ISNA(VLOOKUP(A77,'Données projet'!$A$139:$I$159,4,0)),0,VLOOKUP(A77,'Données projet'!$A$139:$I$159,4,0))</f>
        <v>40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7.6</v>
      </c>
      <c r="DO77" s="13">
        <f>IF('Données projet'!$A$166&gt;35,DO76+DN77-DW76,IF(A77&lt;'Données projet'!$A$166,$DL$205^A77,IF(A77='Données projet'!$A$166,'Données projet'!$B$166,DO76+DN77-DW76)))</f>
        <v>332.40000000000003</v>
      </c>
      <c r="DP77" s="18">
        <f>DO77*VLOOKUP('Données projet'!$B$14,Paramètres!$A$1:$I$89,3,0)*VLOOKUP('Données projet'!$B$14,Paramètres!$A$1:$I$89,5,0)</f>
        <v>280.01376000000005</v>
      </c>
      <c r="DQ77" s="14">
        <f t="shared" si="97"/>
        <v>66.969916756344503</v>
      </c>
      <c r="DR77" s="22">
        <f t="shared" si="70"/>
        <v>604.32990368396679</v>
      </c>
      <c r="DS77" s="62">
        <f t="shared" si="71"/>
        <v>897.66323701730016</v>
      </c>
      <c r="DT77" s="62">
        <f ca="1">AVERAGE(OFFSET($DS$3,0,0,'Données projet'!$E$14+1,1))-AVERAGE(OFFSET($H$3,0,0,'Données projet'!$E$14+1,1))</f>
        <v>383.83934938682984</v>
      </c>
      <c r="DU77" s="62">
        <f t="shared" si="98"/>
        <v>223.93106361972281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349.32350663286911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2">
        <f t="shared" si="55"/>
        <v>955.87391751040263</v>
      </c>
      <c r="S78" s="62">
        <f ca="1">AVERAGE(OFFSET($R$3,0,0,'Données projet'!$E$9+1,1))-AVERAGE(OFFSET($H$3,0,0,'Données projet'!$E$9+1,1))</f>
        <v>415.89259563928869</v>
      </c>
      <c r="T78" s="62">
        <f t="shared" si="88"/>
        <v>240.19413322685813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270</v>
      </c>
      <c r="AG78" s="13">
        <f>VLOOKUP(A78,'Données projet'!$A$61:$I$81,9,0)</f>
        <v>3.4</v>
      </c>
      <c r="AH78" s="13">
        <f t="array" ref="AH78">INDEX(AG:AG,MIN(IF(ISNUMBER(AG78:AG274),ROW(AG78:AG274),"")))</f>
        <v>3.4</v>
      </c>
      <c r="AI78" s="14">
        <f>IF('Données projet'!$A$62&gt;35,AI77+AH78-AQ77,IF(A78&lt;'Données projet'!$A$62,$AF$205^A78,IF(A78='Données projet'!$A$62,'Données projet'!$B$62,AI77+AH78-AQ77)))</f>
        <v>269.99999999999983</v>
      </c>
      <c r="AJ78" s="14">
        <f>AI78*VLOOKUP('Données projet'!$B$10,Paramètres!$A$1:$I$89,3,0)*VLOOKUP('Données projet'!$B$10,Paramètres!$A$1:$I$89,5,0)</f>
        <v>176.90399999999988</v>
      </c>
      <c r="AK78" s="14">
        <f t="shared" si="89"/>
        <v>44.632689233663115</v>
      </c>
      <c r="AL78" s="22">
        <f t="shared" si="58"/>
        <v>385.84306708196306</v>
      </c>
      <c r="AM78" s="62">
        <f t="shared" si="59"/>
        <v>679.17640041529637</v>
      </c>
      <c r="AN78" s="62">
        <f ca="1">AVERAGE(OFFSET($AM$3,0,0,'Données projet'!$E$10+1,1))-AVERAGE(OFFSET($H$3,0,0,'Données projet'!$E$10+1,1))</f>
        <v>214.08705070588002</v>
      </c>
      <c r="AO78" s="62">
        <f t="shared" si="90"/>
        <v>251.33527585147152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-5.6843418860808015E-14</v>
      </c>
      <c r="BE78" s="14">
        <f>BD78*VLOOKUP('Données projet'!$B$11,Paramètres!$A$1:$I$89,3,0)*VLOOKUP('Données projet'!$B$11,Paramètres!$A$1:$I$89,5,0)</f>
        <v>-3.2514435588382188E-14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239.41486198585676</v>
      </c>
      <c r="BJ78" s="62">
        <f t="shared" si="92"/>
        <v>224.9174498508774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5.2112923869486861E-7</v>
      </c>
      <c r="BS78" s="24">
        <f t="shared" si="63"/>
        <v>5.2112923869486861E-7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-5.6843418860808015E-13</v>
      </c>
      <c r="BZ78" s="14">
        <f>BY78*VLOOKUP('Données projet'!$B$12,Paramètres!$A$1:$I$89,3,0)*VLOOKUP('Données projet'!$B$12,Paramètres!$A$1:$I$89,5,0)</f>
        <v>-3.39923644787632E-13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288.65195492450403</v>
      </c>
      <c r="CE78" s="62">
        <f t="shared" si="94"/>
        <v>310.66800441693891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5.1900893648852558E-6</v>
      </c>
      <c r="CN78" s="24">
        <f t="shared" si="66"/>
        <v>5.1900893648852558E-6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12</v>
      </c>
      <c r="CT78" s="13">
        <f>IF('Données projet'!$A$140&gt;35,CT77+CS78-DB77,IF(A78&lt;'Données projet'!$A$140,$CQ$205^A78,IF(A78='Données projet'!$A$140,'Données projet'!$B$140,CT77+CS78-DB77)))</f>
        <v>1104.9999999999993</v>
      </c>
      <c r="CU78" s="18">
        <f>CT78*VLOOKUP('Données projet'!$B$13,Paramètres!$A$1:$I$89,3,0)*VLOOKUP('Données projet'!$B$13,Paramètres!$A$1:$I$89,5,0)</f>
        <v>488.4099999999998</v>
      </c>
      <c r="CV78" s="14">
        <f t="shared" si="95"/>
        <v>109.48688274339199</v>
      </c>
      <c r="CW78" s="22">
        <f t="shared" si="67"/>
        <v>1041.3370707780739</v>
      </c>
      <c r="CX78" s="62">
        <f t="shared" si="68"/>
        <v>1334.6704041114072</v>
      </c>
      <c r="CY78" s="62">
        <f ca="1">AVERAGE(OFFSET($CX$3,0,0,'Données projet'!$E$13+1,1))-AVERAGE(OFFSET($H$3,0,0,'Données projet'!$E$13+1,1))</f>
        <v>572.6451446653349</v>
      </c>
      <c r="CZ78" s="62">
        <f t="shared" si="96"/>
        <v>389.15977992931374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340</v>
      </c>
      <c r="DM78" s="13">
        <f>VLOOKUP(A78,'Données projet'!$A$165:$I$185,9,0)</f>
        <v>7.6</v>
      </c>
      <c r="DN78" s="13">
        <f t="array" ref="DN78">INDEX(DM:DM,MIN(IF(ISNUMBER(DM78:DM274),ROW(DM78:DM274),"")))</f>
        <v>7.6</v>
      </c>
      <c r="DO78" s="13">
        <f>IF('Données projet'!$A$166&gt;35,DO77+DN78-DW77,IF(A78&lt;'Données projet'!$A$166,$DL$205^A78,IF(A78='Données projet'!$A$166,'Données projet'!$B$166,DO77+DN78-DW77)))</f>
        <v>340.00000000000006</v>
      </c>
      <c r="DP78" s="18">
        <f>DO78*VLOOKUP('Données projet'!$B$14,Paramètres!$A$1:$I$89,3,0)*VLOOKUP('Données projet'!$B$14,Paramètres!$A$1:$I$89,5,0)</f>
        <v>286.41600000000011</v>
      </c>
      <c r="DQ78" s="14">
        <f t="shared" si="97"/>
        <v>68.321101129951245</v>
      </c>
      <c r="DR78" s="22">
        <f t="shared" si="70"/>
        <v>617.83378446799861</v>
      </c>
      <c r="DS78" s="62">
        <f t="shared" si="71"/>
        <v>911.16711780133187</v>
      </c>
      <c r="DT78" s="62">
        <f ca="1">AVERAGE(OFFSET($DS$3,0,0,'Données projet'!$E$14+1,1))-AVERAGE(OFFSET($H$3,0,0,'Données projet'!$E$14+1,1))</f>
        <v>383.83934938682984</v>
      </c>
      <c r="DU78" s="62">
        <f t="shared" si="98"/>
        <v>223.93106361972281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56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350.5256242345036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</v>
      </c>
      <c r="N79" s="14">
        <f>IF('Données projet'!$A$36&gt;35,N78+M79-V78,IF(A79&lt;'Données projet'!$A$36,$K$205^A79,IF(A79='Données projet'!$A$36,'Données projet'!$B$36,N78+M79-V78)))</f>
        <v>291.00000000000006</v>
      </c>
      <c r="O79" s="14">
        <f>N79*VLOOKUP('Données projet'!$B$9,Paramètres!$A$1:$I$89,3,0)*VLOOKUP('Données projet'!$B$9,Paramètres!$A$1:$I$89,5,0)</f>
        <v>263.29680000000008</v>
      </c>
      <c r="P79" s="14">
        <f t="shared" si="87"/>
        <v>63.424606311701645</v>
      </c>
      <c r="Q79" s="22">
        <f t="shared" si="54"/>
        <v>569.03978265954709</v>
      </c>
      <c r="R79" s="62">
        <f t="shared" si="55"/>
        <v>862.37311599288046</v>
      </c>
      <c r="S79" s="62">
        <f ca="1">AVERAGE(OFFSET($R$3,0,0,'Données projet'!$E$9+1,1))-AVERAGE(OFFSET($H$3,0,0,'Données projet'!$E$9+1,1))</f>
        <v>415.89259563928869</v>
      </c>
      <c r="T79" s="62">
        <f t="shared" si="88"/>
        <v>240.19413322685813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274.59999999999985</v>
      </c>
      <c r="AJ79" s="14">
        <f>AI79*VLOOKUP('Données projet'!$B$10,Paramètres!$A$1:$I$89,3,0)*VLOOKUP('Données projet'!$B$10,Paramètres!$A$1:$I$89,5,0)</f>
        <v>179.9179199999999</v>
      </c>
      <c r="AK79" s="14">
        <f t="shared" si="89"/>
        <v>45.303924394076034</v>
      </c>
      <c r="AL79" s="22">
        <f t="shared" si="58"/>
        <v>392.26137898634892</v>
      </c>
      <c r="AM79" s="62">
        <f t="shared" si="59"/>
        <v>685.59471231968223</v>
      </c>
      <c r="AN79" s="62">
        <f ca="1">AVERAGE(OFFSET($AM$3,0,0,'Données projet'!$E$10+1,1))-AVERAGE(OFFSET($H$3,0,0,'Données projet'!$E$10+1,1))</f>
        <v>214.08705070588002</v>
      </c>
      <c r="AO79" s="62">
        <f t="shared" si="90"/>
        <v>251.33527585147152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-5.6843418860808015E-14</v>
      </c>
      <c r="BE79" s="14">
        <f>BD79*VLOOKUP('Données projet'!$B$11,Paramètres!$A$1:$I$89,3,0)*VLOOKUP('Données projet'!$B$11,Paramètres!$A$1:$I$89,5,0)</f>
        <v>-3.2514435588382188E-14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239.41486198585676</v>
      </c>
      <c r="BJ79" s="62">
        <f t="shared" si="92"/>
        <v>224.9174498508774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3.6849401855572456E-7</v>
      </c>
      <c r="BS79" s="24">
        <f t="shared" si="63"/>
        <v>3.6849401855572456E-7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-5.6843418860808015E-13</v>
      </c>
      <c r="BZ79" s="14">
        <f>BY79*VLOOKUP('Données projet'!$B$12,Paramètres!$A$1:$I$89,3,0)*VLOOKUP('Données projet'!$B$12,Paramètres!$A$1:$I$89,5,0)</f>
        <v>-3.39923644787632E-13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288.65195492450403</v>
      </c>
      <c r="CE79" s="62">
        <f t="shared" si="94"/>
        <v>310.66800441693891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3.6699473848745464E-6</v>
      </c>
      <c r="CN79" s="24">
        <f t="shared" si="66"/>
        <v>3.6699473848745464E-6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12</v>
      </c>
      <c r="CT79" s="13">
        <f>IF('Données projet'!$A$140&gt;35,CT78+CS79-DB78,IF(A79&lt;'Données projet'!$A$140,$CQ$205^A79,IF(A79='Données projet'!$A$140,'Données projet'!$B$140,CT78+CS79-DB78)))</f>
        <v>1116.9999999999993</v>
      </c>
      <c r="CU79" s="18">
        <f>CT79*VLOOKUP('Données projet'!$B$13,Paramètres!$A$1:$I$89,3,0)*VLOOKUP('Données projet'!$B$13,Paramètres!$A$1:$I$89,5,0)</f>
        <v>493.71399999999977</v>
      </c>
      <c r="CV79" s="14">
        <f t="shared" si="95"/>
        <v>110.53681987048458</v>
      </c>
      <c r="CW79" s="22">
        <f t="shared" si="67"/>
        <v>1052.4035112744266</v>
      </c>
      <c r="CX79" s="62">
        <f t="shared" si="68"/>
        <v>1345.7368446077598</v>
      </c>
      <c r="CY79" s="62">
        <f ca="1">AVERAGE(OFFSET($CX$3,0,0,'Données projet'!$E$13+1,1))-AVERAGE(OFFSET($H$3,0,0,'Données projet'!$E$13+1,1))</f>
        <v>572.6451446653349</v>
      </c>
      <c r="CZ79" s="62">
        <f t="shared" si="96"/>
        <v>389.15977992931374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7</v>
      </c>
      <c r="DO79" s="13">
        <f>IF('Données projet'!$A$166&gt;35,DO78+DN79-DW78,IF(A79&lt;'Données projet'!$A$166,$DL$205^A79,IF(A79='Données projet'!$A$166,'Données projet'!$B$166,DO78+DN79-DW78)))</f>
        <v>291.00000000000006</v>
      </c>
      <c r="DP79" s="18">
        <f>DO79*VLOOKUP('Données projet'!$B$14,Paramètres!$A$1:$I$89,3,0)*VLOOKUP('Données projet'!$B$14,Paramètres!$A$1:$I$89,5,0)</f>
        <v>245.13840000000008</v>
      </c>
      <c r="DQ79" s="14">
        <f t="shared" si="97"/>
        <v>59.543715540345303</v>
      </c>
      <c r="DR79" s="22">
        <f t="shared" si="70"/>
        <v>530.65468456610142</v>
      </c>
      <c r="DS79" s="62">
        <f t="shared" si="71"/>
        <v>823.98801789943468</v>
      </c>
      <c r="DT79" s="62">
        <f ca="1">AVERAGE(OFFSET($DS$3,0,0,'Données projet'!$E$14+1,1))-AVERAGE(OFFSET($H$3,0,0,'Données projet'!$E$14+1,1))</f>
        <v>383.83934938682984</v>
      </c>
      <c r="DU79" s="62">
        <f t="shared" si="98"/>
        <v>223.93106361972281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351.72735743583411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</v>
      </c>
      <c r="N80" s="14">
        <f>IF('Données projet'!$A$36&gt;35,N79+M80-V79,IF(A80&lt;'Données projet'!$A$36,$K$205^A80,IF(A80='Données projet'!$A$36,'Données projet'!$B$36,N79+M80-V79)))</f>
        <v>298.00000000000006</v>
      </c>
      <c r="O80" s="14">
        <f>N80*VLOOKUP('Données projet'!$B$9,Paramètres!$A$1:$I$89,3,0)*VLOOKUP('Données projet'!$B$9,Paramètres!$A$1:$I$89,5,0)</f>
        <v>269.63040000000007</v>
      </c>
      <c r="P80" s="14">
        <f t="shared" si="87"/>
        <v>64.770824587436138</v>
      </c>
      <c r="Q80" s="22">
        <f t="shared" si="54"/>
        <v>582.41546615645132</v>
      </c>
      <c r="R80" s="62">
        <f t="shared" si="55"/>
        <v>875.74879948978469</v>
      </c>
      <c r="S80" s="62">
        <f ca="1">AVERAGE(OFFSET($R$3,0,0,'Données projet'!$E$9+1,1))-AVERAGE(OFFSET($H$3,0,0,'Données projet'!$E$9+1,1))</f>
        <v>415.89259563928869</v>
      </c>
      <c r="T80" s="62">
        <f t="shared" si="88"/>
        <v>240.19413322685813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279.19999999999987</v>
      </c>
      <c r="AJ80" s="14">
        <f>AI80*VLOOKUP('Données projet'!$B$10,Paramètres!$A$1:$I$89,3,0)*VLOOKUP('Données projet'!$B$10,Paramètres!$A$1:$I$89,5,0)</f>
        <v>182.93183999999991</v>
      </c>
      <c r="AK80" s="14">
        <f t="shared" si="89"/>
        <v>45.973851929814643</v>
      </c>
      <c r="AL80" s="22">
        <f t="shared" si="58"/>
        <v>398.67741344442697</v>
      </c>
      <c r="AM80" s="62">
        <f t="shared" si="59"/>
        <v>692.01074677776023</v>
      </c>
      <c r="AN80" s="62">
        <f ca="1">AVERAGE(OFFSET($AM$3,0,0,'Données projet'!$E$10+1,1))-AVERAGE(OFFSET($H$3,0,0,'Données projet'!$E$10+1,1))</f>
        <v>214.08705070588002</v>
      </c>
      <c r="AO80" s="62">
        <f t="shared" si="90"/>
        <v>251.33527585147152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-5.6843418860808015E-14</v>
      </c>
      <c r="BE80" s="14">
        <f>BD80*VLOOKUP('Données projet'!$B$11,Paramètres!$A$1:$I$89,3,0)*VLOOKUP('Données projet'!$B$11,Paramètres!$A$1:$I$89,5,0)</f>
        <v>-3.2514435588382188E-14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239.41486198585676</v>
      </c>
      <c r="BJ80" s="62">
        <f t="shared" si="92"/>
        <v>224.9174498508774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2.6056461934743431E-7</v>
      </c>
      <c r="BS80" s="24">
        <f t="shared" si="63"/>
        <v>2.6056461934743431E-7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-5.6843418860808015E-13</v>
      </c>
      <c r="BZ80" s="14">
        <f>BY80*VLOOKUP('Données projet'!$B$12,Paramètres!$A$1:$I$89,3,0)*VLOOKUP('Données projet'!$B$12,Paramètres!$A$1:$I$89,5,0)</f>
        <v>-3.39923644787632E-13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288.65195492450403</v>
      </c>
      <c r="CE80" s="62">
        <f t="shared" si="94"/>
        <v>310.66800441693891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2.5950446824426283E-6</v>
      </c>
      <c r="CN80" s="24">
        <f t="shared" si="66"/>
        <v>2.5950446824426283E-6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12</v>
      </c>
      <c r="CT80" s="13">
        <f>IF('Données projet'!$A$140&gt;35,CT79+CS80-DB79,IF(A80&lt;'Données projet'!$A$140,$CQ$205^A80,IF(A80='Données projet'!$A$140,'Données projet'!$B$140,CT79+CS80-DB79)))</f>
        <v>1128.9999999999993</v>
      </c>
      <c r="CU80" s="18">
        <f>CT80*VLOOKUP('Données projet'!$B$13,Paramètres!$A$1:$I$89,3,0)*VLOOKUP('Données projet'!$B$13,Paramètres!$A$1:$I$89,5,0)</f>
        <v>499.01799999999974</v>
      </c>
      <c r="CV80" s="14">
        <f t="shared" si="95"/>
        <v>111.58544485306425</v>
      </c>
      <c r="CW80" s="22">
        <f t="shared" si="67"/>
        <v>1063.46766645242</v>
      </c>
      <c r="CX80" s="62">
        <f t="shared" si="68"/>
        <v>1356.8009997857532</v>
      </c>
      <c r="CY80" s="62">
        <f ca="1">AVERAGE(OFFSET($CX$3,0,0,'Données projet'!$E$13+1,1))-AVERAGE(OFFSET($H$3,0,0,'Données projet'!$E$13+1,1))</f>
        <v>572.6451446653349</v>
      </c>
      <c r="CZ80" s="62">
        <f t="shared" si="96"/>
        <v>389.15977992931374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7</v>
      </c>
      <c r="DO80" s="13">
        <f>IF('Données projet'!$A$166&gt;35,DO79+DN80-DW79,IF(A80&lt;'Données projet'!$A$166,$DL$205^A80,IF(A80='Données projet'!$A$166,'Données projet'!$B$166,DO79+DN80-DW79)))</f>
        <v>298.00000000000006</v>
      </c>
      <c r="DP80" s="18">
        <f>DO80*VLOOKUP('Données projet'!$B$14,Paramètres!$A$1:$I$89,3,0)*VLOOKUP('Données projet'!$B$14,Paramètres!$A$1:$I$89,5,0)</f>
        <v>251.03520000000009</v>
      </c>
      <c r="DQ80" s="14">
        <f t="shared" si="97"/>
        <v>60.807560012183352</v>
      </c>
      <c r="DR80" s="22">
        <f t="shared" si="70"/>
        <v>543.12614035455283</v>
      </c>
      <c r="DS80" s="62">
        <f t="shared" si="71"/>
        <v>836.4594736878862</v>
      </c>
      <c r="DT80" s="62">
        <f ca="1">AVERAGE(OFFSET($DS$3,0,0,'Données projet'!$E$14+1,1))-AVERAGE(OFFSET($H$3,0,0,'Données projet'!$E$14+1,1))</f>
        <v>383.83934938682984</v>
      </c>
      <c r="DU80" s="62">
        <f t="shared" si="98"/>
        <v>223.93106361972281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352.92871180627031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</v>
      </c>
      <c r="N81" s="14">
        <f>IF('Données projet'!$A$36&gt;35,N80+M81-V80,IF(A81&lt;'Données projet'!$A$36,$K$205^A81,IF(A81='Données projet'!$A$36,'Données projet'!$B$36,N80+M81-V80)))</f>
        <v>305.00000000000006</v>
      </c>
      <c r="O81" s="14">
        <f>N81*VLOOKUP('Données projet'!$B$9,Paramètres!$A$1:$I$89,3,0)*VLOOKUP('Données projet'!$B$9,Paramètres!$A$1:$I$89,5,0)</f>
        <v>275.96400000000006</v>
      </c>
      <c r="P81" s="14">
        <f t="shared" si="87"/>
        <v>66.113366665488911</v>
      </c>
      <c r="Q81" s="22">
        <f t="shared" si="54"/>
        <v>595.78474694239321</v>
      </c>
      <c r="R81" s="62">
        <f t="shared" si="55"/>
        <v>889.11808027572647</v>
      </c>
      <c r="S81" s="62">
        <f ca="1">AVERAGE(OFFSET($R$3,0,0,'Données projet'!$E$9+1,1))-AVERAGE(OFFSET($H$3,0,0,'Données projet'!$E$9+1,1))</f>
        <v>415.89259563928869</v>
      </c>
      <c r="T81" s="62">
        <f t="shared" si="88"/>
        <v>240.19413322685813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283.7999999999999</v>
      </c>
      <c r="AJ81" s="14">
        <f>AI81*VLOOKUP('Données projet'!$B$10,Paramètres!$A$1:$I$89,3,0)*VLOOKUP('Données projet'!$B$10,Paramètres!$A$1:$I$89,5,0)</f>
        <v>185.94575999999995</v>
      </c>
      <c r="AK81" s="14">
        <f t="shared" si="89"/>
        <v>46.642495871697967</v>
      </c>
      <c r="AL81" s="22">
        <f t="shared" si="58"/>
        <v>405.09121230987381</v>
      </c>
      <c r="AM81" s="62">
        <f t="shared" si="59"/>
        <v>698.42454564320713</v>
      </c>
      <c r="AN81" s="62">
        <f ca="1">AVERAGE(OFFSET($AM$3,0,0,'Données projet'!$E$10+1,1))-AVERAGE(OFFSET($H$3,0,0,'Données projet'!$E$10+1,1))</f>
        <v>214.08705070588002</v>
      </c>
      <c r="AO81" s="62">
        <f t="shared" si="90"/>
        <v>251.33527585147152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-5.6843418860808015E-14</v>
      </c>
      <c r="BE81" s="14">
        <f>BD81*VLOOKUP('Données projet'!$B$11,Paramètres!$A$1:$I$89,3,0)*VLOOKUP('Données projet'!$B$11,Paramètres!$A$1:$I$89,5,0)</f>
        <v>-3.2514435588382188E-14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239.41486198585676</v>
      </c>
      <c r="BJ81" s="62">
        <f t="shared" si="92"/>
        <v>224.9174498508774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1.8424700927786228E-7</v>
      </c>
      <c r="BS81" s="24">
        <f t="shared" si="63"/>
        <v>1.8424700927786228E-7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-5.6843418860808015E-13</v>
      </c>
      <c r="BZ81" s="14">
        <f>BY81*VLOOKUP('Données projet'!$B$12,Paramètres!$A$1:$I$89,3,0)*VLOOKUP('Données projet'!$B$12,Paramètres!$A$1:$I$89,5,0)</f>
        <v>-3.39923644787632E-13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288.65195492450403</v>
      </c>
      <c r="CE81" s="62">
        <f t="shared" si="94"/>
        <v>310.66800441693891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1.8349736924372734E-6</v>
      </c>
      <c r="CN81" s="24">
        <f t="shared" si="66"/>
        <v>1.8349736924372734E-6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12</v>
      </c>
      <c r="CT81" s="13">
        <f>IF('Données projet'!$A$140&gt;35,CT80+CS81-DB80,IF(A81&lt;'Données projet'!$A$140,$CQ$205^A81,IF(A81='Données projet'!$A$140,'Données projet'!$B$140,CT80+CS81-DB80)))</f>
        <v>1140.9999999999993</v>
      </c>
      <c r="CU81" s="18">
        <f>CT81*VLOOKUP('Données projet'!$B$13,Paramètres!$A$1:$I$89,3,0)*VLOOKUP('Données projet'!$B$13,Paramètres!$A$1:$I$89,5,0)</f>
        <v>504.32199999999972</v>
      </c>
      <c r="CV81" s="14">
        <f t="shared" si="95"/>
        <v>112.63277325209872</v>
      </c>
      <c r="CW81" s="22">
        <f t="shared" si="67"/>
        <v>1074.5295634140714</v>
      </c>
      <c r="CX81" s="62">
        <f t="shared" si="68"/>
        <v>1367.8628967474046</v>
      </c>
      <c r="CY81" s="62">
        <f ca="1">AVERAGE(OFFSET($CX$3,0,0,'Données projet'!$E$13+1,1))-AVERAGE(OFFSET($H$3,0,0,'Données projet'!$E$13+1,1))</f>
        <v>572.6451446653349</v>
      </c>
      <c r="CZ81" s="62">
        <f t="shared" si="96"/>
        <v>389.15977992931374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7</v>
      </c>
      <c r="DO81" s="13">
        <f>IF('Données projet'!$A$166&gt;35,DO80+DN81-DW80,IF(A81&lt;'Données projet'!$A$166,$DL$205^A81,IF(A81='Données projet'!$A$166,'Données projet'!$B$166,DO80+DN81-DW80)))</f>
        <v>305.00000000000006</v>
      </c>
      <c r="DP81" s="18">
        <f>DO81*VLOOKUP('Données projet'!$B$14,Paramètres!$A$1:$I$89,3,0)*VLOOKUP('Données projet'!$B$14,Paramètres!$A$1:$I$89,5,0)</f>
        <v>256.93200000000007</v>
      </c>
      <c r="DQ81" s="14">
        <f t="shared" si="97"/>
        <v>62.067953229346614</v>
      </c>
      <c r="DR81" s="22">
        <f t="shared" si="70"/>
        <v>555.59158520777885</v>
      </c>
      <c r="DS81" s="62">
        <f t="shared" si="71"/>
        <v>848.92491854111222</v>
      </c>
      <c r="DT81" s="62">
        <f ca="1">AVERAGE(OFFSET($DS$3,0,0,'Données projet'!$E$14+1,1))-AVERAGE(OFFSET($H$3,0,0,'Données projet'!$E$14+1,1))</f>
        <v>383.83934938682984</v>
      </c>
      <c r="DU81" s="62">
        <f t="shared" si="98"/>
        <v>223.93106361972281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354.12969276420569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</v>
      </c>
      <c r="N82" s="14">
        <f>IF('Données projet'!$A$36&gt;35,N81+M82-V81,IF(A82&lt;'Données projet'!$A$36,$K$205^A82,IF(A82='Données projet'!$A$36,'Données projet'!$B$36,N81+M82-V81)))</f>
        <v>312.00000000000006</v>
      </c>
      <c r="O82" s="14">
        <f>N82*VLOOKUP('Données projet'!$B$9,Paramètres!$A$1:$I$89,3,0)*VLOOKUP('Données projet'!$B$9,Paramètres!$A$1:$I$89,5,0)</f>
        <v>282.29760000000005</v>
      </c>
      <c r="P82" s="14">
        <f t="shared" si="87"/>
        <v>67.452326629470178</v>
      </c>
      <c r="Q82" s="22">
        <f t="shared" si="54"/>
        <v>609.14778887966054</v>
      </c>
      <c r="R82" s="62">
        <f t="shared" si="55"/>
        <v>902.4811222129938</v>
      </c>
      <c r="S82" s="62">
        <f ca="1">AVERAGE(OFFSET($R$3,0,0,'Données projet'!$E$9+1,1))-AVERAGE(OFFSET($H$3,0,0,'Données projet'!$E$9+1,1))</f>
        <v>415.89259563928869</v>
      </c>
      <c r="T82" s="62">
        <f t="shared" si="88"/>
        <v>240.19413322685813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288.39999999999992</v>
      </c>
      <c r="AJ82" s="14">
        <f>AI82*VLOOKUP('Données projet'!$B$10,Paramètres!$A$1:$I$89,3,0)*VLOOKUP('Données projet'!$B$10,Paramètres!$A$1:$I$89,5,0)</f>
        <v>188.95967999999993</v>
      </c>
      <c r="AK82" s="14">
        <f t="shared" si="89"/>
        <v>47.309879426864164</v>
      </c>
      <c r="AL82" s="22">
        <f t="shared" si="58"/>
        <v>411.50281600178829</v>
      </c>
      <c r="AM82" s="62">
        <f t="shared" si="59"/>
        <v>704.8361493351216</v>
      </c>
      <c r="AN82" s="62">
        <f ca="1">AVERAGE(OFFSET($AM$3,0,0,'Données projet'!$E$10+1,1))-AVERAGE(OFFSET($H$3,0,0,'Données projet'!$E$10+1,1))</f>
        <v>214.08705070588002</v>
      </c>
      <c r="AO82" s="62">
        <f t="shared" si="90"/>
        <v>251.33527585147152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-5.6843418860808015E-14</v>
      </c>
      <c r="BE82" s="14">
        <f>BD82*VLOOKUP('Données projet'!$B$11,Paramètres!$A$1:$I$89,3,0)*VLOOKUP('Données projet'!$B$11,Paramètres!$A$1:$I$89,5,0)</f>
        <v>-3.2514435588382188E-14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239.41486198585676</v>
      </c>
      <c r="BJ82" s="62">
        <f t="shared" si="92"/>
        <v>224.9174498508774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1.3028230967371715E-7</v>
      </c>
      <c r="BS82" s="24">
        <f t="shared" si="63"/>
        <v>1.3028230967371715E-7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-5.6843418860808015E-13</v>
      </c>
      <c r="BZ82" s="14">
        <f>BY82*VLOOKUP('Données projet'!$B$12,Paramètres!$A$1:$I$89,3,0)*VLOOKUP('Données projet'!$B$12,Paramètres!$A$1:$I$89,5,0)</f>
        <v>-3.39923644787632E-13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288.65195492450403</v>
      </c>
      <c r="CE82" s="62">
        <f t="shared" si="94"/>
        <v>310.66800441693891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1.2975223412213144E-6</v>
      </c>
      <c r="CN82" s="24">
        <f t="shared" si="66"/>
        <v>1.2975223412213144E-6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>
        <f>VLOOKUP(A82,'Données projet'!$A$139:$I$159,2,0)</f>
        <v>1153</v>
      </c>
      <c r="CR82" s="13">
        <f>VLOOKUP(A82,'Données projet'!$A$139:$I$159,9,0)</f>
        <v>12</v>
      </c>
      <c r="CS82" s="13">
        <f t="array" ref="CS82">INDEX(CR:CR,MIN(IF(ISNUMBER(CR82:CR278),ROW(CR82:CR278),"")))</f>
        <v>12</v>
      </c>
      <c r="CT82" s="13">
        <f>IF('Données projet'!$A$140&gt;35,CT81+CS82-DB81,IF(A82&lt;'Données projet'!$A$140,$CQ$205^A82,IF(A82='Données projet'!$A$140,'Données projet'!$B$140,CT81+CS82-DB81)))</f>
        <v>1152.9999999999993</v>
      </c>
      <c r="CU82" s="18">
        <f>CT82*VLOOKUP('Données projet'!$B$13,Paramètres!$A$1:$I$89,3,0)*VLOOKUP('Données projet'!$B$13,Paramètres!$A$1:$I$89,5,0)</f>
        <v>509.62599999999975</v>
      </c>
      <c r="CV82" s="14">
        <f t="shared" si="95"/>
        <v>113.67882028238731</v>
      </c>
      <c r="CW82" s="22">
        <f t="shared" si="67"/>
        <v>1085.5892286584906</v>
      </c>
      <c r="CX82" s="62">
        <f t="shared" si="68"/>
        <v>1378.9225619918238</v>
      </c>
      <c r="CY82" s="62">
        <f ca="1">AVERAGE(OFFSET($CX$3,0,0,'Données projet'!$E$13+1,1))-AVERAGE(OFFSET($H$3,0,0,'Données projet'!$E$13+1,1))</f>
        <v>572.6451446653349</v>
      </c>
      <c r="CZ82" s="62">
        <f t="shared" si="96"/>
        <v>389.15977992931374</v>
      </c>
      <c r="DA82" s="16">
        <f>IF(ISNA(VLOOKUP(A82,'Données projet'!$A$139:$I$159,3,0)),0,VLOOKUP(A82,'Données projet'!$A$139:$I$159,3,0))</f>
        <v>8</v>
      </c>
      <c r="DB82" s="16">
        <f>IF(ISNA(VLOOKUP(A82,'Données projet'!$A$139:$I$159,4,0)),0,VLOOKUP(A82,'Données projet'!$A$139:$I$159,4,0))</f>
        <v>1153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7</v>
      </c>
      <c r="DO82" s="13">
        <f>IF('Données projet'!$A$166&gt;35,DO81+DN82-DW81,IF(A82&lt;'Données projet'!$A$166,$DL$205^A82,IF(A82='Données projet'!$A$166,'Données projet'!$B$166,DO81+DN82-DW81)))</f>
        <v>312.00000000000006</v>
      </c>
      <c r="DP82" s="18">
        <f>DO82*VLOOKUP('Données projet'!$B$14,Paramètres!$A$1:$I$89,3,0)*VLOOKUP('Données projet'!$B$14,Paramètres!$A$1:$I$89,5,0)</f>
        <v>262.82880000000006</v>
      </c>
      <c r="DQ82" s="14">
        <f t="shared" si="97"/>
        <v>63.324983518559485</v>
      </c>
      <c r="DR82" s="22">
        <f t="shared" si="70"/>
        <v>568.05117296149115</v>
      </c>
      <c r="DS82" s="62">
        <f t="shared" si="71"/>
        <v>861.3845062948244</v>
      </c>
      <c r="DT82" s="62">
        <f ca="1">AVERAGE(OFFSET($DS$3,0,0,'Données projet'!$E$14+1,1))-AVERAGE(OFFSET($H$3,0,0,'Données projet'!$E$14+1,1))</f>
        <v>383.83934938682984</v>
      </c>
      <c r="DU82" s="62">
        <f t="shared" si="98"/>
        <v>223.93106361972281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355.33030558297088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7</v>
      </c>
      <c r="N83" s="14">
        <f>IF('Données projet'!$A$36&gt;35,N82+M83-V82,IF(A83&lt;'Données projet'!$A$36,$K$205^A83,IF(A83='Données projet'!$A$36,'Données projet'!$B$36,N82+M83-V82)))</f>
        <v>319.00000000000006</v>
      </c>
      <c r="O83" s="14">
        <f>N83*VLOOKUP('Données projet'!$B$9,Paramètres!$A$1:$I$89,3,0)*VLOOKUP('Données projet'!$B$9,Paramètres!$A$1:$I$89,5,0)</f>
        <v>288.63120000000004</v>
      </c>
      <c r="P83" s="14">
        <f t="shared" si="87"/>
        <v>68.787794100289275</v>
      </c>
      <c r="Q83" s="22">
        <f t="shared" si="54"/>
        <v>622.50474805800388</v>
      </c>
      <c r="R83" s="62">
        <f t="shared" si="55"/>
        <v>915.83808139133725</v>
      </c>
      <c r="S83" s="62">
        <f ca="1">AVERAGE(OFFSET($R$3,0,0,'Données projet'!$E$9+1,1))-AVERAGE(OFFSET($H$3,0,0,'Données projet'!$E$9+1,1))</f>
        <v>415.89259563928869</v>
      </c>
      <c r="T83" s="62">
        <f t="shared" si="88"/>
        <v>240.19413322685813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293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292.99999999999994</v>
      </c>
      <c r="AJ83" s="14">
        <f>AI83*VLOOKUP('Données projet'!$B$10,Paramètres!$A$1:$I$89,3,0)*VLOOKUP('Données projet'!$B$10,Paramètres!$A$1:$I$89,5,0)</f>
        <v>191.97359999999998</v>
      </c>
      <c r="AK83" s="14">
        <f t="shared" si="89"/>
        <v>47.976025019682062</v>
      </c>
      <c r="AL83" s="22">
        <f t="shared" si="58"/>
        <v>417.91226357594616</v>
      </c>
      <c r="AM83" s="62">
        <f t="shared" si="59"/>
        <v>711.24559690927947</v>
      </c>
      <c r="AN83" s="62">
        <f ca="1">AVERAGE(OFFSET($AM$3,0,0,'Données projet'!$E$10+1,1))-AVERAGE(OFFSET($H$3,0,0,'Données projet'!$E$10+1,1))</f>
        <v>214.08705070588002</v>
      </c>
      <c r="AO83" s="62">
        <f t="shared" si="90"/>
        <v>251.33527585147152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293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-5.6843418860808015E-14</v>
      </c>
      <c r="BE83" s="14">
        <f>BD83*VLOOKUP('Données projet'!$B$11,Paramètres!$A$1:$I$89,3,0)*VLOOKUP('Données projet'!$B$11,Paramètres!$A$1:$I$89,5,0)</f>
        <v>-3.2514435588382188E-14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239.41486198585676</v>
      </c>
      <c r="BJ83" s="62">
        <f t="shared" si="92"/>
        <v>224.9174498508774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9.2123504638931139E-8</v>
      </c>
      <c r="BS83" s="24">
        <f t="shared" si="63"/>
        <v>9.2123504638931139E-8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-5.6843418860808015E-13</v>
      </c>
      <c r="BZ83" s="14">
        <f>BY83*VLOOKUP('Données projet'!$B$12,Paramètres!$A$1:$I$89,3,0)*VLOOKUP('Données projet'!$B$12,Paramètres!$A$1:$I$89,5,0)</f>
        <v>-3.39923644787632E-13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288.65195492450403</v>
      </c>
      <c r="CE83" s="62">
        <f t="shared" si="94"/>
        <v>310.66800441693891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9.1748684621863682E-7</v>
      </c>
      <c r="CN83" s="24">
        <f t="shared" si="66"/>
        <v>9.1748684621863682E-7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-6.8212102632969618E-13</v>
      </c>
      <c r="CU83" s="18">
        <f>CT83*VLOOKUP('Données projet'!$B$13,Paramètres!$A$1:$I$89,3,0)*VLOOKUP('Données projet'!$B$13,Paramètres!$A$1:$I$89,5,0)</f>
        <v>-3.0149749363772573E-13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572.6451446653349</v>
      </c>
      <c r="CZ83" s="62">
        <f t="shared" si="96"/>
        <v>389.15977992931374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7</v>
      </c>
      <c r="DO83" s="13">
        <f>IF('Données projet'!$A$166&gt;35,DO82+DN83-DW82,IF(A83&lt;'Données projet'!$A$166,$DL$205^A83,IF(A83='Données projet'!$A$166,'Données projet'!$B$166,DO82+DN83-DW82)))</f>
        <v>319.00000000000006</v>
      </c>
      <c r="DP83" s="18">
        <f>DO83*VLOOKUP('Données projet'!$B$14,Paramètres!$A$1:$I$89,3,0)*VLOOKUP('Données projet'!$B$14,Paramètres!$A$1:$I$89,5,0)</f>
        <v>268.7256000000001</v>
      </c>
      <c r="DQ83" s="14">
        <f t="shared" si="97"/>
        <v>64.578735016913868</v>
      </c>
      <c r="DR83" s="22">
        <f t="shared" si="70"/>
        <v>580.50505015445844</v>
      </c>
      <c r="DS83" s="62">
        <f t="shared" si="71"/>
        <v>873.83838348779182</v>
      </c>
      <c r="DT83" s="62">
        <f ca="1">AVERAGE(OFFSET($DS$3,0,0,'Données projet'!$E$14+1,1))-AVERAGE(OFFSET($H$3,0,0,'Données projet'!$E$14+1,1))</f>
        <v>383.83934938682984</v>
      </c>
      <c r="DU83" s="62">
        <f t="shared" si="98"/>
        <v>223.93106361972281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356.53055539648136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7</v>
      </c>
      <c r="N84" s="14">
        <f>IF('Données projet'!$A$36&gt;35,N83+M84-V83,IF(A84&lt;'Données projet'!$A$36,$K$205^A84,IF(A84='Données projet'!$A$36,'Données projet'!$B$36,N83+M84-V83)))</f>
        <v>326.00000000000006</v>
      </c>
      <c r="O84" s="14">
        <f>N84*VLOOKUP('Données projet'!$B$9,Paramètres!$A$1:$I$89,3,0)*VLOOKUP('Données projet'!$B$9,Paramètres!$A$1:$I$89,5,0)</f>
        <v>294.96480000000003</v>
      </c>
      <c r="P84" s="14">
        <f t="shared" si="87"/>
        <v>70.119854541045001</v>
      </c>
      <c r="Q84" s="22">
        <f t="shared" si="54"/>
        <v>635.85577332565333</v>
      </c>
      <c r="R84" s="62">
        <f t="shared" si="55"/>
        <v>929.1891066589867</v>
      </c>
      <c r="S84" s="62">
        <f ca="1">AVERAGE(OFFSET($R$3,0,0,'Données projet'!$E$9+1,1))-AVERAGE(OFFSET($H$3,0,0,'Données projet'!$E$9+1,1))</f>
        <v>415.89259563928869</v>
      </c>
      <c r="T84" s="62">
        <f t="shared" si="88"/>
        <v>240.19413322685813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-3.7243808037601412E-14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214.08705070588002</v>
      </c>
      <c r="AO84" s="62">
        <f t="shared" si="90"/>
        <v>251.33527585147152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-5.6843418860808015E-14</v>
      </c>
      <c r="BE84" s="14">
        <f>BD84*VLOOKUP('Données projet'!$B$11,Paramètres!$A$1:$I$89,3,0)*VLOOKUP('Données projet'!$B$11,Paramètres!$A$1:$I$89,5,0)</f>
        <v>-3.2514435588382188E-14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239.41486198585676</v>
      </c>
      <c r="BJ84" s="62">
        <f t="shared" si="92"/>
        <v>224.9174498508774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6.5141154836858576E-8</v>
      </c>
      <c r="BS84" s="24">
        <f t="shared" si="63"/>
        <v>6.5141154836858576E-8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-5.6843418860808015E-13</v>
      </c>
      <c r="BZ84" s="14">
        <f>BY84*VLOOKUP('Données projet'!$B$12,Paramètres!$A$1:$I$89,3,0)*VLOOKUP('Données projet'!$B$12,Paramètres!$A$1:$I$89,5,0)</f>
        <v>-3.39923644787632E-13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288.65195492450403</v>
      </c>
      <c r="CE84" s="62">
        <f t="shared" si="94"/>
        <v>310.66800441693891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6.4876117061065729E-7</v>
      </c>
      <c r="CN84" s="24">
        <f t="shared" si="66"/>
        <v>6.4876117061065729E-7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-6.8212102632969618E-13</v>
      </c>
      <c r="CU84" s="18">
        <f>CT84*VLOOKUP('Données projet'!$B$13,Paramètres!$A$1:$I$89,3,0)*VLOOKUP('Données projet'!$B$13,Paramètres!$A$1:$I$89,5,0)</f>
        <v>-3.0149749363772573E-13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572.6451446653349</v>
      </c>
      <c r="CZ84" s="62">
        <f t="shared" si="96"/>
        <v>389.15977992931374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7</v>
      </c>
      <c r="DO84" s="13">
        <f>IF('Données projet'!$A$166&gt;35,DO83+DN84-DW83,IF(A84&lt;'Données projet'!$A$166,$DL$205^A84,IF(A84='Données projet'!$A$166,'Données projet'!$B$166,DO83+DN84-DW83)))</f>
        <v>326.00000000000006</v>
      </c>
      <c r="DP84" s="18">
        <f>DO84*VLOOKUP('Données projet'!$B$14,Paramètres!$A$1:$I$89,3,0)*VLOOKUP('Données projet'!$B$14,Paramètres!$A$1:$I$89,5,0)</f>
        <v>274.62240000000008</v>
      </c>
      <c r="DQ84" s="14">
        <f t="shared" si="97"/>
        <v>65.829287958103762</v>
      </c>
      <c r="DR84" s="22">
        <f t="shared" si="70"/>
        <v>592.95335652703079</v>
      </c>
      <c r="DS84" s="62">
        <f t="shared" si="71"/>
        <v>886.28668986036405</v>
      </c>
      <c r="DT84" s="62">
        <f ca="1">AVERAGE(OFFSET($DS$3,0,0,'Données projet'!$E$14+1,1))-AVERAGE(OFFSET($H$3,0,0,'Données projet'!$E$14+1,1))</f>
        <v>383.83934938682984</v>
      </c>
      <c r="DU84" s="62">
        <f t="shared" si="98"/>
        <v>223.93106361972281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357.73044720459762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7</v>
      </c>
      <c r="N85" s="14">
        <f>IF('Données projet'!$A$36&gt;35,N84+M85-V84,IF(A85&lt;'Données projet'!$A$36,$K$205^A85,IF(A85='Données projet'!$A$36,'Données projet'!$B$36,N84+M85-V84)))</f>
        <v>333.00000000000006</v>
      </c>
      <c r="O85" s="14">
        <f>N85*VLOOKUP('Données projet'!$B$9,Paramètres!$A$1:$I$89,3,0)*VLOOKUP('Données projet'!$B$9,Paramètres!$A$1:$I$89,5,0)</f>
        <v>301.29840000000002</v>
      </c>
      <c r="P85" s="14">
        <f t="shared" si="87"/>
        <v>71.448589534990518</v>
      </c>
      <c r="Q85" s="22">
        <f t="shared" si="54"/>
        <v>649.2010067734418</v>
      </c>
      <c r="R85" s="62">
        <f t="shared" si="55"/>
        <v>942.53434010677506</v>
      </c>
      <c r="S85" s="62">
        <f ca="1">AVERAGE(OFFSET($R$3,0,0,'Données projet'!$E$9+1,1))-AVERAGE(OFFSET($H$3,0,0,'Données projet'!$E$9+1,1))</f>
        <v>415.89259563928869</v>
      </c>
      <c r="T85" s="62">
        <f t="shared" si="88"/>
        <v>240.19413322685813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-3.7243808037601412E-14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214.08705070588002</v>
      </c>
      <c r="AO85" s="62">
        <f t="shared" si="90"/>
        <v>251.33527585147152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-5.6843418860808015E-14</v>
      </c>
      <c r="BE85" s="14">
        <f>BD85*VLOOKUP('Données projet'!$B$11,Paramètres!$A$1:$I$89,3,0)*VLOOKUP('Données projet'!$B$11,Paramètres!$A$1:$I$89,5,0)</f>
        <v>-3.2514435588382188E-14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239.41486198585676</v>
      </c>
      <c r="BJ85" s="62">
        <f t="shared" si="92"/>
        <v>224.9174498508774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4.6061752319465569E-8</v>
      </c>
      <c r="BS85" s="24">
        <f t="shared" si="63"/>
        <v>4.6061752319465569E-8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-5.6843418860808015E-13</v>
      </c>
      <c r="BZ85" s="14">
        <f>BY85*VLOOKUP('Données projet'!$B$12,Paramètres!$A$1:$I$89,3,0)*VLOOKUP('Données projet'!$B$12,Paramètres!$A$1:$I$89,5,0)</f>
        <v>-3.39923644787632E-13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288.65195492450403</v>
      </c>
      <c r="CE85" s="62">
        <f t="shared" si="94"/>
        <v>310.66800441693891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4.5874342310931852E-7</v>
      </c>
      <c r="CN85" s="24">
        <f t="shared" si="66"/>
        <v>4.5874342310931852E-7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-6.8212102632969618E-13</v>
      </c>
      <c r="CU85" s="18">
        <f>CT85*VLOOKUP('Données projet'!$B$13,Paramètres!$A$1:$I$89,3,0)*VLOOKUP('Données projet'!$B$13,Paramètres!$A$1:$I$89,5,0)</f>
        <v>-3.0149749363772573E-13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572.6451446653349</v>
      </c>
      <c r="CZ85" s="62">
        <f t="shared" si="96"/>
        <v>389.15977992931374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7</v>
      </c>
      <c r="DO85" s="13">
        <f>IF('Données projet'!$A$166&gt;35,DO84+DN85-DW84,IF(A85&lt;'Données projet'!$A$166,$DL$205^A85,IF(A85='Données projet'!$A$166,'Données projet'!$B$166,DO84+DN85-DW84)))</f>
        <v>333.00000000000006</v>
      </c>
      <c r="DP85" s="18">
        <f>DO85*VLOOKUP('Données projet'!$B$14,Paramètres!$A$1:$I$89,3,0)*VLOOKUP('Données projet'!$B$14,Paramètres!$A$1:$I$89,5,0)</f>
        <v>280.51920000000007</v>
      </c>
      <c r="DQ85" s="14">
        <f t="shared" si="97"/>
        <v>67.07671893338123</v>
      </c>
      <c r="DR85" s="22">
        <f t="shared" si="70"/>
        <v>605.39622547563897</v>
      </c>
      <c r="DS85" s="62">
        <f t="shared" si="71"/>
        <v>898.72955880897234</v>
      </c>
      <c r="DT85" s="62">
        <f ca="1">AVERAGE(OFFSET($DS$3,0,0,'Données projet'!$E$14+1,1))-AVERAGE(OFFSET($H$3,0,0,'Données projet'!$E$14+1,1))</f>
        <v>383.83934938682984</v>
      </c>
      <c r="DU85" s="62">
        <f t="shared" si="98"/>
        <v>223.93106361972281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358.92998587821728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7</v>
      </c>
      <c r="N86" s="14">
        <f>IF('Données projet'!$A$36&gt;35,N85+M86-V85,IF(A86&lt;'Données projet'!$A$36,$K$205^A86,IF(A86='Données projet'!$A$36,'Données projet'!$B$36,N85+M86-V85)))</f>
        <v>340.00000000000006</v>
      </c>
      <c r="O86" s="14">
        <f>N86*VLOOKUP('Données projet'!$B$9,Paramètres!$A$1:$I$89,3,0)*VLOOKUP('Données projet'!$B$9,Paramètres!$A$1:$I$89,5,0)</f>
        <v>307.63200000000006</v>
      </c>
      <c r="P86" s="14">
        <f t="shared" si="87"/>
        <v>72.774077039465567</v>
      </c>
      <c r="Q86" s="22">
        <f t="shared" si="54"/>
        <v>662.54058417706926</v>
      </c>
      <c r="R86" s="62">
        <f t="shared" si="55"/>
        <v>955.87391751040263</v>
      </c>
      <c r="S86" s="62">
        <f ca="1">AVERAGE(OFFSET($R$3,0,0,'Données projet'!$E$9+1,1))-AVERAGE(OFFSET($H$3,0,0,'Données projet'!$E$9+1,1))</f>
        <v>415.89259563928869</v>
      </c>
      <c r="T86" s="62">
        <f t="shared" si="88"/>
        <v>240.19413322685813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-3.7243808037601412E-14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214.08705070588002</v>
      </c>
      <c r="AO86" s="62">
        <f t="shared" si="90"/>
        <v>251.33527585147152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-3.2514435588382188E-14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239.41486198585676</v>
      </c>
      <c r="BJ86" s="62">
        <f t="shared" si="92"/>
        <v>224.9174498508774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3.2570577418429288E-8</v>
      </c>
      <c r="BS86" s="24">
        <f t="shared" si="63"/>
        <v>3.2570577418429288E-8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-5.6843418860808015E-13</v>
      </c>
      <c r="BZ86" s="14">
        <f>BY86*VLOOKUP('Données projet'!$B$12,Paramètres!$A$1:$I$89,3,0)*VLOOKUP('Données projet'!$B$12,Paramètres!$A$1:$I$89,5,0)</f>
        <v>-3.39923644787632E-13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288.65195492450403</v>
      </c>
      <c r="CE86" s="62">
        <f t="shared" si="94"/>
        <v>310.66800441693891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3.243805853053287E-7</v>
      </c>
      <c r="CN86" s="24">
        <f t="shared" si="66"/>
        <v>3.243805853053287E-7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-6.8212102632969618E-13</v>
      </c>
      <c r="CU86" s="18">
        <f>CT86*VLOOKUP('Données projet'!$B$13,Paramètres!$A$1:$I$89,3,0)*VLOOKUP('Données projet'!$B$13,Paramètres!$A$1:$I$89,5,0)</f>
        <v>-3.0149749363772573E-13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572.6451446653349</v>
      </c>
      <c r="CZ86" s="62">
        <f t="shared" si="96"/>
        <v>389.15977992931374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7</v>
      </c>
      <c r="DO86" s="13">
        <f>IF('Données projet'!$A$166&gt;35,DO85+DN86-DW85,IF(A86&lt;'Données projet'!$A$166,$DL$205^A86,IF(A86='Données projet'!$A$166,'Données projet'!$B$166,DO85+DN86-DW85)))</f>
        <v>340.00000000000006</v>
      </c>
      <c r="DP86" s="18">
        <f>DO86*VLOOKUP('Données projet'!$B$14,Paramètres!$A$1:$I$89,3,0)*VLOOKUP('Données projet'!$B$14,Paramètres!$A$1:$I$89,5,0)</f>
        <v>286.41600000000011</v>
      </c>
      <c r="DQ86" s="14">
        <f t="shared" si="97"/>
        <v>68.321101129951245</v>
      </c>
      <c r="DR86" s="22">
        <f t="shared" si="70"/>
        <v>617.83378446799861</v>
      </c>
      <c r="DS86" s="62">
        <f t="shared" si="71"/>
        <v>911.16711780133187</v>
      </c>
      <c r="DT86" s="62">
        <f ca="1">AVERAGE(OFFSET($DS$3,0,0,'Données projet'!$E$14+1,1))-AVERAGE(OFFSET($H$3,0,0,'Données projet'!$E$14+1,1))</f>
        <v>383.83934938682984</v>
      </c>
      <c r="DU86" s="62">
        <f t="shared" si="98"/>
        <v>223.93106361972281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360.12917616411374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7</v>
      </c>
      <c r="N87" s="14">
        <f>IF('Données projet'!$A$36&gt;35,N86+M87-V86,IF(A87&lt;'Données projet'!$A$36,$K$205^A87,IF(A87='Données projet'!$A$36,'Données projet'!$B$36,N86+M87-V86)))</f>
        <v>347.00000000000006</v>
      </c>
      <c r="O87" s="14">
        <f>N87*VLOOKUP('Données projet'!$B$9,Paramètres!$A$1:$I$89,3,0)*VLOOKUP('Données projet'!$B$9,Paramètres!$A$1:$I$89,5,0)</f>
        <v>313.96560000000005</v>
      </c>
      <c r="P87" s="14">
        <f t="shared" si="87"/>
        <v>74.096391618326777</v>
      </c>
      <c r="Q87" s="22">
        <f t="shared" si="54"/>
        <v>675.87463540191914</v>
      </c>
      <c r="R87" s="62">
        <f t="shared" si="55"/>
        <v>969.20796873525251</v>
      </c>
      <c r="S87" s="62">
        <f ca="1">AVERAGE(OFFSET($R$3,0,0,'Données projet'!$E$9+1,1))-AVERAGE(OFFSET($H$3,0,0,'Données projet'!$E$9+1,1))</f>
        <v>415.89259563928869</v>
      </c>
      <c r="T87" s="62">
        <f t="shared" si="88"/>
        <v>240.19413322685813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-3.7243808037601412E-14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214.08705070588002</v>
      </c>
      <c r="AO87" s="62">
        <f t="shared" si="90"/>
        <v>251.33527585147152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-3.2514435588382188E-14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239.41486198585676</v>
      </c>
      <c r="BJ87" s="62">
        <f t="shared" si="92"/>
        <v>224.9174498508774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2.3030876159732785E-8</v>
      </c>
      <c r="BS87" s="24">
        <f t="shared" si="63"/>
        <v>2.3030876159732785E-8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-5.6843418860808015E-13</v>
      </c>
      <c r="BZ87" s="14">
        <f>BY87*VLOOKUP('Données projet'!$B$12,Paramètres!$A$1:$I$89,3,0)*VLOOKUP('Données projet'!$B$12,Paramètres!$A$1:$I$89,5,0)</f>
        <v>-3.39923644787632E-13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288.65195492450403</v>
      </c>
      <c r="CE87" s="62">
        <f t="shared" si="94"/>
        <v>310.66800441693891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2.2937171155465928E-7</v>
      </c>
      <c r="CN87" s="24">
        <f t="shared" si="66"/>
        <v>2.2937171155465928E-7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-6.8212102632969618E-13</v>
      </c>
      <c r="CU87" s="18">
        <f>CT87*VLOOKUP('Données projet'!$B$13,Paramètres!$A$1:$I$89,3,0)*VLOOKUP('Données projet'!$B$13,Paramètres!$A$1:$I$89,5,0)</f>
        <v>-3.0149749363772573E-13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572.6451446653349</v>
      </c>
      <c r="CZ87" s="62">
        <f t="shared" si="96"/>
        <v>389.15977992931374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7</v>
      </c>
      <c r="DO87" s="13">
        <f>IF('Données projet'!$A$166&gt;35,DO86+DN87-DW86,IF(A87&lt;'Données projet'!$A$166,$DL$205^A87,IF(A87='Données projet'!$A$166,'Données projet'!$B$166,DO86+DN87-DW86)))</f>
        <v>347.00000000000006</v>
      </c>
      <c r="DP87" s="18">
        <f>DO87*VLOOKUP('Données projet'!$B$14,Paramètres!$A$1:$I$89,3,0)*VLOOKUP('Données projet'!$B$14,Paramètres!$A$1:$I$89,5,0)</f>
        <v>292.3128000000001</v>
      </c>
      <c r="DQ87" s="14">
        <f t="shared" si="97"/>
        <v>69.562504549179678</v>
      </c>
      <c r="DR87" s="22">
        <f t="shared" si="70"/>
        <v>630.26615542315471</v>
      </c>
      <c r="DS87" s="62">
        <f t="shared" si="71"/>
        <v>923.59948875648797</v>
      </c>
      <c r="DT87" s="62">
        <f ca="1">AVERAGE(OFFSET($DS$3,0,0,'Données projet'!$E$14+1,1))-AVERAGE(OFFSET($H$3,0,0,'Données projet'!$E$14+1,1))</f>
        <v>383.83934938682984</v>
      </c>
      <c r="DU87" s="62">
        <f t="shared" si="98"/>
        <v>223.93106361972281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361.32802268953901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354</v>
      </c>
      <c r="L88" s="13">
        <f>VLOOKUP(A88,'Données projet'!$A$35:$I$55,9,0)</f>
        <v>7</v>
      </c>
      <c r="M88" s="13">
        <f t="array" ref="M88">INDEX(L:L,MIN(IF(ISNUMBER(L88:L284),ROW(L88:L284),"")))</f>
        <v>7</v>
      </c>
      <c r="N88" s="14">
        <f>IF('Données projet'!$A$36&gt;35,N87+M88-V87,IF(A88&lt;'Données projet'!$A$36,$K$205^A88,IF(A88='Données projet'!$A$36,'Données projet'!$B$36,N87+M88-V87)))</f>
        <v>354.00000000000006</v>
      </c>
      <c r="O88" s="14">
        <f>N88*VLOOKUP('Données projet'!$B$9,Paramètres!$A$1:$I$89,3,0)*VLOOKUP('Données projet'!$B$9,Paramètres!$A$1:$I$89,5,0)</f>
        <v>320.29920000000004</v>
      </c>
      <c r="P88" s="14">
        <f t="shared" si="87"/>
        <v>75.415604655092991</v>
      </c>
      <c r="Q88" s="22">
        <f t="shared" si="54"/>
        <v>689.203284774287</v>
      </c>
      <c r="R88" s="62">
        <f t="shared" si="55"/>
        <v>982.53661810762037</v>
      </c>
      <c r="S88" s="62">
        <f ca="1">AVERAGE(OFFSET($R$3,0,0,'Données projet'!$E$9+1,1))-AVERAGE(OFFSET($H$3,0,0,'Données projet'!$E$9+1,1))</f>
        <v>415.89259563928869</v>
      </c>
      <c r="T88" s="62">
        <f t="shared" si="88"/>
        <v>240.19413322685813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56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-3.7243808037601412E-14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214.08705070588002</v>
      </c>
      <c r="AO88" s="62">
        <f t="shared" si="90"/>
        <v>251.33527585147152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-3.2514435588382188E-14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239.41486198585676</v>
      </c>
      <c r="BJ88" s="62">
        <f t="shared" si="92"/>
        <v>224.9174498508774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1.6285288709214644E-8</v>
      </c>
      <c r="BS88" s="24">
        <f t="shared" si="63"/>
        <v>1.6285288709214644E-8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-5.6843418860808015E-13</v>
      </c>
      <c r="BZ88" s="14">
        <f>BY88*VLOOKUP('Données projet'!$B$12,Paramètres!$A$1:$I$89,3,0)*VLOOKUP('Données projet'!$B$12,Paramètres!$A$1:$I$89,5,0)</f>
        <v>-3.39923644787632E-13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288.65195492450403</v>
      </c>
      <c r="CE88" s="62">
        <f t="shared" si="94"/>
        <v>310.66800441693891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1.6219029265266438E-7</v>
      </c>
      <c r="CN88" s="24">
        <f t="shared" si="66"/>
        <v>1.6219029265266438E-7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-6.8212102632969618E-13</v>
      </c>
      <c r="CU88" s="18">
        <f>CT88*VLOOKUP('Données projet'!$B$13,Paramètres!$A$1:$I$89,3,0)*VLOOKUP('Données projet'!$B$13,Paramètres!$A$1:$I$89,5,0)</f>
        <v>-3.0149749363772573E-13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572.6451446653349</v>
      </c>
      <c r="CZ88" s="62">
        <f t="shared" si="96"/>
        <v>389.15977992931374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354</v>
      </c>
      <c r="DM88" s="13">
        <f>VLOOKUP(A88,'Données projet'!$A$165:$I$185,9,0)</f>
        <v>7</v>
      </c>
      <c r="DN88" s="13">
        <f t="array" ref="DN88">INDEX(DM:DM,MIN(IF(ISNUMBER(DM88:DM284),ROW(DM88:DM284),"")))</f>
        <v>7</v>
      </c>
      <c r="DO88" s="13">
        <f>IF('Données projet'!$A$166&gt;35,DO87+DN88-DW87,IF(A88&lt;'Données projet'!$A$166,$DL$205^A88,IF(A88='Données projet'!$A$166,'Données projet'!$B$166,DO87+DN88-DW87)))</f>
        <v>354.00000000000006</v>
      </c>
      <c r="DP88" s="18">
        <f>DO88*VLOOKUP('Données projet'!$B$14,Paramètres!$A$1:$I$89,3,0)*VLOOKUP('Données projet'!$B$14,Paramètres!$A$1:$I$89,5,0)</f>
        <v>298.20960000000008</v>
      </c>
      <c r="DQ88" s="14">
        <f t="shared" si="97"/>
        <v>70.800996206696297</v>
      </c>
      <c r="DR88" s="22">
        <f t="shared" si="70"/>
        <v>642.69345505999615</v>
      </c>
      <c r="DS88" s="62">
        <f t="shared" si="71"/>
        <v>936.02678839332953</v>
      </c>
      <c r="DT88" s="62">
        <f ca="1">AVERAGE(OFFSET($DS$3,0,0,'Données projet'!$E$14+1,1))-AVERAGE(OFFSET($H$3,0,0,'Données projet'!$E$14+1,1))</f>
        <v>383.83934938682984</v>
      </c>
      <c r="DU88" s="62">
        <f t="shared" si="98"/>
        <v>223.93106361972281</v>
      </c>
      <c r="DV88" s="16">
        <f>IF(ISNA(VLOOKUP(A88,'Données projet'!$A$165:$I$185,3,0)),0,VLOOKUP(A88,'Données projet'!$A$165:$I$185,3,0))</f>
        <v>7</v>
      </c>
      <c r="DW88" s="16">
        <f>IF(ISNA(VLOOKUP(A88,'Données projet'!$A$165:$I$185,4,0)),0,VLOOKUP(A88,'Données projet'!$A$165:$I$185,4,0))</f>
        <v>56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362.52652996660277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6.3</v>
      </c>
      <c r="N89" s="14">
        <f>IF('Données projet'!$A$36&gt;35,N88+M89-V88,IF(A89&lt;'Données projet'!$A$36,$K$205^A89,IF(A89='Données projet'!$A$36,'Données projet'!$B$36,N88+M89-V88)))</f>
        <v>304.30000000000007</v>
      </c>
      <c r="O89" s="14">
        <f>N89*VLOOKUP('Données projet'!$B$9,Paramètres!$A$1:$I$89,3,0)*VLOOKUP('Données projet'!$B$9,Paramètres!$A$1:$I$89,5,0)</f>
        <v>275.33064000000007</v>
      </c>
      <c r="P89" s="14">
        <f t="shared" si="87"/>
        <v>65.979275169167465</v>
      </c>
      <c r="Q89" s="22">
        <f t="shared" si="54"/>
        <v>594.44810225296681</v>
      </c>
      <c r="R89" s="62">
        <f t="shared" si="55"/>
        <v>887.78143558630018</v>
      </c>
      <c r="S89" s="62">
        <f ca="1">AVERAGE(OFFSET($R$3,0,0,'Données projet'!$E$9+1,1))-AVERAGE(OFFSET($H$3,0,0,'Données projet'!$E$9+1,1))</f>
        <v>415.89259563928869</v>
      </c>
      <c r="T89" s="62">
        <f t="shared" si="88"/>
        <v>240.19413322685813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-3.7243808037601412E-14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214.08705070588002</v>
      </c>
      <c r="AO89" s="62">
        <f t="shared" si="90"/>
        <v>251.33527585147152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-3.2514435588382188E-14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239.41486198585676</v>
      </c>
      <c r="BJ89" s="62">
        <f t="shared" si="92"/>
        <v>224.9174498508774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1.1515438079866392E-8</v>
      </c>
      <c r="BS89" s="24">
        <f t="shared" si="63"/>
        <v>1.1515438079866392E-8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-5.6843418860808015E-13</v>
      </c>
      <c r="BZ89" s="14">
        <f>BY89*VLOOKUP('Données projet'!$B$12,Paramètres!$A$1:$I$89,3,0)*VLOOKUP('Données projet'!$B$12,Paramètres!$A$1:$I$89,5,0)</f>
        <v>-3.39923644787632E-13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288.65195492450403</v>
      </c>
      <c r="CE89" s="62">
        <f t="shared" si="94"/>
        <v>310.66800441693891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1.1468585577732967E-7</v>
      </c>
      <c r="CN89" s="24">
        <f t="shared" si="66"/>
        <v>1.1468585577732967E-7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-6.8212102632969618E-13</v>
      </c>
      <c r="CU89" s="18">
        <f>CT89*VLOOKUP('Données projet'!$B$13,Paramètres!$A$1:$I$89,3,0)*VLOOKUP('Données projet'!$B$13,Paramètres!$A$1:$I$89,5,0)</f>
        <v>-3.0149749363772573E-13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572.6451446653349</v>
      </c>
      <c r="CZ89" s="62">
        <f t="shared" si="96"/>
        <v>389.15977992931374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6.3</v>
      </c>
      <c r="DO89" s="13">
        <f>IF('Données projet'!$A$166&gt;35,DO88+DN89-DW88,IF(A89&lt;'Données projet'!$A$166,$DL$205^A89,IF(A89='Données projet'!$A$166,'Données projet'!$B$166,DO88+DN89-DW88)))</f>
        <v>304.30000000000007</v>
      </c>
      <c r="DP89" s="18">
        <f>DO89*VLOOKUP('Données projet'!$B$14,Paramètres!$A$1:$I$89,3,0)*VLOOKUP('Données projet'!$B$14,Paramètres!$A$1:$I$89,5,0)</f>
        <v>256.34232000000009</v>
      </c>
      <c r="DQ89" s="14">
        <f t="shared" si="97"/>
        <v>61.942066662954566</v>
      </c>
      <c r="DR89" s="22">
        <f t="shared" si="70"/>
        <v>554.34530677131272</v>
      </c>
      <c r="DS89" s="62">
        <f t="shared" si="71"/>
        <v>847.67864010464609</v>
      </c>
      <c r="DT89" s="62">
        <f ca="1">AVERAGE(OFFSET($DS$3,0,0,'Données projet'!$E$14+1,1))-AVERAGE(OFFSET($H$3,0,0,'Données projet'!$E$14+1,1))</f>
        <v>383.83934938682984</v>
      </c>
      <c r="DU89" s="62">
        <f t="shared" si="98"/>
        <v>223.93106361972281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363.72470239644252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6.3</v>
      </c>
      <c r="N90" s="14">
        <f>IF('Données projet'!$A$36&gt;35,N89+M90-V89,IF(A90&lt;'Données projet'!$A$36,$K$205^A90,IF(A90='Données projet'!$A$36,'Données projet'!$B$36,N89+M90-V89)))</f>
        <v>310.60000000000008</v>
      </c>
      <c r="O90" s="14">
        <f>N90*VLOOKUP('Données projet'!$B$9,Paramètres!$A$1:$I$89,3,0)*VLOOKUP('Données projet'!$B$9,Paramètres!$A$1:$I$89,5,0)</f>
        <v>281.03088000000002</v>
      </c>
      <c r="P90" s="14">
        <f t="shared" si="87"/>
        <v>67.184816842275524</v>
      </c>
      <c r="Q90" s="22">
        <f t="shared" si="54"/>
        <v>606.47567200029653</v>
      </c>
      <c r="R90" s="62">
        <f t="shared" si="55"/>
        <v>899.80900533362978</v>
      </c>
      <c r="S90" s="62">
        <f ca="1">AVERAGE(OFFSET($R$3,0,0,'Données projet'!$E$9+1,1))-AVERAGE(OFFSET($H$3,0,0,'Données projet'!$E$9+1,1))</f>
        <v>415.89259563928869</v>
      </c>
      <c r="T90" s="62">
        <f t="shared" si="88"/>
        <v>240.19413322685813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-3.7243808037601412E-14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214.08705070588002</v>
      </c>
      <c r="AO90" s="62">
        <f t="shared" si="90"/>
        <v>251.33527585147152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-3.2514435588382188E-14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239.41486198585676</v>
      </c>
      <c r="BJ90" s="62">
        <f t="shared" si="92"/>
        <v>224.9174498508774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8.142644354607322E-9</v>
      </c>
      <c r="BS90" s="24">
        <f t="shared" si="63"/>
        <v>8.142644354607322E-9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-5.6843418860808015E-13</v>
      </c>
      <c r="BZ90" s="14">
        <f>BY90*VLOOKUP('Données projet'!$B$12,Paramètres!$A$1:$I$89,3,0)*VLOOKUP('Données projet'!$B$12,Paramètres!$A$1:$I$89,5,0)</f>
        <v>-3.39923644787632E-13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288.65195492450403</v>
      </c>
      <c r="CE90" s="62">
        <f t="shared" si="94"/>
        <v>310.66800441693891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8.1095146326332201E-8</v>
      </c>
      <c r="CN90" s="24">
        <f t="shared" si="66"/>
        <v>8.1095146326332201E-8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-6.8212102632969618E-13</v>
      </c>
      <c r="CU90" s="18">
        <f>CT90*VLOOKUP('Données projet'!$B$13,Paramètres!$A$1:$I$89,3,0)*VLOOKUP('Données projet'!$B$13,Paramètres!$A$1:$I$89,5,0)</f>
        <v>-3.0149749363772573E-13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572.6451446653349</v>
      </c>
      <c r="CZ90" s="62">
        <f t="shared" si="96"/>
        <v>389.15977992931374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6.3</v>
      </c>
      <c r="DO90" s="13">
        <f>IF('Données projet'!$A$166&gt;35,DO89+DN90-DW89,IF(A90&lt;'Données projet'!$A$166,$DL$205^A90,IF(A90='Données projet'!$A$166,'Données projet'!$B$166,DO89+DN90-DW89)))</f>
        <v>310.60000000000008</v>
      </c>
      <c r="DP90" s="18">
        <f>DO90*VLOOKUP('Données projet'!$B$14,Paramètres!$A$1:$I$89,3,0)*VLOOKUP('Données projet'!$B$14,Paramètres!$A$1:$I$89,5,0)</f>
        <v>261.64944000000008</v>
      </c>
      <c r="DQ90" s="14">
        <f t="shared" si="97"/>
        <v>63.073842398428624</v>
      </c>
      <c r="DR90" s="22">
        <f t="shared" si="70"/>
        <v>565.55971684393</v>
      </c>
      <c r="DS90" s="62">
        <f t="shared" si="71"/>
        <v>858.89305017726338</v>
      </c>
      <c r="DT90" s="62">
        <f ca="1">AVERAGE(OFFSET($DS$3,0,0,'Données projet'!$E$14+1,1))-AVERAGE(OFFSET($H$3,0,0,'Données projet'!$E$14+1,1))</f>
        <v>383.83934938682984</v>
      </c>
      <c r="DU90" s="62">
        <f t="shared" si="98"/>
        <v>223.93106361972281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364.92254427319637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6.3</v>
      </c>
      <c r="N91" s="14">
        <f>IF('Données projet'!$A$36&gt;35,N90+M91-V90,IF(A91&lt;'Données projet'!$A$36,$K$205^A91,IF(A91='Données projet'!$A$36,'Données projet'!$B$36,N90+M91-V90)))</f>
        <v>316.90000000000009</v>
      </c>
      <c r="O91" s="14">
        <f>N91*VLOOKUP('Données projet'!$B$9,Paramètres!$A$1:$I$89,3,0)*VLOOKUP('Données projet'!$B$9,Paramètres!$A$1:$I$89,5,0)</f>
        <v>286.73112000000009</v>
      </c>
      <c r="P91" s="14">
        <f t="shared" si="87"/>
        <v>68.387515408373432</v>
      </c>
      <c r="Q91" s="22">
        <f t="shared" si="54"/>
        <v>618.4982900029172</v>
      </c>
      <c r="R91" s="62">
        <f t="shared" si="55"/>
        <v>911.83162333625046</v>
      </c>
      <c r="S91" s="62">
        <f ca="1">AVERAGE(OFFSET($R$3,0,0,'Données projet'!$E$9+1,1))-AVERAGE(OFFSET($H$3,0,0,'Données projet'!$E$9+1,1))</f>
        <v>415.89259563928869</v>
      </c>
      <c r="T91" s="62">
        <f t="shared" si="88"/>
        <v>240.19413322685813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-3.7243808037601412E-14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214.08705070588002</v>
      </c>
      <c r="AO91" s="62">
        <f t="shared" si="90"/>
        <v>251.33527585147152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-3.2514435588382188E-14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239.41486198585676</v>
      </c>
      <c r="BJ91" s="62">
        <f t="shared" si="92"/>
        <v>224.9174498508774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5.7577190399331962E-9</v>
      </c>
      <c r="BS91" s="24">
        <f t="shared" si="63"/>
        <v>5.7577190399331962E-9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-5.6843418860808015E-13</v>
      </c>
      <c r="BZ91" s="14">
        <f>BY91*VLOOKUP('Données projet'!$B$12,Paramètres!$A$1:$I$89,3,0)*VLOOKUP('Données projet'!$B$12,Paramètres!$A$1:$I$89,5,0)</f>
        <v>-3.39923644787632E-13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288.65195492450403</v>
      </c>
      <c r="CE91" s="62">
        <f t="shared" si="94"/>
        <v>310.66800441693891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5.7342927888664841E-8</v>
      </c>
      <c r="CN91" s="24">
        <f t="shared" si="66"/>
        <v>5.7342927888664841E-8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-6.8212102632969618E-13</v>
      </c>
      <c r="CU91" s="18">
        <f>CT91*VLOOKUP('Données projet'!$B$13,Paramètres!$A$1:$I$89,3,0)*VLOOKUP('Données projet'!$B$13,Paramètres!$A$1:$I$89,5,0)</f>
        <v>-3.0149749363772573E-13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572.6451446653349</v>
      </c>
      <c r="CZ91" s="62">
        <f t="shared" si="96"/>
        <v>389.15977992931374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6.3</v>
      </c>
      <c r="DO91" s="13">
        <f>IF('Données projet'!$A$166&gt;35,DO90+DN91-DW90,IF(A91&lt;'Données projet'!$A$166,$DL$205^A91,IF(A91='Données projet'!$A$166,'Données projet'!$B$166,DO90+DN91-DW90)))</f>
        <v>316.90000000000009</v>
      </c>
      <c r="DP91" s="18">
        <f>DO91*VLOOKUP('Données projet'!$B$14,Paramètres!$A$1:$I$89,3,0)*VLOOKUP('Données projet'!$B$14,Paramètres!$A$1:$I$89,5,0)</f>
        <v>266.95656000000008</v>
      </c>
      <c r="DQ91" s="14">
        <f t="shared" si="97"/>
        <v>64.20294899388108</v>
      </c>
      <c r="DR91" s="22">
        <f t="shared" si="70"/>
        <v>576.76947816434301</v>
      </c>
      <c r="DS91" s="62">
        <f t="shared" si="71"/>
        <v>870.10281149767638</v>
      </c>
      <c r="DT91" s="62">
        <f ca="1">AVERAGE(OFFSET($DS$3,0,0,'Données projet'!$E$14+1,1))-AVERAGE(OFFSET($H$3,0,0,'Données projet'!$E$14+1,1))</f>
        <v>383.83934938682984</v>
      </c>
      <c r="DU91" s="62">
        <f t="shared" si="98"/>
        <v>223.93106361972281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366.12005978779001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6.3</v>
      </c>
      <c r="N92" s="14">
        <f>IF('Données projet'!$A$36&gt;35,N91+M92-V91,IF(A92&lt;'Données projet'!$A$36,$K$205^A92,IF(A92='Données projet'!$A$36,'Données projet'!$B$36,N91+M92-V91)))</f>
        <v>323.2000000000001</v>
      </c>
      <c r="O92" s="14">
        <f>N92*VLOOKUP('Données projet'!$B$9,Paramètres!$A$1:$I$89,3,0)*VLOOKUP('Données projet'!$B$9,Paramètres!$A$1:$I$89,5,0)</f>
        <v>292.4313600000001</v>
      </c>
      <c r="P92" s="14">
        <f t="shared" si="87"/>
        <v>69.587433903176986</v>
      </c>
      <c r="Q92" s="22">
        <f t="shared" si="54"/>
        <v>630.51606604803339</v>
      </c>
      <c r="R92" s="62">
        <f t="shared" si="55"/>
        <v>923.84939938136677</v>
      </c>
      <c r="S92" s="62">
        <f ca="1">AVERAGE(OFFSET($R$3,0,0,'Données projet'!$E$9+1,1))-AVERAGE(OFFSET($H$3,0,0,'Données projet'!$E$9+1,1))</f>
        <v>415.89259563928869</v>
      </c>
      <c r="T92" s="62">
        <f t="shared" si="88"/>
        <v>240.19413322685813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-3.7243808037601412E-14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214.08705070588002</v>
      </c>
      <c r="AO92" s="62">
        <f t="shared" si="90"/>
        <v>251.33527585147152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-3.2514435588382188E-14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239.41486198585676</v>
      </c>
      <c r="BJ92" s="62">
        <f t="shared" si="92"/>
        <v>224.9174498508774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4.071322177303661E-9</v>
      </c>
      <c r="BS92" s="24">
        <f t="shared" si="63"/>
        <v>4.071322177303661E-9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-5.6843418860808015E-13</v>
      </c>
      <c r="BZ92" s="14">
        <f>BY92*VLOOKUP('Données projet'!$B$12,Paramètres!$A$1:$I$89,3,0)*VLOOKUP('Données projet'!$B$12,Paramètres!$A$1:$I$89,5,0)</f>
        <v>-3.39923644787632E-13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288.65195492450403</v>
      </c>
      <c r="CE92" s="62">
        <f t="shared" si="94"/>
        <v>310.66800441693891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4.0547573163166107E-8</v>
      </c>
      <c r="CN92" s="24">
        <f t="shared" si="66"/>
        <v>4.0547573163166107E-8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-6.8212102632969618E-13</v>
      </c>
      <c r="CU92" s="18">
        <f>CT92*VLOOKUP('Données projet'!$B$13,Paramètres!$A$1:$I$89,3,0)*VLOOKUP('Données projet'!$B$13,Paramètres!$A$1:$I$89,5,0)</f>
        <v>-3.0149749363772573E-13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572.6451446653349</v>
      </c>
      <c r="CZ92" s="62">
        <f t="shared" si="96"/>
        <v>389.15977992931374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6.3</v>
      </c>
      <c r="DO92" s="13">
        <f>IF('Données projet'!$A$166&gt;35,DO91+DN92-DW91,IF(A92&lt;'Données projet'!$A$166,$DL$205^A92,IF(A92='Données projet'!$A$166,'Données projet'!$B$166,DO91+DN92-DW91)))</f>
        <v>323.2000000000001</v>
      </c>
      <c r="DP92" s="18">
        <f>DO92*VLOOKUP('Données projet'!$B$14,Paramètres!$A$1:$I$89,3,0)*VLOOKUP('Données projet'!$B$14,Paramètres!$A$1:$I$89,5,0)</f>
        <v>272.26368000000014</v>
      </c>
      <c r="DQ92" s="14">
        <f t="shared" si="97"/>
        <v>65.329445627932728</v>
      </c>
      <c r="DR92" s="22">
        <f t="shared" si="70"/>
        <v>587.97469380198311</v>
      </c>
      <c r="DS92" s="62">
        <f t="shared" si="71"/>
        <v>881.30802713531648</v>
      </c>
      <c r="DT92" s="62">
        <f ca="1">AVERAGE(OFFSET($DS$3,0,0,'Données projet'!$E$14+1,1))-AVERAGE(OFFSET($H$3,0,0,'Données projet'!$E$14+1,1))</f>
        <v>383.83934938682984</v>
      </c>
      <c r="DU92" s="62">
        <f t="shared" si="98"/>
        <v>223.93106361972281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367.31725303154894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6.3</v>
      </c>
      <c r="N93" s="14">
        <f>IF('Données projet'!$A$36&gt;35,N92+M93-V92,IF(A93&lt;'Données projet'!$A$36,$K$205^A93,IF(A93='Données projet'!$A$36,'Données projet'!$B$36,N92+M93-V92)))</f>
        <v>329.50000000000011</v>
      </c>
      <c r="O93" s="14">
        <f>N93*VLOOKUP('Données projet'!$B$9,Paramètres!$A$1:$I$89,3,0)*VLOOKUP('Données projet'!$B$9,Paramètres!$A$1:$I$89,5,0)</f>
        <v>298.13160000000005</v>
      </c>
      <c r="P93" s="14">
        <f t="shared" si="87"/>
        <v>70.784632764376099</v>
      </c>
      <c r="Q93" s="22">
        <f t="shared" si="54"/>
        <v>642.52910539795516</v>
      </c>
      <c r="R93" s="62">
        <f t="shared" si="55"/>
        <v>935.86243873128842</v>
      </c>
      <c r="S93" s="62">
        <f ca="1">AVERAGE(OFFSET($R$3,0,0,'Données projet'!$E$9+1,1))-AVERAGE(OFFSET($H$3,0,0,'Données projet'!$E$9+1,1))</f>
        <v>415.89259563928869</v>
      </c>
      <c r="T93" s="62">
        <f t="shared" si="88"/>
        <v>240.19413322685813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-3.7243808037601412E-14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214.08705070588002</v>
      </c>
      <c r="AO93" s="62">
        <f t="shared" si="90"/>
        <v>251.33527585147152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-3.2514435588382188E-14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239.41486198585676</v>
      </c>
      <c r="BJ93" s="62">
        <f t="shared" si="92"/>
        <v>224.9174498508774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2.8788595199665981E-9</v>
      </c>
      <c r="BS93" s="24">
        <f t="shared" si="63"/>
        <v>2.8788595199665981E-9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-5.6843418860808015E-13</v>
      </c>
      <c r="BZ93" s="14">
        <f>BY93*VLOOKUP('Données projet'!$B$12,Paramètres!$A$1:$I$89,3,0)*VLOOKUP('Données projet'!$B$12,Paramètres!$A$1:$I$89,5,0)</f>
        <v>-3.39923644787632E-13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288.65195492450403</v>
      </c>
      <c r="CE93" s="62">
        <f t="shared" si="94"/>
        <v>310.66800441693891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2.8671463944332424E-8</v>
      </c>
      <c r="CN93" s="24">
        <f t="shared" si="66"/>
        <v>2.8671463944332424E-8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-6.8212102632969618E-13</v>
      </c>
      <c r="CU93" s="18">
        <f>CT93*VLOOKUP('Données projet'!$B$13,Paramètres!$A$1:$I$89,3,0)*VLOOKUP('Données projet'!$B$13,Paramètres!$A$1:$I$89,5,0)</f>
        <v>-3.0149749363772573E-13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572.6451446653349</v>
      </c>
      <c r="CZ93" s="62">
        <f t="shared" si="96"/>
        <v>389.15977992931374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6.3</v>
      </c>
      <c r="DO93" s="13">
        <f>IF('Données projet'!$A$166&gt;35,DO92+DN93-DW92,IF(A93&lt;'Données projet'!$A$166,$DL$205^A93,IF(A93='Données projet'!$A$166,'Données projet'!$B$166,DO92+DN93-DW92)))</f>
        <v>329.50000000000011</v>
      </c>
      <c r="DP93" s="18">
        <f>DO93*VLOOKUP('Données projet'!$B$14,Paramètres!$A$1:$I$89,3,0)*VLOOKUP('Données projet'!$B$14,Paramètres!$A$1:$I$89,5,0)</f>
        <v>277.57080000000013</v>
      </c>
      <c r="DQ93" s="14">
        <f t="shared" si="97"/>
        <v>66.453389040149204</v>
      </c>
      <c r="DR93" s="22">
        <f t="shared" si="70"/>
        <v>599.17546257826007</v>
      </c>
      <c r="DS93" s="62">
        <f t="shared" si="71"/>
        <v>892.50879591159332</v>
      </c>
      <c r="DT93" s="62">
        <f ca="1">AVERAGE(OFFSET($DS$3,0,0,'Données projet'!$E$14+1,1))-AVERAGE(OFFSET($H$3,0,0,'Données projet'!$E$14+1,1))</f>
        <v>383.83934938682984</v>
      </c>
      <c r="DU93" s="62">
        <f t="shared" si="98"/>
        <v>223.93106361972281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368.51412799964498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6.3</v>
      </c>
      <c r="N94" s="14">
        <f>IF('Données projet'!$A$36&gt;35,N93+M94-V93,IF(A94&lt;'Données projet'!$A$36,$K$205^A94,IF(A94='Données projet'!$A$36,'Données projet'!$B$36,N93+M94-V93)))</f>
        <v>335.80000000000013</v>
      </c>
      <c r="O94" s="14">
        <f>N94*VLOOKUP('Données projet'!$B$9,Paramètres!$A$1:$I$89,3,0)*VLOOKUP('Données projet'!$B$9,Paramètres!$A$1:$I$89,5,0)</f>
        <v>303.83184000000011</v>
      </c>
      <c r="P94" s="14">
        <f t="shared" si="87"/>
        <v>71.979169986303972</v>
      </c>
      <c r="Q94" s="22">
        <f t="shared" si="54"/>
        <v>654.5375090594797</v>
      </c>
      <c r="R94" s="62">
        <f t="shared" si="55"/>
        <v>947.87084239281307</v>
      </c>
      <c r="S94" s="62">
        <f ca="1">AVERAGE(OFFSET($R$3,0,0,'Données projet'!$E$9+1,1))-AVERAGE(OFFSET($H$3,0,0,'Données projet'!$E$9+1,1))</f>
        <v>415.89259563928869</v>
      </c>
      <c r="T94" s="62">
        <f t="shared" si="88"/>
        <v>240.19413322685813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-3.7243808037601412E-14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214.08705070588002</v>
      </c>
      <c r="AO94" s="62">
        <f t="shared" si="90"/>
        <v>251.33527585147152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-3.2514435588382188E-14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239.41486198585676</v>
      </c>
      <c r="BJ94" s="62">
        <f t="shared" si="92"/>
        <v>224.9174498508774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2.0356610886518305E-9</v>
      </c>
      <c r="BS94" s="24">
        <f t="shared" si="63"/>
        <v>2.0356610886518305E-9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-5.6843418860808015E-13</v>
      </c>
      <c r="BZ94" s="14">
        <f>BY94*VLOOKUP('Données projet'!$B$12,Paramètres!$A$1:$I$89,3,0)*VLOOKUP('Données projet'!$B$12,Paramètres!$A$1:$I$89,5,0)</f>
        <v>-3.39923644787632E-13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288.65195492450403</v>
      </c>
      <c r="CE94" s="62">
        <f t="shared" si="94"/>
        <v>310.66800441693891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2.0273786581583057E-8</v>
      </c>
      <c r="CN94" s="24">
        <f t="shared" si="66"/>
        <v>2.0273786581583057E-8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-6.8212102632969618E-13</v>
      </c>
      <c r="CU94" s="18">
        <f>CT94*VLOOKUP('Données projet'!$B$13,Paramètres!$A$1:$I$89,3,0)*VLOOKUP('Données projet'!$B$13,Paramètres!$A$1:$I$89,5,0)</f>
        <v>-3.0149749363772573E-13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572.6451446653349</v>
      </c>
      <c r="CZ94" s="62">
        <f t="shared" si="96"/>
        <v>389.15977992931374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6.3</v>
      </c>
      <c r="DO94" s="13">
        <f>IF('Données projet'!$A$166&gt;35,DO93+DN94-DW93,IF(A94&lt;'Données projet'!$A$166,$DL$205^A94,IF(A94='Données projet'!$A$166,'Données projet'!$B$166,DO93+DN94-DW93)))</f>
        <v>335.80000000000013</v>
      </c>
      <c r="DP94" s="18">
        <f>DO94*VLOOKUP('Données projet'!$B$14,Paramètres!$A$1:$I$89,3,0)*VLOOKUP('Données projet'!$B$14,Paramètres!$A$1:$I$89,5,0)</f>
        <v>282.87792000000013</v>
      </c>
      <c r="DQ94" s="14">
        <f t="shared" si="97"/>
        <v>67.574833676246371</v>
      </c>
      <c r="DR94" s="22">
        <f t="shared" si="70"/>
        <v>610.37187931946266</v>
      </c>
      <c r="DS94" s="62">
        <f t="shared" si="71"/>
        <v>903.70521265279604</v>
      </c>
      <c r="DT94" s="62">
        <f ca="1">AVERAGE(OFFSET($DS$3,0,0,'Données projet'!$E$14+1,1))-AVERAGE(OFFSET($H$3,0,0,'Données projet'!$E$14+1,1))</f>
        <v>383.83934938682984</v>
      </c>
      <c r="DU94" s="62">
        <f t="shared" si="98"/>
        <v>223.93106361972281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369.71068859438765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6.3</v>
      </c>
      <c r="N95" s="14">
        <f>IF('Données projet'!$A$36&gt;35,N94+M95-V94,IF(A95&lt;'Données projet'!$A$36,$K$205^A95,IF(A95='Données projet'!$A$36,'Données projet'!$B$36,N94+M95-V94)))</f>
        <v>342.10000000000014</v>
      </c>
      <c r="O95" s="14">
        <f>N95*VLOOKUP('Données projet'!$B$9,Paramètres!$A$1:$I$89,3,0)*VLOOKUP('Données projet'!$B$9,Paramètres!$A$1:$I$89,5,0)</f>
        <v>309.53208000000012</v>
      </c>
      <c r="P95" s="14">
        <f t="shared" si="87"/>
        <v>73.171101262671257</v>
      </c>
      <c r="Q95" s="22">
        <f t="shared" si="54"/>
        <v>666.54137403248592</v>
      </c>
      <c r="R95" s="62">
        <f t="shared" si="55"/>
        <v>959.87470736581918</v>
      </c>
      <c r="S95" s="62">
        <f ca="1">AVERAGE(OFFSET($R$3,0,0,'Données projet'!$E$9+1,1))-AVERAGE(OFFSET($H$3,0,0,'Données projet'!$E$9+1,1))</f>
        <v>415.89259563928869</v>
      </c>
      <c r="T95" s="62">
        <f t="shared" si="88"/>
        <v>240.19413322685813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-3.7243808037601412E-14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214.08705070588002</v>
      </c>
      <c r="AO95" s="62">
        <f t="shared" si="90"/>
        <v>251.33527585147152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-3.2514435588382188E-14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239.41486198585676</v>
      </c>
      <c r="BJ95" s="62">
        <f t="shared" si="92"/>
        <v>224.9174498508774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1.439429759983299E-9</v>
      </c>
      <c r="BS95" s="24">
        <f t="shared" si="63"/>
        <v>1.439429759983299E-9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-5.6843418860808015E-13</v>
      </c>
      <c r="BZ95" s="14">
        <f>BY95*VLOOKUP('Données projet'!$B$12,Paramètres!$A$1:$I$89,3,0)*VLOOKUP('Données projet'!$B$12,Paramètres!$A$1:$I$89,5,0)</f>
        <v>-3.39923644787632E-13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288.65195492450403</v>
      </c>
      <c r="CE95" s="62">
        <f t="shared" si="94"/>
        <v>310.66800441693891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1.4335731972166215E-8</v>
      </c>
      <c r="CN95" s="24">
        <f t="shared" si="66"/>
        <v>1.4335731972166215E-8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-6.8212102632969618E-13</v>
      </c>
      <c r="CU95" s="18">
        <f>CT95*VLOOKUP('Données projet'!$B$13,Paramètres!$A$1:$I$89,3,0)*VLOOKUP('Données projet'!$B$13,Paramètres!$A$1:$I$89,5,0)</f>
        <v>-3.0149749363772573E-13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572.6451446653349</v>
      </c>
      <c r="CZ95" s="62">
        <f t="shared" si="96"/>
        <v>389.15977992931374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6.3</v>
      </c>
      <c r="DO95" s="13">
        <f>IF('Données projet'!$A$166&gt;35,DO94+DN95-DW94,IF(A95&lt;'Données projet'!$A$166,$DL$205^A95,IF(A95='Données projet'!$A$166,'Données projet'!$B$166,DO94+DN95-DW94)))</f>
        <v>342.10000000000014</v>
      </c>
      <c r="DP95" s="18">
        <f>DO95*VLOOKUP('Données projet'!$B$14,Paramètres!$A$1:$I$89,3,0)*VLOOKUP('Données projet'!$B$14,Paramètres!$A$1:$I$89,5,0)</f>
        <v>288.18504000000013</v>
      </c>
      <c r="DQ95" s="14">
        <f t="shared" si="97"/>
        <v>68.693831822089962</v>
      </c>
      <c r="DR95" s="22">
        <f t="shared" si="70"/>
        <v>621.56403509014024</v>
      </c>
      <c r="DS95" s="62">
        <f t="shared" si="71"/>
        <v>914.89736842347361</v>
      </c>
      <c r="DT95" s="62">
        <f ca="1">AVERAGE(OFFSET($DS$3,0,0,'Données projet'!$E$14+1,1))-AVERAGE(OFFSET($H$3,0,0,'Données projet'!$E$14+1,1))</f>
        <v>383.83934938682984</v>
      </c>
      <c r="DU95" s="62">
        <f t="shared" si="98"/>
        <v>223.93106361972281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370.90693862836775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6.3</v>
      </c>
      <c r="N96" s="14">
        <f>IF('Données projet'!$A$36&gt;35,N95+M96-V95,IF(A96&lt;'Données projet'!$A$36,$K$205^A96,IF(A96='Données projet'!$A$36,'Données projet'!$B$36,N95+M96-V95)))</f>
        <v>348.40000000000015</v>
      </c>
      <c r="O96" s="14">
        <f>N96*VLOOKUP('Données projet'!$B$9,Paramètres!$A$1:$I$89,3,0)*VLOOKUP('Données projet'!$B$9,Paramètres!$A$1:$I$89,5,0)</f>
        <v>315.23232000000013</v>
      </c>
      <c r="P96" s="14">
        <f t="shared" si="87"/>
        <v>74.360480118488482</v>
      </c>
      <c r="Q96" s="22">
        <f t="shared" si="54"/>
        <v>678.54079353970099</v>
      </c>
      <c r="R96" s="62">
        <f t="shared" si="55"/>
        <v>971.87412687303436</v>
      </c>
      <c r="S96" s="62">
        <f ca="1">AVERAGE(OFFSET($R$3,0,0,'Données projet'!$E$9+1,1))-AVERAGE(OFFSET($H$3,0,0,'Données projet'!$E$9+1,1))</f>
        <v>415.89259563928869</v>
      </c>
      <c r="T96" s="62">
        <f t="shared" si="88"/>
        <v>240.19413322685813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-3.7243808037601412E-14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214.08705070588002</v>
      </c>
      <c r="AO96" s="62">
        <f t="shared" si="90"/>
        <v>251.33527585147152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-3.2514435588382188E-14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239.41486198585676</v>
      </c>
      <c r="BJ96" s="62">
        <f t="shared" si="92"/>
        <v>224.9174498508774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1.0178305443259153E-9</v>
      </c>
      <c r="BS96" s="24">
        <f t="shared" si="63"/>
        <v>1.0178305443259153E-9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-5.6843418860808015E-13</v>
      </c>
      <c r="BZ96" s="14">
        <f>BY96*VLOOKUP('Données projet'!$B$12,Paramètres!$A$1:$I$89,3,0)*VLOOKUP('Données projet'!$B$12,Paramètres!$A$1:$I$89,5,0)</f>
        <v>-3.39923644787632E-13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288.65195492450403</v>
      </c>
      <c r="CE96" s="62">
        <f t="shared" si="94"/>
        <v>310.66800441693891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1.013689329079153E-8</v>
      </c>
      <c r="CN96" s="24">
        <f t="shared" si="66"/>
        <v>1.013689329079153E-8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-6.8212102632969618E-13</v>
      </c>
      <c r="CU96" s="18">
        <f>CT96*VLOOKUP('Données projet'!$B$13,Paramètres!$A$1:$I$89,3,0)*VLOOKUP('Données projet'!$B$13,Paramètres!$A$1:$I$89,5,0)</f>
        <v>-3.0149749363772573E-13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572.6451446653349</v>
      </c>
      <c r="CZ96" s="62">
        <f t="shared" si="96"/>
        <v>389.15977992931374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6.3</v>
      </c>
      <c r="DO96" s="13">
        <f>IF('Données projet'!$A$166&gt;35,DO95+DN96-DW95,IF(A96&lt;'Données projet'!$A$166,$DL$205^A96,IF(A96='Données projet'!$A$166,'Données projet'!$B$166,DO95+DN96-DW95)))</f>
        <v>348.40000000000015</v>
      </c>
      <c r="DP96" s="18">
        <f>DO96*VLOOKUP('Données projet'!$B$14,Paramètres!$A$1:$I$89,3,0)*VLOOKUP('Données projet'!$B$14,Paramètres!$A$1:$I$89,5,0)</f>
        <v>293.49216000000013</v>
      </c>
      <c r="DQ96" s="14">
        <f t="shared" si="97"/>
        <v>69.810433727546524</v>
      </c>
      <c r="DR96" s="22">
        <f t="shared" si="70"/>
        <v>632.75201740881039</v>
      </c>
      <c r="DS96" s="62">
        <f t="shared" si="71"/>
        <v>926.08535074214365</v>
      </c>
      <c r="DT96" s="62">
        <f ca="1">AVERAGE(OFFSET($DS$3,0,0,'Données projet'!$E$14+1,1))-AVERAGE(OFFSET($H$3,0,0,'Données projet'!$E$14+1,1))</f>
        <v>383.83934938682984</v>
      </c>
      <c r="DU96" s="62">
        <f t="shared" si="98"/>
        <v>223.93106361972281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372.10288182746245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6.3</v>
      </c>
      <c r="N97" s="14">
        <f>IF('Données projet'!$A$36&gt;35,N96+M97-V96,IF(A97&lt;'Données projet'!$A$36,$K$205^A97,IF(A97='Données projet'!$A$36,'Données projet'!$B$36,N96+M97-V96)))</f>
        <v>354.70000000000016</v>
      </c>
      <c r="O97" s="14">
        <f>N97*VLOOKUP('Données projet'!$B$9,Paramètres!$A$1:$I$89,3,0)*VLOOKUP('Données projet'!$B$9,Paramètres!$A$1:$I$89,5,0)</f>
        <v>320.93256000000014</v>
      </c>
      <c r="P97" s="14">
        <f t="shared" si="87"/>
        <v>75.54735803217622</v>
      </c>
      <c r="Q97" s="22">
        <f t="shared" si="54"/>
        <v>690.53585723937374</v>
      </c>
      <c r="R97" s="62">
        <f t="shared" si="55"/>
        <v>983.86919057270711</v>
      </c>
      <c r="S97" s="62">
        <f ca="1">AVERAGE(OFFSET($R$3,0,0,'Données projet'!$E$9+1,1))-AVERAGE(OFFSET($H$3,0,0,'Données projet'!$E$9+1,1))</f>
        <v>415.89259563928869</v>
      </c>
      <c r="T97" s="62">
        <f t="shared" si="88"/>
        <v>240.19413322685813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-3.7243808037601412E-14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214.08705070588002</v>
      </c>
      <c r="AO97" s="62">
        <f t="shared" si="90"/>
        <v>251.33527585147152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-3.2514435588382188E-14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239.41486198585676</v>
      </c>
      <c r="BJ97" s="62">
        <f t="shared" si="92"/>
        <v>224.9174498508774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7.1971487999164952E-10</v>
      </c>
      <c r="BS97" s="24">
        <f t="shared" si="63"/>
        <v>7.1971487999164952E-10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-5.6843418860808015E-13</v>
      </c>
      <c r="BZ97" s="14">
        <f>BY97*VLOOKUP('Données projet'!$B$12,Paramètres!$A$1:$I$89,3,0)*VLOOKUP('Données projet'!$B$12,Paramètres!$A$1:$I$89,5,0)</f>
        <v>-3.39923644787632E-13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288.65195492450403</v>
      </c>
      <c r="CE97" s="62">
        <f t="shared" si="94"/>
        <v>310.66800441693891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7.1678659860831084E-9</v>
      </c>
      <c r="CN97" s="24">
        <f t="shared" si="66"/>
        <v>7.1678659860831084E-9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-6.8212102632969618E-13</v>
      </c>
      <c r="CU97" s="18">
        <f>CT97*VLOOKUP('Données projet'!$B$13,Paramètres!$A$1:$I$89,3,0)*VLOOKUP('Données projet'!$B$13,Paramètres!$A$1:$I$89,5,0)</f>
        <v>-3.0149749363772573E-13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572.6451446653349</v>
      </c>
      <c r="CZ97" s="62">
        <f t="shared" si="96"/>
        <v>389.15977992931374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6.3</v>
      </c>
      <c r="DO97" s="13">
        <f>IF('Données projet'!$A$166&gt;35,DO96+DN97-DW96,IF(A97&lt;'Données projet'!$A$166,$DL$205^A97,IF(A97='Données projet'!$A$166,'Données projet'!$B$166,DO96+DN97-DW96)))</f>
        <v>354.70000000000016</v>
      </c>
      <c r="DP97" s="18">
        <f>DO97*VLOOKUP('Données projet'!$B$14,Paramètres!$A$1:$I$89,3,0)*VLOOKUP('Données projet'!$B$14,Paramètres!$A$1:$I$89,5,0)</f>
        <v>298.79928000000018</v>
      </c>
      <c r="DQ97" s="14">
        <f t="shared" si="97"/>
        <v>70.924687721121671</v>
      </c>
      <c r="DR97" s="22">
        <f t="shared" si="70"/>
        <v>643.93591044762059</v>
      </c>
      <c r="DS97" s="62">
        <f t="shared" si="71"/>
        <v>937.26924378095396</v>
      </c>
      <c r="DT97" s="62">
        <f ca="1">AVERAGE(OFFSET($DS$3,0,0,'Données projet'!$E$14+1,1))-AVERAGE(OFFSET($H$3,0,0,'Données projet'!$E$14+1,1))</f>
        <v>383.83934938682984</v>
      </c>
      <c r="DU97" s="62">
        <f t="shared" si="98"/>
        <v>223.93106361972281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373.29852183370838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361</v>
      </c>
      <c r="L98" s="13">
        <f>VLOOKUP(A98,'Données projet'!$A$35:$I$55,9,0)</f>
        <v>6.3</v>
      </c>
      <c r="M98" s="13">
        <f t="array" ref="M98">INDEX(L:L,MIN(IF(ISNUMBER(L98:L294),ROW(L98:L294),"")))</f>
        <v>6.3</v>
      </c>
      <c r="N98" s="14">
        <f>IF('Données projet'!$A$36&gt;35,N97+M98-V97,IF(A98&lt;'Données projet'!$A$36,$K$205^A98,IF(A98='Données projet'!$A$36,'Données projet'!$B$36,N97+M98-V97)))</f>
        <v>361.00000000000017</v>
      </c>
      <c r="O98" s="14">
        <f>N98*VLOOKUP('Données projet'!$B$9,Paramètres!$A$1:$I$89,3,0)*VLOOKUP('Données projet'!$B$9,Paramètres!$A$1:$I$89,5,0)</f>
        <v>326.63280000000015</v>
      </c>
      <c r="P98" s="14">
        <f t="shared" si="87"/>
        <v>76.731784548754845</v>
      </c>
      <c r="Q98" s="22">
        <f t="shared" si="54"/>
        <v>702.52665142241483</v>
      </c>
      <c r="R98" s="62">
        <f t="shared" si="55"/>
        <v>995.8599847557482</v>
      </c>
      <c r="S98" s="62">
        <f ca="1">AVERAGE(OFFSET($R$3,0,0,'Données projet'!$E$9+1,1))-AVERAGE(OFFSET($H$3,0,0,'Données projet'!$E$9+1,1))</f>
        <v>415.89259563928869</v>
      </c>
      <c r="T98" s="62">
        <f t="shared" si="88"/>
        <v>240.19413322685813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56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-3.7243808037601412E-14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214.08705070588002</v>
      </c>
      <c r="AO98" s="62">
        <f t="shared" si="90"/>
        <v>251.33527585147152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-3.2514435588382188E-14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239.41486198585676</v>
      </c>
      <c r="BJ98" s="62">
        <f t="shared" si="92"/>
        <v>224.9174498508774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5.0891527216295763E-10</v>
      </c>
      <c r="BS98" s="24">
        <f t="shared" si="63"/>
        <v>5.0891527216295763E-10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-5.6843418860808015E-13</v>
      </c>
      <c r="BZ98" s="14">
        <f>BY98*VLOOKUP('Données projet'!$B$12,Paramètres!$A$1:$I$89,3,0)*VLOOKUP('Données projet'!$B$12,Paramètres!$A$1:$I$89,5,0)</f>
        <v>-3.39923644787632E-13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288.65195492450403</v>
      </c>
      <c r="CE98" s="62">
        <f t="shared" si="94"/>
        <v>310.66800441693891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5.0684466453957659E-9</v>
      </c>
      <c r="CN98" s="24">
        <f t="shared" si="66"/>
        <v>5.0684466453957659E-9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-6.8212102632969618E-13</v>
      </c>
      <c r="CU98" s="18">
        <f>CT98*VLOOKUP('Données projet'!$B$13,Paramètres!$A$1:$I$89,3,0)*VLOOKUP('Données projet'!$B$13,Paramètres!$A$1:$I$89,5,0)</f>
        <v>-3.0149749363772573E-13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572.6451446653349</v>
      </c>
      <c r="CZ98" s="62">
        <f t="shared" si="96"/>
        <v>389.15977992931374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361</v>
      </c>
      <c r="DM98" s="13">
        <f>VLOOKUP(A98,'Données projet'!$A$165:$I$185,9,0)</f>
        <v>6.3</v>
      </c>
      <c r="DN98" s="13">
        <f t="array" ref="DN98">INDEX(DM:DM,MIN(IF(ISNUMBER(DM98:DM294),ROW(DM98:DM294),"")))</f>
        <v>6.3</v>
      </c>
      <c r="DO98" s="13">
        <f>IF('Données projet'!$A$166&gt;35,DO97+DN98-DW97,IF(A98&lt;'Données projet'!$A$166,$DL$205^A98,IF(A98='Données projet'!$A$166,'Données projet'!$B$166,DO97+DN98-DW97)))</f>
        <v>361.00000000000017</v>
      </c>
      <c r="DP98" s="18">
        <f>DO98*VLOOKUP('Données projet'!$B$14,Paramètres!$A$1:$I$89,3,0)*VLOOKUP('Données projet'!$B$14,Paramètres!$A$1:$I$89,5,0)</f>
        <v>304.10640000000018</v>
      </c>
      <c r="DQ98" s="14">
        <f t="shared" si="97"/>
        <v>72.036640316223369</v>
      </c>
      <c r="DR98" s="22">
        <f t="shared" si="70"/>
        <v>655.11579521742271</v>
      </c>
      <c r="DS98" s="62">
        <f t="shared" si="71"/>
        <v>948.44912855075609</v>
      </c>
      <c r="DT98" s="62">
        <f ca="1">AVERAGE(OFFSET($DS$3,0,0,'Données projet'!$E$14+1,1))-AVERAGE(OFFSET($H$3,0,0,'Données projet'!$E$14+1,1))</f>
        <v>383.83934938682984</v>
      </c>
      <c r="DU98" s="62">
        <f t="shared" si="98"/>
        <v>223.93106361972281</v>
      </c>
      <c r="DV98" s="16">
        <f>IF(ISNA(VLOOKUP(A98,'Données projet'!$A$165:$I$185,3,0)),0,VLOOKUP(A98,'Données projet'!$A$165:$I$185,3,0))</f>
        <v>8</v>
      </c>
      <c r="DW98" s="16">
        <f>IF(ISNA(VLOOKUP(A98,'Données projet'!$A$165:$I$185,4,0)),0,VLOOKUP(A98,'Données projet'!$A$165:$I$185,4,0))</f>
        <v>56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374.49386220805047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5.5</v>
      </c>
      <c r="N99" s="14">
        <f>IF('Données projet'!$A$36&gt;35,N98+M99-V98,IF(A99&lt;'Données projet'!$A$36,$K$205^A99,IF(A99='Données projet'!$A$36,'Données projet'!$B$36,N98+M99-V98)))</f>
        <v>310.50000000000017</v>
      </c>
      <c r="O99" s="14">
        <f>N99*VLOOKUP('Données projet'!$B$9,Paramètres!$A$1:$I$89,3,0)*VLOOKUP('Données projet'!$B$9,Paramètres!$A$1:$I$89,5,0)</f>
        <v>280.94040000000012</v>
      </c>
      <c r="P99" s="14">
        <f t="shared" si="87"/>
        <v>67.165703636653262</v>
      </c>
      <c r="Q99" s="22">
        <f t="shared" ref="Q99:Q130" si="107">(O99+P99)*0.475*44/12</f>
        <v>606.2847971671714</v>
      </c>
      <c r="R99" s="62">
        <f t="shared" si="55"/>
        <v>899.61813050050478</v>
      </c>
      <c r="S99" s="62">
        <f ca="1">AVERAGE(OFFSET($R$3,0,0,'Données projet'!$E$9+1,1))-AVERAGE(OFFSET($H$3,0,0,'Données projet'!$E$9+1,1))</f>
        <v>415.89259563928869</v>
      </c>
      <c r="T99" s="62">
        <f t="shared" si="88"/>
        <v>240.19413322685813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-3.7243808037601412E-14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214.08705070588002</v>
      </c>
      <c r="AO99" s="62">
        <f t="shared" si="90"/>
        <v>251.33527585147152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-3.2514435588382188E-14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239.41486198585676</v>
      </c>
      <c r="BJ99" s="62">
        <f t="shared" si="92"/>
        <v>224.9174498508774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3.5985743999582476E-10</v>
      </c>
      <c r="BS99" s="24">
        <f t="shared" si="63"/>
        <v>3.5985743999582476E-10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-5.6843418860808015E-13</v>
      </c>
      <c r="BZ99" s="14">
        <f>BY99*VLOOKUP('Données projet'!$B$12,Paramètres!$A$1:$I$89,3,0)*VLOOKUP('Données projet'!$B$12,Paramètres!$A$1:$I$89,5,0)</f>
        <v>-3.39923644787632E-13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288.65195492450403</v>
      </c>
      <c r="CE99" s="62">
        <f t="shared" si="94"/>
        <v>310.66800441693891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3.583932993041555E-9</v>
      </c>
      <c r="CN99" s="24">
        <f t="shared" si="66"/>
        <v>3.583932993041555E-9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-6.8212102632969618E-13</v>
      </c>
      <c r="CU99" s="18">
        <f>CT99*VLOOKUP('Données projet'!$B$13,Paramètres!$A$1:$I$89,3,0)*VLOOKUP('Données projet'!$B$13,Paramètres!$A$1:$I$89,5,0)</f>
        <v>-3.0149749363772573E-13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572.6451446653349</v>
      </c>
      <c r="CZ99" s="62">
        <f t="shared" si="96"/>
        <v>389.15977992931374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5.5</v>
      </c>
      <c r="DO99" s="13">
        <f>IF('Données projet'!$A$166&gt;35,DO98+DN99-DW98,IF(A99&lt;'Données projet'!$A$166,$DL$205^A99,IF(A99='Données projet'!$A$166,'Données projet'!$B$166,DO98+DN99-DW98)))</f>
        <v>310.50000000000017</v>
      </c>
      <c r="DP99" s="18">
        <f>DO99*VLOOKUP('Données projet'!$B$14,Paramètres!$A$1:$I$89,3,0)*VLOOKUP('Données projet'!$B$14,Paramètres!$A$1:$I$89,5,0)</f>
        <v>261.56520000000017</v>
      </c>
      <c r="DQ99" s="14">
        <f t="shared" si="97"/>
        <v>63.055898711509393</v>
      </c>
      <c r="DR99" s="22">
        <f t="shared" si="70"/>
        <v>565.38174692254574</v>
      </c>
      <c r="DS99" s="62">
        <f t="shared" si="71"/>
        <v>858.715080255879</v>
      </c>
      <c r="DT99" s="62">
        <f ca="1">AVERAGE(OFFSET($DS$3,0,0,'Données projet'!$E$14+1,1))-AVERAGE(OFFSET($H$3,0,0,'Données projet'!$E$14+1,1))</f>
        <v>383.83934938682984</v>
      </c>
      <c r="DU99" s="62">
        <f t="shared" si="98"/>
        <v>223.93106361972281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375.68890643297289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5.5</v>
      </c>
      <c r="N100" s="14">
        <f>IF('Données projet'!$A$36&gt;35,N99+M100-V99,IF(A100&lt;'Données projet'!$A$36,$K$205^A100,IF(A100='Données projet'!$A$36,'Données projet'!$B$36,N99+M100-V99)))</f>
        <v>316.00000000000017</v>
      </c>
      <c r="O100" s="14">
        <f>N100*VLOOKUP('Données projet'!$B$9,Paramètres!$A$1:$I$89,3,0)*VLOOKUP('Données projet'!$B$9,Paramètres!$A$1:$I$89,5,0)</f>
        <v>285.91680000000014</v>
      </c>
      <c r="P100" s="14">
        <f t="shared" si="87"/>
        <v>68.215872977287603</v>
      </c>
      <c r="Q100" s="22">
        <f t="shared" si="107"/>
        <v>616.78107210210942</v>
      </c>
      <c r="R100" s="62">
        <f t="shared" si="55"/>
        <v>910.11440543544268</v>
      </c>
      <c r="S100" s="62">
        <f ca="1">AVERAGE(OFFSET($R$3,0,0,'Données projet'!$E$9+1,1))-AVERAGE(OFFSET($H$3,0,0,'Données projet'!$E$9+1,1))</f>
        <v>415.89259563928869</v>
      </c>
      <c r="T100" s="62">
        <f t="shared" si="88"/>
        <v>240.19413322685813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-3.7243808037601412E-14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214.08705070588002</v>
      </c>
      <c r="AO100" s="62">
        <f t="shared" si="90"/>
        <v>251.33527585147152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-3.2514435588382188E-14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239.41486198585676</v>
      </c>
      <c r="BJ100" s="62">
        <f t="shared" si="92"/>
        <v>224.9174498508774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2.5445763608147881E-10</v>
      </c>
      <c r="BS100" s="24">
        <f t="shared" si="63"/>
        <v>2.5445763608147881E-10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-5.6843418860808015E-13</v>
      </c>
      <c r="BZ100" s="14">
        <f>BY100*VLOOKUP('Données projet'!$B$12,Paramètres!$A$1:$I$89,3,0)*VLOOKUP('Données projet'!$B$12,Paramètres!$A$1:$I$89,5,0)</f>
        <v>-3.39923644787632E-13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288.65195492450403</v>
      </c>
      <c r="CE100" s="62">
        <f t="shared" si="94"/>
        <v>310.66800441693891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2.5342233226978833E-9</v>
      </c>
      <c r="CN100" s="24">
        <f t="shared" si="66"/>
        <v>2.5342233226978833E-9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-6.8212102632969618E-13</v>
      </c>
      <c r="CU100" s="18">
        <f>CT100*VLOOKUP('Données projet'!$B$13,Paramètres!$A$1:$I$89,3,0)*VLOOKUP('Données projet'!$B$13,Paramètres!$A$1:$I$89,5,0)</f>
        <v>-3.0149749363772573E-13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572.6451446653349</v>
      </c>
      <c r="CZ100" s="62">
        <f t="shared" si="96"/>
        <v>389.15977992931374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5.5</v>
      </c>
      <c r="DO100" s="13">
        <f>IF('Données projet'!$A$166&gt;35,DO99+DN100-DW99,IF(A100&lt;'Données projet'!$A$166,$DL$205^A100,IF(A100='Données projet'!$A$166,'Données projet'!$B$166,DO99+DN100-DW99)))</f>
        <v>316.00000000000017</v>
      </c>
      <c r="DP100" s="18">
        <f>DO100*VLOOKUP('Données projet'!$B$14,Paramètres!$A$1:$I$89,3,0)*VLOOKUP('Données projet'!$B$14,Paramètres!$A$1:$I$89,5,0)</f>
        <v>266.19840000000016</v>
      </c>
      <c r="DQ100" s="14">
        <f t="shared" si="97"/>
        <v>64.041809198373272</v>
      </c>
      <c r="DR100" s="22">
        <f t="shared" si="70"/>
        <v>575.16836435383368</v>
      </c>
      <c r="DS100" s="62">
        <f t="shared" si="71"/>
        <v>868.50169768716705</v>
      </c>
      <c r="DT100" s="62">
        <f ca="1">AVERAGE(OFFSET($DS$3,0,0,'Données projet'!$E$14+1,1))-AVERAGE(OFFSET($H$3,0,0,'Données projet'!$E$14+1,1))</f>
        <v>383.83934938682984</v>
      </c>
      <c r="DU100" s="62">
        <f t="shared" si="98"/>
        <v>223.93106361972281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376.88365791501889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5.5</v>
      </c>
      <c r="N101" s="14">
        <f>IF('Données projet'!$A$36&gt;35,N100+M101-V100,IF(A101&lt;'Données projet'!$A$36,$K$205^A101,IF(A101='Données projet'!$A$36,'Données projet'!$B$36,N100+M101-V100)))</f>
        <v>321.50000000000017</v>
      </c>
      <c r="O101" s="14">
        <f>N101*VLOOKUP('Données projet'!$B$9,Paramètres!$A$1:$I$89,3,0)*VLOOKUP('Données projet'!$B$9,Paramètres!$A$1:$I$89,5,0)</f>
        <v>290.89320000000015</v>
      </c>
      <c r="P101" s="14">
        <f t="shared" si="87"/>
        <v>69.263916768293996</v>
      </c>
      <c r="Q101" s="22">
        <f t="shared" si="107"/>
        <v>627.27364503811225</v>
      </c>
      <c r="R101" s="62">
        <f t="shared" si="55"/>
        <v>920.60697837144562</v>
      </c>
      <c r="S101" s="62">
        <f ca="1">AVERAGE(OFFSET($R$3,0,0,'Données projet'!$E$9+1,1))-AVERAGE(OFFSET($H$3,0,0,'Données projet'!$E$9+1,1))</f>
        <v>415.89259563928869</v>
      </c>
      <c r="T101" s="62">
        <f t="shared" si="88"/>
        <v>240.19413322685813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-3.7243808037601412E-14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214.08705070588002</v>
      </c>
      <c r="AO101" s="62">
        <f t="shared" si="90"/>
        <v>251.33527585147152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-3.2514435588382188E-14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239.41486198585676</v>
      </c>
      <c r="BJ101" s="62">
        <f t="shared" si="92"/>
        <v>224.9174498508774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1.7992871999791238E-10</v>
      </c>
      <c r="BS101" s="24">
        <f t="shared" si="63"/>
        <v>1.7992871999791238E-10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-5.6843418860808015E-13</v>
      </c>
      <c r="BZ101" s="14">
        <f>BY101*VLOOKUP('Données projet'!$B$12,Paramètres!$A$1:$I$89,3,0)*VLOOKUP('Données projet'!$B$12,Paramètres!$A$1:$I$89,5,0)</f>
        <v>-3.39923644787632E-13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288.65195492450403</v>
      </c>
      <c r="CE101" s="62">
        <f t="shared" si="94"/>
        <v>310.66800441693891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1.7919664965207777E-9</v>
      </c>
      <c r="CN101" s="24">
        <f t="shared" si="66"/>
        <v>1.7919664965207777E-9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-6.8212102632969618E-13</v>
      </c>
      <c r="CU101" s="18">
        <f>CT101*VLOOKUP('Données projet'!$B$13,Paramètres!$A$1:$I$89,3,0)*VLOOKUP('Données projet'!$B$13,Paramètres!$A$1:$I$89,5,0)</f>
        <v>-3.0149749363772573E-13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572.6451446653349</v>
      </c>
      <c r="CZ101" s="62">
        <f t="shared" si="96"/>
        <v>389.15977992931374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5.5</v>
      </c>
      <c r="DO101" s="13">
        <f>IF('Données projet'!$A$166&gt;35,DO100+DN101-DW100,IF(A101&lt;'Données projet'!$A$166,$DL$205^A101,IF(A101='Données projet'!$A$166,'Données projet'!$B$166,DO100+DN101-DW100)))</f>
        <v>321.50000000000017</v>
      </c>
      <c r="DP101" s="18">
        <f>DO101*VLOOKUP('Données projet'!$B$14,Paramètres!$A$1:$I$89,3,0)*VLOOKUP('Données projet'!$B$14,Paramètres!$A$1:$I$89,5,0)</f>
        <v>270.83160000000015</v>
      </c>
      <c r="DQ101" s="14">
        <f t="shared" si="97"/>
        <v>65.025724195950474</v>
      </c>
      <c r="DR101" s="22">
        <f t="shared" si="70"/>
        <v>584.9515063079474</v>
      </c>
      <c r="DS101" s="62">
        <f t="shared" si="71"/>
        <v>878.28483964128077</v>
      </c>
      <c r="DT101" s="62">
        <f ca="1">AVERAGE(OFFSET($DS$3,0,0,'Données projet'!$E$14+1,1))-AVERAGE(OFFSET($H$3,0,0,'Données projet'!$E$14+1,1))</f>
        <v>383.83934938682984</v>
      </c>
      <c r="DU101" s="62">
        <f t="shared" si="98"/>
        <v>223.93106361972281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378.07811998720388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5.5</v>
      </c>
      <c r="N102" s="14">
        <f>IF('Données projet'!$A$36&gt;35,N101+M102-V101,IF(A102&lt;'Données projet'!$A$36,$K$205^A102,IF(A102='Données projet'!$A$36,'Données projet'!$B$36,N101+M102-V101)))</f>
        <v>327.00000000000017</v>
      </c>
      <c r="O102" s="14">
        <f>N102*VLOOKUP('Données projet'!$B$9,Paramètres!$A$1:$I$89,3,0)*VLOOKUP('Données projet'!$B$9,Paramètres!$A$1:$I$89,5,0)</f>
        <v>295.86960000000016</v>
      </c>
      <c r="P102" s="14">
        <f t="shared" si="87"/>
        <v>70.309875568291275</v>
      </c>
      <c r="Q102" s="22">
        <f t="shared" si="107"/>
        <v>637.76258661477414</v>
      </c>
      <c r="R102" s="62">
        <f t="shared" si="55"/>
        <v>931.09591994810739</v>
      </c>
      <c r="S102" s="62">
        <f ca="1">AVERAGE(OFFSET($R$3,0,0,'Données projet'!$E$9+1,1))-AVERAGE(OFFSET($H$3,0,0,'Données projet'!$E$9+1,1))</f>
        <v>415.89259563928869</v>
      </c>
      <c r="T102" s="62">
        <f t="shared" si="88"/>
        <v>240.19413322685813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-3.7243808037601412E-14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214.08705070588002</v>
      </c>
      <c r="AO102" s="62">
        <f t="shared" si="90"/>
        <v>251.33527585147152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-3.2514435588382188E-14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239.41486198585676</v>
      </c>
      <c r="BJ102" s="62">
        <f t="shared" si="92"/>
        <v>224.9174498508774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1.2722881804073941E-10</v>
      </c>
      <c r="BS102" s="24">
        <f t="shared" si="63"/>
        <v>1.2722881804073941E-10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-5.6843418860808015E-13</v>
      </c>
      <c r="BZ102" s="14">
        <f>BY102*VLOOKUP('Données projet'!$B$12,Paramètres!$A$1:$I$89,3,0)*VLOOKUP('Données projet'!$B$12,Paramètres!$A$1:$I$89,5,0)</f>
        <v>-3.39923644787632E-13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288.65195492450403</v>
      </c>
      <c r="CE102" s="62">
        <f t="shared" si="94"/>
        <v>310.66800441693891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1.2671116613489419E-9</v>
      </c>
      <c r="CN102" s="24">
        <f t="shared" si="66"/>
        <v>1.2671116613489419E-9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-6.8212102632969618E-13</v>
      </c>
      <c r="CU102" s="18">
        <f>CT102*VLOOKUP('Données projet'!$B$13,Paramètres!$A$1:$I$89,3,0)*VLOOKUP('Données projet'!$B$13,Paramètres!$A$1:$I$89,5,0)</f>
        <v>-3.0149749363772573E-13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572.6451446653349</v>
      </c>
      <c r="CZ102" s="62">
        <f t="shared" si="96"/>
        <v>389.15977992931374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5.5</v>
      </c>
      <c r="DO102" s="13">
        <f>IF('Données projet'!$A$166&gt;35,DO101+DN102-DW101,IF(A102&lt;'Données projet'!$A$166,$DL$205^A102,IF(A102='Données projet'!$A$166,'Données projet'!$B$166,DO101+DN102-DW101)))</f>
        <v>327.00000000000017</v>
      </c>
      <c r="DP102" s="18">
        <f>DO102*VLOOKUP('Données projet'!$B$14,Paramètres!$A$1:$I$89,3,0)*VLOOKUP('Données projet'!$B$14,Paramètres!$A$1:$I$89,5,0)</f>
        <v>275.46480000000014</v>
      </c>
      <c r="DQ102" s="14">
        <f t="shared" si="97"/>
        <v>66.007681781116673</v>
      </c>
      <c r="DR102" s="22">
        <f t="shared" si="70"/>
        <v>594.73123910211177</v>
      </c>
      <c r="DS102" s="62">
        <f t="shared" si="71"/>
        <v>888.06457243544514</v>
      </c>
      <c r="DT102" s="62">
        <f ca="1">AVERAGE(OFFSET($DS$3,0,0,'Données projet'!$E$14+1,1))-AVERAGE(OFFSET($H$3,0,0,'Données projet'!$E$14+1,1))</f>
        <v>383.83934938682984</v>
      </c>
      <c r="DU102" s="62">
        <f t="shared" si="98"/>
        <v>223.93106361972281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379.27229591132925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5.5</v>
      </c>
      <c r="N103" s="14">
        <f>IF('Données projet'!$A$36&gt;35,N102+M103-V102,IF(A103&lt;'Données projet'!$A$36,$K$205^A103,IF(A103='Données projet'!$A$36,'Données projet'!$B$36,N102+M103-V102)))</f>
        <v>332.50000000000017</v>
      </c>
      <c r="O103" s="14">
        <f>N103*VLOOKUP('Données projet'!$B$9,Paramètres!$A$1:$I$89,3,0)*VLOOKUP('Données projet'!$B$9,Paramètres!$A$1:$I$89,5,0)</f>
        <v>300.84600000000012</v>
      </c>
      <c r="P103" s="14">
        <f t="shared" si="87"/>
        <v>71.353788493344268</v>
      </c>
      <c r="Q103" s="22">
        <f t="shared" si="107"/>
        <v>648.24796495924147</v>
      </c>
      <c r="R103" s="62">
        <f t="shared" si="55"/>
        <v>941.58129829257473</v>
      </c>
      <c r="S103" s="62">
        <f ca="1">AVERAGE(OFFSET($R$3,0,0,'Données projet'!$E$9+1,1))-AVERAGE(OFFSET($H$3,0,0,'Données projet'!$E$9+1,1))</f>
        <v>415.89259563928869</v>
      </c>
      <c r="T103" s="62">
        <f t="shared" si="88"/>
        <v>240.19413322685813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-3.7243808037601412E-14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214.08705070588002</v>
      </c>
      <c r="AO103" s="62">
        <f t="shared" si="90"/>
        <v>251.33527585147152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-3.2514435588382188E-14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239.41486198585676</v>
      </c>
      <c r="BJ103" s="62">
        <f t="shared" si="92"/>
        <v>224.9174498508774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8.996435999895619E-11</v>
      </c>
      <c r="BS103" s="24">
        <f t="shared" si="63"/>
        <v>8.996435999895619E-11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-5.6843418860808015E-13</v>
      </c>
      <c r="BZ103" s="14">
        <f>BY103*VLOOKUP('Données projet'!$B$12,Paramètres!$A$1:$I$89,3,0)*VLOOKUP('Données projet'!$B$12,Paramètres!$A$1:$I$89,5,0)</f>
        <v>-3.39923644787632E-13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288.65195492450403</v>
      </c>
      <c r="CE103" s="62">
        <f t="shared" si="94"/>
        <v>310.66800441693891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8.9598324826038897E-10</v>
      </c>
      <c r="CN103" s="24">
        <f t="shared" si="66"/>
        <v>8.9598324826038897E-10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-6.8212102632969618E-13</v>
      </c>
      <c r="CU103" s="18">
        <f>CT103*VLOOKUP('Données projet'!$B$13,Paramètres!$A$1:$I$89,3,0)*VLOOKUP('Données projet'!$B$13,Paramètres!$A$1:$I$89,5,0)</f>
        <v>-3.0149749363772573E-13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572.6451446653349</v>
      </c>
      <c r="CZ103" s="62">
        <f t="shared" si="96"/>
        <v>389.15977992931374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5.5</v>
      </c>
      <c r="DO103" s="13">
        <f>IF('Données projet'!$A$166&gt;35,DO102+DN103-DW102,IF(A103&lt;'Données projet'!$A$166,$DL$205^A103,IF(A103='Données projet'!$A$166,'Données projet'!$B$166,DO102+DN103-DW102)))</f>
        <v>332.50000000000017</v>
      </c>
      <c r="DP103" s="18">
        <f>DO103*VLOOKUP('Données projet'!$B$14,Paramètres!$A$1:$I$89,3,0)*VLOOKUP('Données projet'!$B$14,Paramètres!$A$1:$I$89,5,0)</f>
        <v>280.09800000000018</v>
      </c>
      <c r="DQ103" s="14">
        <f t="shared" si="97"/>
        <v>66.987718676462464</v>
      </c>
      <c r="DR103" s="22">
        <f t="shared" si="70"/>
        <v>604.50762669483913</v>
      </c>
      <c r="DS103" s="62">
        <f t="shared" si="71"/>
        <v>897.8409600281725</v>
      </c>
      <c r="DT103" s="62">
        <f ca="1">AVERAGE(OFFSET($DS$3,0,0,'Données projet'!$E$14+1,1))-AVERAGE(OFFSET($H$3,0,0,'Données projet'!$E$14+1,1))</f>
        <v>383.83934938682984</v>
      </c>
      <c r="DU103" s="62">
        <f t="shared" si="98"/>
        <v>223.93106361972281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380.46618888020032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5.5</v>
      </c>
      <c r="N104" s="14">
        <f>IF('Données projet'!$A$36&gt;35,N103+M104-V103,IF(A104&lt;'Données projet'!$A$36,$K$205^A104,IF(A104='Données projet'!$A$36,'Données projet'!$B$36,N103+M104-V103)))</f>
        <v>338.00000000000017</v>
      </c>
      <c r="O104" s="14">
        <f>N104*VLOOKUP('Données projet'!$B$9,Paramètres!$A$1:$I$89,3,0)*VLOOKUP('Données projet'!$B$9,Paramètres!$A$1:$I$89,5,0)</f>
        <v>305.82240000000013</v>
      </c>
      <c r="P104" s="14">
        <f t="shared" si="87"/>
        <v>72.395693291268998</v>
      </c>
      <c r="Q104" s="22">
        <f t="shared" si="107"/>
        <v>658.72984581562707</v>
      </c>
      <c r="R104" s="62">
        <f t="shared" si="55"/>
        <v>952.06317914896044</v>
      </c>
      <c r="S104" s="62">
        <f ca="1">AVERAGE(OFFSET($R$3,0,0,'Données projet'!$E$9+1,1))-AVERAGE(OFFSET($H$3,0,0,'Données projet'!$E$9+1,1))</f>
        <v>415.89259563928869</v>
      </c>
      <c r="T104" s="62">
        <f t="shared" si="88"/>
        <v>240.19413322685813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-3.7243808037601412E-14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214.08705070588002</v>
      </c>
      <c r="AO104" s="62">
        <f t="shared" si="90"/>
        <v>251.33527585147152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-3.2514435588382188E-14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239.41486198585676</v>
      </c>
      <c r="BJ104" s="62">
        <f t="shared" si="92"/>
        <v>224.9174498508774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6.3614409020369703E-11</v>
      </c>
      <c r="BS104" s="24">
        <f t="shared" si="63"/>
        <v>6.3614409020369703E-11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-5.6843418860808015E-13</v>
      </c>
      <c r="BZ104" s="14">
        <f>BY104*VLOOKUP('Données projet'!$B$12,Paramètres!$A$1:$I$89,3,0)*VLOOKUP('Données projet'!$B$12,Paramètres!$A$1:$I$89,5,0)</f>
        <v>-3.39923644787632E-13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288.65195492450403</v>
      </c>
      <c r="CE104" s="62">
        <f t="shared" si="94"/>
        <v>310.66800441693891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6.3355583067447104E-10</v>
      </c>
      <c r="CN104" s="24">
        <f t="shared" si="66"/>
        <v>6.3355583067447104E-10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-6.8212102632969618E-13</v>
      </c>
      <c r="CU104" s="18">
        <f>CT104*VLOOKUP('Données projet'!$B$13,Paramètres!$A$1:$I$89,3,0)*VLOOKUP('Données projet'!$B$13,Paramètres!$A$1:$I$89,5,0)</f>
        <v>-3.0149749363772573E-13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572.6451446653349</v>
      </c>
      <c r="CZ104" s="62">
        <f t="shared" si="96"/>
        <v>389.15977992931374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5.5</v>
      </c>
      <c r="DO104" s="13">
        <f>IF('Données projet'!$A$166&gt;35,DO103+DN104-DW103,IF(A104&lt;'Données projet'!$A$166,$DL$205^A104,IF(A104='Données projet'!$A$166,'Données projet'!$B$166,DO103+DN104-DW103)))</f>
        <v>338.00000000000017</v>
      </c>
      <c r="DP104" s="18">
        <f>DO104*VLOOKUP('Données projet'!$B$14,Paramètres!$A$1:$I$89,3,0)*VLOOKUP('Données projet'!$B$14,Paramètres!$A$1:$I$89,5,0)</f>
        <v>284.73120000000017</v>
      </c>
      <c r="DQ104" s="14">
        <f t="shared" si="97"/>
        <v>67.96587032005101</v>
      </c>
      <c r="DR104" s="22">
        <f t="shared" si="70"/>
        <v>614.2807308074224</v>
      </c>
      <c r="DS104" s="62">
        <f t="shared" si="71"/>
        <v>907.61406414075577</v>
      </c>
      <c r="DT104" s="62">
        <f ca="1">AVERAGE(OFFSET($DS$3,0,0,'Données projet'!$E$14+1,1))-AVERAGE(OFFSET($H$3,0,0,'Données projet'!$E$14+1,1))</f>
        <v>383.83934938682984</v>
      </c>
      <c r="DU104" s="62">
        <f t="shared" si="98"/>
        <v>223.93106361972281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381.6598020197543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5.5</v>
      </c>
      <c r="N105" s="14">
        <f>IF('Données projet'!$A$36&gt;35,N104+M105-V104,IF(A105&lt;'Données projet'!$A$36,$K$205^A105,IF(A105='Données projet'!$A$36,'Données projet'!$B$36,N104+M105-V104)))</f>
        <v>343.50000000000017</v>
      </c>
      <c r="O105" s="14">
        <f>N105*VLOOKUP('Données projet'!$B$9,Paramètres!$A$1:$I$89,3,0)*VLOOKUP('Données projet'!$B$9,Paramètres!$A$1:$I$89,5,0)</f>
        <v>310.79880000000014</v>
      </c>
      <c r="P105" s="14">
        <f t="shared" si="87"/>
        <v>73.435626410963707</v>
      </c>
      <c r="Q105" s="22">
        <f t="shared" si="107"/>
        <v>669.20829266576197</v>
      </c>
      <c r="R105" s="62">
        <f t="shared" si="55"/>
        <v>962.54162599909523</v>
      </c>
      <c r="S105" s="62">
        <f ca="1">AVERAGE(OFFSET($R$3,0,0,'Données projet'!$E$9+1,1))-AVERAGE(OFFSET($H$3,0,0,'Données projet'!$E$9+1,1))</f>
        <v>415.89259563928869</v>
      </c>
      <c r="T105" s="62">
        <f t="shared" si="88"/>
        <v>240.19413322685813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-3.7243808037601412E-14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214.08705070588002</v>
      </c>
      <c r="AO105" s="62">
        <f t="shared" si="90"/>
        <v>251.33527585147152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-3.2514435588382188E-14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239.41486198585676</v>
      </c>
      <c r="BJ105" s="62">
        <f t="shared" si="92"/>
        <v>224.9174498508774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4.4982179999478095E-11</v>
      </c>
      <c r="BS105" s="24">
        <f t="shared" si="63"/>
        <v>4.4982179999478095E-11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-5.6843418860808015E-13</v>
      </c>
      <c r="BZ105" s="14">
        <f>BY105*VLOOKUP('Données projet'!$B$12,Paramètres!$A$1:$I$89,3,0)*VLOOKUP('Données projet'!$B$12,Paramètres!$A$1:$I$89,5,0)</f>
        <v>-3.39923644787632E-13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288.65195492450403</v>
      </c>
      <c r="CE105" s="62">
        <f t="shared" si="94"/>
        <v>310.66800441693891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4.4799162413019459E-10</v>
      </c>
      <c r="CN105" s="24">
        <f t="shared" si="66"/>
        <v>4.4799162413019459E-10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-6.8212102632969618E-13</v>
      </c>
      <c r="CU105" s="18">
        <f>CT105*VLOOKUP('Données projet'!$B$13,Paramètres!$A$1:$I$89,3,0)*VLOOKUP('Données projet'!$B$13,Paramètres!$A$1:$I$89,5,0)</f>
        <v>-3.0149749363772573E-13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572.6451446653349</v>
      </c>
      <c r="CZ105" s="62">
        <f t="shared" si="96"/>
        <v>389.15977992931374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5.5</v>
      </c>
      <c r="DO105" s="13">
        <f>IF('Données projet'!$A$166&gt;35,DO104+DN105-DW104,IF(A105&lt;'Données projet'!$A$166,$DL$205^A105,IF(A105='Données projet'!$A$166,'Données projet'!$B$166,DO104+DN105-DW104)))</f>
        <v>343.50000000000017</v>
      </c>
      <c r="DP105" s="18">
        <f>DO105*VLOOKUP('Données projet'!$B$14,Paramètres!$A$1:$I$89,3,0)*VLOOKUP('Données projet'!$B$14,Paramètres!$A$1:$I$89,5,0)</f>
        <v>289.36440000000016</v>
      </c>
      <c r="DQ105" s="14">
        <f t="shared" si="97"/>
        <v>68.942170930507686</v>
      </c>
      <c r="DR105" s="22">
        <f t="shared" si="70"/>
        <v>624.05061103730111</v>
      </c>
      <c r="DS105" s="62">
        <f t="shared" si="71"/>
        <v>917.38394437063448</v>
      </c>
      <c r="DT105" s="62">
        <f ca="1">AVERAGE(OFFSET($DS$3,0,0,'Données projet'!$E$14+1,1))-AVERAGE(OFFSET($H$3,0,0,'Données projet'!$E$14+1,1))</f>
        <v>383.83934938682984</v>
      </c>
      <c r="DU105" s="62">
        <f t="shared" si="98"/>
        <v>223.93106361972281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382.85313839110199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5.5</v>
      </c>
      <c r="N106" s="14">
        <f>IF('Données projet'!$A$36&gt;35,N105+M106-V105,IF(A106&lt;'Données projet'!$A$36,$K$205^A106,IF(A106='Données projet'!$A$36,'Données projet'!$B$36,N105+M106-V105)))</f>
        <v>349.00000000000017</v>
      </c>
      <c r="O106" s="14">
        <f>N106*VLOOKUP('Données projet'!$B$9,Paramètres!$A$1:$I$89,3,0)*VLOOKUP('Données projet'!$B$9,Paramètres!$A$1:$I$89,5,0)</f>
        <v>315.7752000000001</v>
      </c>
      <c r="P106" s="14">
        <f t="shared" si="87"/>
        <v>74.473623067174074</v>
      </c>
      <c r="Q106" s="22">
        <f t="shared" si="107"/>
        <v>679.68336684199494</v>
      </c>
      <c r="R106" s="62">
        <f t="shared" si="55"/>
        <v>973.0167001753282</v>
      </c>
      <c r="S106" s="62">
        <f ca="1">AVERAGE(OFFSET($R$3,0,0,'Données projet'!$E$9+1,1))-AVERAGE(OFFSET($H$3,0,0,'Données projet'!$E$9+1,1))</f>
        <v>415.89259563928869</v>
      </c>
      <c r="T106" s="62">
        <f t="shared" si="88"/>
        <v>240.19413322685813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-3.7243808037601412E-14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214.08705070588002</v>
      </c>
      <c r="AO106" s="62">
        <f t="shared" si="90"/>
        <v>251.33527585147152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-3.2514435588382188E-14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239.41486198585676</v>
      </c>
      <c r="BJ106" s="62">
        <f t="shared" si="92"/>
        <v>224.9174498508774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3.1807204510184852E-11</v>
      </c>
      <c r="BS106" s="24">
        <f t="shared" si="63"/>
        <v>3.1807204510184852E-11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-5.6843418860808015E-13</v>
      </c>
      <c r="BZ106" s="14">
        <f>BY106*VLOOKUP('Données projet'!$B$12,Paramètres!$A$1:$I$89,3,0)*VLOOKUP('Données projet'!$B$12,Paramètres!$A$1:$I$89,5,0)</f>
        <v>-3.39923644787632E-13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288.65195492450403</v>
      </c>
      <c r="CE106" s="62">
        <f t="shared" si="94"/>
        <v>310.66800441693891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3.1677791533723557E-10</v>
      </c>
      <c r="CN106" s="24">
        <f t="shared" si="66"/>
        <v>3.1677791533723557E-10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-6.8212102632969618E-13</v>
      </c>
      <c r="CU106" s="18">
        <f>CT106*VLOOKUP('Données projet'!$B$13,Paramètres!$A$1:$I$89,3,0)*VLOOKUP('Données projet'!$B$13,Paramètres!$A$1:$I$89,5,0)</f>
        <v>-3.0149749363772573E-13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572.6451446653349</v>
      </c>
      <c r="CZ106" s="62">
        <f t="shared" si="96"/>
        <v>389.15977992931374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5.5</v>
      </c>
      <c r="DO106" s="13">
        <f>IF('Données projet'!$A$166&gt;35,DO105+DN106-DW105,IF(A106&lt;'Données projet'!$A$166,$DL$205^A106,IF(A106='Données projet'!$A$166,'Données projet'!$B$166,DO105+DN106-DW105)))</f>
        <v>349.00000000000017</v>
      </c>
      <c r="DP106" s="18">
        <f>DO106*VLOOKUP('Données projet'!$B$14,Paramètres!$A$1:$I$89,3,0)*VLOOKUP('Données projet'!$B$14,Paramètres!$A$1:$I$89,5,0)</f>
        <v>293.99760000000015</v>
      </c>
      <c r="DQ106" s="14">
        <f t="shared" si="97"/>
        <v>69.916653567821541</v>
      </c>
      <c r="DR106" s="22">
        <f t="shared" si="70"/>
        <v>633.81732496395614</v>
      </c>
      <c r="DS106" s="62">
        <f t="shared" si="71"/>
        <v>927.15065829728951</v>
      </c>
      <c r="DT106" s="62">
        <f ca="1">AVERAGE(OFFSET($DS$3,0,0,'Données projet'!$E$14+1,1))-AVERAGE(OFFSET($H$3,0,0,'Données projet'!$E$14+1,1))</f>
        <v>383.83934938682984</v>
      </c>
      <c r="DU106" s="62">
        <f t="shared" si="98"/>
        <v>223.93106361972281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384.04620099248854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5.5</v>
      </c>
      <c r="N107" s="14">
        <f>IF('Données projet'!$A$36&gt;35,N106+M107-V106,IF(A107&lt;'Données projet'!$A$36,$K$205^A107,IF(A107='Données projet'!$A$36,'Données projet'!$B$36,N106+M107-V106)))</f>
        <v>354.50000000000017</v>
      </c>
      <c r="O107" s="14">
        <f>N107*VLOOKUP('Données projet'!$B$9,Paramètres!$A$1:$I$89,3,0)*VLOOKUP('Données projet'!$B$9,Paramètres!$A$1:$I$89,5,0)</f>
        <v>320.75160000000017</v>
      </c>
      <c r="P107" s="14">
        <f t="shared" si="87"/>
        <v>75.509717301059425</v>
      </c>
      <c r="Q107" s="22">
        <f t="shared" si="107"/>
        <v>690.15512763267873</v>
      </c>
      <c r="R107" s="62">
        <f t="shared" si="55"/>
        <v>983.4884609660121</v>
      </c>
      <c r="S107" s="62">
        <f ca="1">AVERAGE(OFFSET($R$3,0,0,'Données projet'!$E$9+1,1))-AVERAGE(OFFSET($H$3,0,0,'Données projet'!$E$9+1,1))</f>
        <v>415.89259563928869</v>
      </c>
      <c r="T107" s="62">
        <f t="shared" si="88"/>
        <v>240.19413322685813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-3.7243808037601412E-14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214.08705070588002</v>
      </c>
      <c r="AO107" s="62">
        <f t="shared" si="90"/>
        <v>251.33527585147152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-3.2514435588382188E-14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239.41486198585676</v>
      </c>
      <c r="BJ107" s="62">
        <f t="shared" si="92"/>
        <v>224.9174498508774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2.2491089999739048E-11</v>
      </c>
      <c r="BS107" s="24">
        <f t="shared" si="63"/>
        <v>2.2491089999739048E-11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-5.6843418860808015E-13</v>
      </c>
      <c r="BZ107" s="14">
        <f>BY107*VLOOKUP('Données projet'!$B$12,Paramètres!$A$1:$I$89,3,0)*VLOOKUP('Données projet'!$B$12,Paramètres!$A$1:$I$89,5,0)</f>
        <v>-3.39923644787632E-13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288.65195492450403</v>
      </c>
      <c r="CE107" s="62">
        <f t="shared" si="94"/>
        <v>310.66800441693891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2.2399581206509732E-10</v>
      </c>
      <c r="CN107" s="24">
        <f t="shared" si="66"/>
        <v>2.2399581206509732E-10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-6.8212102632969618E-13</v>
      </c>
      <c r="CU107" s="18">
        <f>CT107*VLOOKUP('Données projet'!$B$13,Paramètres!$A$1:$I$89,3,0)*VLOOKUP('Données projet'!$B$13,Paramètres!$A$1:$I$89,5,0)</f>
        <v>-3.0149749363772573E-13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572.6451446653349</v>
      </c>
      <c r="CZ107" s="62">
        <f t="shared" si="96"/>
        <v>389.15977992931374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5.5</v>
      </c>
      <c r="DO107" s="13">
        <f>IF('Données projet'!$A$166&gt;35,DO106+DN107-DW106,IF(A107&lt;'Données projet'!$A$166,$DL$205^A107,IF(A107='Données projet'!$A$166,'Données projet'!$B$166,DO106+DN107-DW106)))</f>
        <v>354.50000000000017</v>
      </c>
      <c r="DP107" s="18">
        <f>DO107*VLOOKUP('Données projet'!$B$14,Paramètres!$A$1:$I$89,3,0)*VLOOKUP('Données projet'!$B$14,Paramètres!$A$1:$I$89,5,0)</f>
        <v>298.63080000000014</v>
      </c>
      <c r="DQ107" s="14">
        <f t="shared" si="97"/>
        <v>70.889350190206017</v>
      </c>
      <c r="DR107" s="22">
        <f t="shared" si="70"/>
        <v>643.58092824794232</v>
      </c>
      <c r="DS107" s="62">
        <f t="shared" si="71"/>
        <v>936.9142615812757</v>
      </c>
      <c r="DT107" s="62">
        <f ca="1">AVERAGE(OFFSET($DS$3,0,0,'Données projet'!$E$14+1,1))-AVERAGE(OFFSET($H$3,0,0,'Données projet'!$E$14+1,1))</f>
        <v>383.83934938682984</v>
      </c>
      <c r="DU107" s="62">
        <f t="shared" si="98"/>
        <v>223.93106361972281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385.23899276117606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360</v>
      </c>
      <c r="L108" s="13">
        <f>VLOOKUP(A108,'Données projet'!$A$35:$I$55,9,0)</f>
        <v>5.5</v>
      </c>
      <c r="M108" s="13">
        <f t="array" ref="M108">INDEX(L:L,MIN(IF(ISNUMBER(L108:L304),ROW(L108:L304),"")))</f>
        <v>5.5</v>
      </c>
      <c r="N108" s="14">
        <f>IF('Données projet'!$A$36&gt;35,N107+M108-V107,IF(A108&lt;'Données projet'!$A$36,$K$205^A108,IF(A108='Données projet'!$A$36,'Données projet'!$B$36,N107+M108-V107)))</f>
        <v>360.00000000000017</v>
      </c>
      <c r="O108" s="14">
        <f>N108*VLOOKUP('Données projet'!$B$9,Paramètres!$A$1:$I$89,3,0)*VLOOKUP('Données projet'!$B$9,Paramètres!$A$1:$I$89,5,0)</f>
        <v>325.72800000000018</v>
      </c>
      <c r="P108" s="14">
        <f t="shared" si="87"/>
        <v>76.543942036894109</v>
      </c>
      <c r="Q108" s="22">
        <f t="shared" si="107"/>
        <v>700.62363238092428</v>
      </c>
      <c r="R108" s="62">
        <f t="shared" si="55"/>
        <v>993.95696571425765</v>
      </c>
      <c r="S108" s="62">
        <f ca="1">AVERAGE(OFFSET($R$3,0,0,'Données projet'!$E$9+1,1))-AVERAGE(OFFSET($H$3,0,0,'Données projet'!$E$9+1,1))</f>
        <v>415.89259563928869</v>
      </c>
      <c r="T108" s="62">
        <f t="shared" si="88"/>
        <v>240.19413322685813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53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-3.7243808037601412E-14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214.08705070588002</v>
      </c>
      <c r="AO108" s="62">
        <f t="shared" si="90"/>
        <v>251.33527585147152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-3.2514435588382188E-14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239.41486198585676</v>
      </c>
      <c r="BJ108" s="62">
        <f t="shared" si="92"/>
        <v>224.9174498508774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1.5903602255092426E-11</v>
      </c>
      <c r="BS108" s="24">
        <f t="shared" si="63"/>
        <v>1.5903602255092426E-11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-5.6843418860808015E-13</v>
      </c>
      <c r="BZ108" s="14">
        <f>BY108*VLOOKUP('Données projet'!$B$12,Paramètres!$A$1:$I$89,3,0)*VLOOKUP('Données projet'!$B$12,Paramètres!$A$1:$I$89,5,0)</f>
        <v>-3.39923644787632E-13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288.65195492450403</v>
      </c>
      <c r="CE108" s="62">
        <f t="shared" si="94"/>
        <v>310.66800441693891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1.5838895766861781E-10</v>
      </c>
      <c r="CN108" s="24">
        <f t="shared" si="66"/>
        <v>1.5838895766861781E-10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-6.8212102632969618E-13</v>
      </c>
      <c r="CU108" s="18">
        <f>CT108*VLOOKUP('Données projet'!$B$13,Paramètres!$A$1:$I$89,3,0)*VLOOKUP('Données projet'!$B$13,Paramètres!$A$1:$I$89,5,0)</f>
        <v>-3.0149749363772573E-13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572.6451446653349</v>
      </c>
      <c r="CZ108" s="62">
        <f t="shared" si="96"/>
        <v>389.15977992931374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360</v>
      </c>
      <c r="DM108" s="13">
        <f>VLOOKUP(A108,'Données projet'!$A$165:$I$185,9,0)</f>
        <v>5.5</v>
      </c>
      <c r="DN108" s="13">
        <f t="array" ref="DN108">INDEX(DM:DM,MIN(IF(ISNUMBER(DM108:DM304),ROW(DM108:DM304),"")))</f>
        <v>5.5</v>
      </c>
      <c r="DO108" s="13">
        <f>IF('Données projet'!$A$166&gt;35,DO107+DN108-DW107,IF(A108&lt;'Données projet'!$A$166,$DL$205^A108,IF(A108='Données projet'!$A$166,'Données projet'!$B$166,DO107+DN108-DW107)))</f>
        <v>360.00000000000017</v>
      </c>
      <c r="DP108" s="18">
        <f>DO108*VLOOKUP('Données projet'!$B$14,Paramètres!$A$1:$I$89,3,0)*VLOOKUP('Données projet'!$B$14,Paramètres!$A$1:$I$89,5,0)</f>
        <v>303.26400000000018</v>
      </c>
      <c r="DQ108" s="14">
        <f t="shared" si="97"/>
        <v>71.860291707330859</v>
      </c>
      <c r="DR108" s="22">
        <f t="shared" si="70"/>
        <v>653.34147472360155</v>
      </c>
      <c r="DS108" s="62">
        <f t="shared" si="71"/>
        <v>946.67480805693481</v>
      </c>
      <c r="DT108" s="62">
        <f ca="1">AVERAGE(OFFSET($DS$3,0,0,'Données projet'!$E$14+1,1))-AVERAGE(OFFSET($H$3,0,0,'Données projet'!$E$14+1,1))</f>
        <v>383.83934938682984</v>
      </c>
      <c r="DU108" s="62">
        <f t="shared" si="98"/>
        <v>223.93106361972281</v>
      </c>
      <c r="DV108" s="16">
        <f>IF(ISNA(VLOOKUP(A108,'Données projet'!$A$165:$I$185,3,0)),0,VLOOKUP(A108,'Données projet'!$A$165:$I$185,3,0))</f>
        <v>9</v>
      </c>
      <c r="DW108" s="16">
        <f>IF(ISNA(VLOOKUP(A108,'Données projet'!$A$165:$I$185,4,0)),0,VLOOKUP(A108,'Données projet'!$A$165:$I$185,4,0))</f>
        <v>53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386.43151657525294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4.9000000000000004</v>
      </c>
      <c r="N109" s="14">
        <f>IF('Données projet'!$A$36&gt;35,N108+M109-V108,IF(A109&lt;'Données projet'!$A$36,$K$205^A109,IF(A109='Données projet'!$A$36,'Données projet'!$B$36,N108+M109-V108)))</f>
        <v>311.90000000000015</v>
      </c>
      <c r="O109" s="14">
        <f>N109*VLOOKUP('Données projet'!$B$9,Paramètres!$A$1:$I$89,3,0)*VLOOKUP('Données projet'!$B$9,Paramètres!$A$1:$I$89,5,0)</f>
        <v>282.20712000000015</v>
      </c>
      <c r="P109" s="14">
        <f t="shared" si="87"/>
        <v>67.433223428275326</v>
      </c>
      <c r="Q109" s="22">
        <f t="shared" si="107"/>
        <v>608.95693147091299</v>
      </c>
      <c r="R109" s="62">
        <f t="shared" si="55"/>
        <v>902.29026480424636</v>
      </c>
      <c r="S109" s="62">
        <f ca="1">AVERAGE(OFFSET($R$3,0,0,'Données projet'!$E$9+1,1))-AVERAGE(OFFSET($H$3,0,0,'Données projet'!$E$9+1,1))</f>
        <v>415.89259563928869</v>
      </c>
      <c r="T109" s="62">
        <f t="shared" si="88"/>
        <v>240.19413322685813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-3.7243808037601412E-14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214.08705070588002</v>
      </c>
      <c r="AO109" s="62">
        <f t="shared" si="90"/>
        <v>251.33527585147152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-3.2514435588382188E-14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239.41486198585676</v>
      </c>
      <c r="BJ109" s="62">
        <f t="shared" si="92"/>
        <v>224.9174498508774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1.1245544999869524E-11</v>
      </c>
      <c r="BS109" s="24">
        <f t="shared" si="63"/>
        <v>1.1245544999869524E-11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-5.6843418860808015E-13</v>
      </c>
      <c r="BZ109" s="14">
        <f>BY109*VLOOKUP('Données projet'!$B$12,Paramètres!$A$1:$I$89,3,0)*VLOOKUP('Données projet'!$B$12,Paramètres!$A$1:$I$89,5,0)</f>
        <v>-3.39923644787632E-13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288.65195492450403</v>
      </c>
      <c r="CE109" s="62">
        <f t="shared" si="94"/>
        <v>310.66800441693891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1.1199790603254869E-10</v>
      </c>
      <c r="CN109" s="24">
        <f t="shared" si="66"/>
        <v>1.1199790603254869E-10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-6.8212102632969618E-13</v>
      </c>
      <c r="CU109" s="18">
        <f>CT109*VLOOKUP('Données projet'!$B$13,Paramètres!$A$1:$I$89,3,0)*VLOOKUP('Données projet'!$B$13,Paramètres!$A$1:$I$89,5,0)</f>
        <v>-3.0149749363772573E-13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572.6451446653349</v>
      </c>
      <c r="CZ109" s="62">
        <f t="shared" si="96"/>
        <v>389.15977992931374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4.9000000000000004</v>
      </c>
      <c r="DO109" s="13">
        <f>IF('Données projet'!$A$166&gt;35,DO108+DN109-DW108,IF(A109&lt;'Données projet'!$A$166,$DL$205^A109,IF(A109='Données projet'!$A$166,'Données projet'!$B$166,DO108+DN109-DW108)))</f>
        <v>311.90000000000015</v>
      </c>
      <c r="DP109" s="18">
        <f>DO109*VLOOKUP('Données projet'!$B$14,Paramètres!$A$1:$I$89,3,0)*VLOOKUP('Données projet'!$B$14,Paramètres!$A$1:$I$89,5,0)</f>
        <v>262.74456000000015</v>
      </c>
      <c r="DQ109" s="14">
        <f t="shared" si="97"/>
        <v>63.307049223906304</v>
      </c>
      <c r="DR109" s="22">
        <f t="shared" si="70"/>
        <v>567.8732193983036</v>
      </c>
      <c r="DS109" s="62">
        <f t="shared" si="71"/>
        <v>861.20655273163698</v>
      </c>
      <c r="DT109" s="62">
        <f ca="1">AVERAGE(OFFSET($DS$3,0,0,'Données projet'!$E$14+1,1))-AVERAGE(OFFSET($H$3,0,0,'Données projet'!$E$14+1,1))</f>
        <v>383.83934938682984</v>
      </c>
      <c r="DU109" s="62">
        <f t="shared" si="98"/>
        <v>223.93106361972281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387.62377525537238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4.9000000000000004</v>
      </c>
      <c r="N110" s="14">
        <f>IF('Données projet'!$A$36&gt;35,N109+M110-V109,IF(A110&lt;'Données projet'!$A$36,$K$205^A110,IF(A110='Données projet'!$A$36,'Données projet'!$B$36,N109+M110-V109)))</f>
        <v>316.80000000000013</v>
      </c>
      <c r="O110" s="14">
        <f>N110*VLOOKUP('Données projet'!$B$9,Paramètres!$A$1:$I$89,3,0)*VLOOKUP('Données projet'!$B$9,Paramètres!$A$1:$I$89,5,0)</f>
        <v>286.64064000000008</v>
      </c>
      <c r="P110" s="14">
        <f t="shared" si="87"/>
        <v>68.368446832003599</v>
      </c>
      <c r="Q110" s="22">
        <f t="shared" si="107"/>
        <v>618.30749289907305</v>
      </c>
      <c r="R110" s="62">
        <f t="shared" si="55"/>
        <v>911.64082623240643</v>
      </c>
      <c r="S110" s="62">
        <f ca="1">AVERAGE(OFFSET($R$3,0,0,'Données projet'!$E$9+1,1))-AVERAGE(OFFSET($H$3,0,0,'Données projet'!$E$9+1,1))</f>
        <v>415.89259563928869</v>
      </c>
      <c r="T110" s="62">
        <f t="shared" si="88"/>
        <v>240.19413322685813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-3.7243808037601412E-14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214.08705070588002</v>
      </c>
      <c r="AO110" s="62">
        <f t="shared" si="90"/>
        <v>251.33527585147152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-3.2514435588382188E-14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239.41486198585676</v>
      </c>
      <c r="BJ110" s="62">
        <f t="shared" si="92"/>
        <v>224.9174498508774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7.9518011275462129E-12</v>
      </c>
      <c r="BS110" s="24">
        <f t="shared" si="63"/>
        <v>7.9518011275462129E-12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-5.6843418860808015E-13</v>
      </c>
      <c r="BZ110" s="14">
        <f>BY110*VLOOKUP('Données projet'!$B$12,Paramètres!$A$1:$I$89,3,0)*VLOOKUP('Données projet'!$B$12,Paramètres!$A$1:$I$89,5,0)</f>
        <v>-3.39923644787632E-13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288.65195492450403</v>
      </c>
      <c r="CE110" s="62">
        <f t="shared" si="94"/>
        <v>310.66800441693891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7.9194478834308919E-11</v>
      </c>
      <c r="CN110" s="24">
        <f t="shared" si="66"/>
        <v>7.9194478834308919E-11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-6.8212102632969618E-13</v>
      </c>
      <c r="CU110" s="18">
        <f>CT110*VLOOKUP('Données projet'!$B$13,Paramètres!$A$1:$I$89,3,0)*VLOOKUP('Données projet'!$B$13,Paramètres!$A$1:$I$89,5,0)</f>
        <v>-3.0149749363772573E-13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572.6451446653349</v>
      </c>
      <c r="CZ110" s="62">
        <f t="shared" si="96"/>
        <v>389.15977992931374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4.9000000000000004</v>
      </c>
      <c r="DO110" s="13">
        <f>IF('Données projet'!$A$166&gt;35,DO109+DN110-DW109,IF(A110&lt;'Données projet'!$A$166,$DL$205^A110,IF(A110='Données projet'!$A$166,'Données projet'!$B$166,DO109+DN110-DW109)))</f>
        <v>316.80000000000013</v>
      </c>
      <c r="DP110" s="18">
        <f>DO110*VLOOKUP('Données projet'!$B$14,Paramètres!$A$1:$I$89,3,0)*VLOOKUP('Données projet'!$B$14,Paramètres!$A$1:$I$89,5,0)</f>
        <v>266.87232000000017</v>
      </c>
      <c r="DQ110" s="14">
        <f t="shared" si="97"/>
        <v>64.185047205393118</v>
      </c>
      <c r="DR110" s="22">
        <f t="shared" si="70"/>
        <v>576.59158121606004</v>
      </c>
      <c r="DS110" s="62">
        <f t="shared" si="71"/>
        <v>869.92491454939341</v>
      </c>
      <c r="DT110" s="62">
        <f ca="1">AVERAGE(OFFSET($DS$3,0,0,'Données projet'!$E$14+1,1))-AVERAGE(OFFSET($H$3,0,0,'Données projet'!$E$14+1,1))</f>
        <v>383.83934938682984</v>
      </c>
      <c r="DU110" s="62">
        <f t="shared" si="98"/>
        <v>223.93106361972281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388.81577156642459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4.9000000000000004</v>
      </c>
      <c r="N111" s="14">
        <f>IF('Données projet'!$A$36&gt;35,N110+M111-V110,IF(A111&lt;'Données projet'!$A$36,$K$205^A111,IF(A111='Données projet'!$A$36,'Données projet'!$B$36,N110+M111-V110)))</f>
        <v>321.7000000000001</v>
      </c>
      <c r="O111" s="14">
        <f>N111*VLOOKUP('Données projet'!$B$9,Paramètres!$A$1:$I$89,3,0)*VLOOKUP('Données projet'!$B$9,Paramètres!$A$1:$I$89,5,0)</f>
        <v>291.07416000000006</v>
      </c>
      <c r="P111" s="14">
        <f t="shared" si="87"/>
        <v>69.301987923222626</v>
      </c>
      <c r="Q111" s="22">
        <f t="shared" si="107"/>
        <v>627.65512429961279</v>
      </c>
      <c r="R111" s="62">
        <f t="shared" si="55"/>
        <v>920.98845763294617</v>
      </c>
      <c r="S111" s="62">
        <f ca="1">AVERAGE(OFFSET($R$3,0,0,'Données projet'!$E$9+1,1))-AVERAGE(OFFSET($H$3,0,0,'Données projet'!$E$9+1,1))</f>
        <v>415.89259563928869</v>
      </c>
      <c r="T111" s="62">
        <f t="shared" si="88"/>
        <v>240.19413322685813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-3.7243808037601412E-14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214.08705070588002</v>
      </c>
      <c r="AO111" s="62">
        <f t="shared" si="90"/>
        <v>251.33527585147152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-3.2514435588382188E-14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239.41486198585676</v>
      </c>
      <c r="BJ111" s="62">
        <f t="shared" si="92"/>
        <v>224.9174498508774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5.6227724999347619E-12</v>
      </c>
      <c r="BS111" s="24">
        <f t="shared" si="63"/>
        <v>5.6227724999347619E-12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-5.6843418860808015E-13</v>
      </c>
      <c r="BZ111" s="14">
        <f>BY111*VLOOKUP('Données projet'!$B$12,Paramètres!$A$1:$I$89,3,0)*VLOOKUP('Données projet'!$B$12,Paramètres!$A$1:$I$89,5,0)</f>
        <v>-3.39923644787632E-13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288.65195492450403</v>
      </c>
      <c r="CE111" s="62">
        <f t="shared" si="94"/>
        <v>310.66800441693891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5.5998953016274349E-11</v>
      </c>
      <c r="CN111" s="24">
        <f t="shared" si="66"/>
        <v>5.5998953016274349E-11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-6.8212102632969618E-13</v>
      </c>
      <c r="CU111" s="18">
        <f>CT111*VLOOKUP('Données projet'!$B$13,Paramètres!$A$1:$I$89,3,0)*VLOOKUP('Données projet'!$B$13,Paramètres!$A$1:$I$89,5,0)</f>
        <v>-3.0149749363772573E-13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572.6451446653349</v>
      </c>
      <c r="CZ111" s="62">
        <f t="shared" si="96"/>
        <v>389.15977992931374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4.9000000000000004</v>
      </c>
      <c r="DO111" s="13">
        <f>IF('Données projet'!$A$166&gt;35,DO110+DN111-DW110,IF(A111&lt;'Données projet'!$A$166,$DL$205^A111,IF(A111='Données projet'!$A$166,'Données projet'!$B$166,DO110+DN111-DW110)))</f>
        <v>321.7000000000001</v>
      </c>
      <c r="DP111" s="18">
        <f>DO111*VLOOKUP('Données projet'!$B$14,Paramètres!$A$1:$I$89,3,0)*VLOOKUP('Données projet'!$B$14,Paramètres!$A$1:$I$89,5,0)</f>
        <v>271.00008000000014</v>
      </c>
      <c r="DQ111" s="14">
        <f t="shared" si="97"/>
        <v>65.061465813458071</v>
      </c>
      <c r="DR111" s="22">
        <f t="shared" si="70"/>
        <v>585.30719229177305</v>
      </c>
      <c r="DS111" s="62">
        <f t="shared" si="71"/>
        <v>878.64052562510642</v>
      </c>
      <c r="DT111" s="62">
        <f ca="1">AVERAGE(OFFSET($DS$3,0,0,'Données projet'!$E$14+1,1))-AVERAGE(OFFSET($H$3,0,0,'Données projet'!$E$14+1,1))</f>
        <v>383.83934938682984</v>
      </c>
      <c r="DU111" s="62">
        <f t="shared" si="98"/>
        <v>223.93106361972281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390.00750821914528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4.9000000000000004</v>
      </c>
      <c r="N112" s="14">
        <f>IF('Données projet'!$A$36&gt;35,N111+M112-V111,IF(A112&lt;'Données projet'!$A$36,$K$205^A112,IF(A112='Données projet'!$A$36,'Données projet'!$B$36,N111+M112-V111)))</f>
        <v>326.60000000000008</v>
      </c>
      <c r="O112" s="14">
        <f>N112*VLOOKUP('Données projet'!$B$9,Paramètres!$A$1:$I$89,3,0)*VLOOKUP('Données projet'!$B$9,Paramètres!$A$1:$I$89,5,0)</f>
        <v>295.50768000000005</v>
      </c>
      <c r="P112" s="14">
        <f t="shared" si="87"/>
        <v>70.233875285761329</v>
      </c>
      <c r="Q112" s="22">
        <f t="shared" si="107"/>
        <v>636.99987545603437</v>
      </c>
      <c r="R112" s="62">
        <f t="shared" si="55"/>
        <v>930.33320878936775</v>
      </c>
      <c r="S112" s="62">
        <f ca="1">AVERAGE(OFFSET($R$3,0,0,'Données projet'!$E$9+1,1))-AVERAGE(OFFSET($H$3,0,0,'Données projet'!$E$9+1,1))</f>
        <v>415.89259563928869</v>
      </c>
      <c r="T112" s="62">
        <f t="shared" si="88"/>
        <v>240.19413322685813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-3.7243808037601412E-14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214.08705070588002</v>
      </c>
      <c r="AO112" s="62">
        <f t="shared" si="90"/>
        <v>251.33527585147152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-3.2514435588382188E-14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239.41486198585676</v>
      </c>
      <c r="BJ112" s="62">
        <f t="shared" si="92"/>
        <v>224.9174498508774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3.9759005637731065E-12</v>
      </c>
      <c r="BS112" s="24">
        <f t="shared" si="63"/>
        <v>3.9759005637731065E-12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-5.6843418860808015E-13</v>
      </c>
      <c r="BZ112" s="14">
        <f>BY112*VLOOKUP('Données projet'!$B$12,Paramètres!$A$1:$I$89,3,0)*VLOOKUP('Données projet'!$B$12,Paramètres!$A$1:$I$89,5,0)</f>
        <v>-3.39923644787632E-13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288.65195492450403</v>
      </c>
      <c r="CE112" s="62">
        <f t="shared" si="94"/>
        <v>310.66800441693891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3.9597239417154466E-11</v>
      </c>
      <c r="CN112" s="24">
        <f t="shared" si="66"/>
        <v>3.9597239417154466E-11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-6.8212102632969618E-13</v>
      </c>
      <c r="CU112" s="18">
        <f>CT112*VLOOKUP('Données projet'!$B$13,Paramètres!$A$1:$I$89,3,0)*VLOOKUP('Données projet'!$B$13,Paramètres!$A$1:$I$89,5,0)</f>
        <v>-3.0149749363772573E-13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572.6451446653349</v>
      </c>
      <c r="CZ112" s="62">
        <f t="shared" si="96"/>
        <v>389.15977992931374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4.9000000000000004</v>
      </c>
      <c r="DO112" s="13">
        <f>IF('Données projet'!$A$166&gt;35,DO111+DN112-DW111,IF(A112&lt;'Données projet'!$A$166,$DL$205^A112,IF(A112='Données projet'!$A$166,'Données projet'!$B$166,DO111+DN112-DW111)))</f>
        <v>326.60000000000008</v>
      </c>
      <c r="DP112" s="18">
        <f>DO112*VLOOKUP('Données projet'!$B$14,Paramètres!$A$1:$I$89,3,0)*VLOOKUP('Données projet'!$B$14,Paramètres!$A$1:$I$89,5,0)</f>
        <v>275.12784000000011</v>
      </c>
      <c r="DQ112" s="14">
        <f t="shared" si="97"/>
        <v>65.936331882912981</v>
      </c>
      <c r="DR112" s="22">
        <f t="shared" si="70"/>
        <v>594.02009936274032</v>
      </c>
      <c r="DS112" s="62">
        <f t="shared" si="71"/>
        <v>887.3534326960737</v>
      </c>
      <c r="DT112" s="62">
        <f ca="1">AVERAGE(OFFSET($DS$3,0,0,'Données projet'!$E$14+1,1))-AVERAGE(OFFSET($H$3,0,0,'Données projet'!$E$14+1,1))</f>
        <v>383.83934938682984</v>
      </c>
      <c r="DU112" s="62">
        <f t="shared" si="98"/>
        <v>223.93106361972281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391.19898787166267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4.9000000000000004</v>
      </c>
      <c r="N113" s="14">
        <f>IF('Données projet'!$A$36&gt;35,N112+M113-V112,IF(A113&lt;'Données projet'!$A$36,$K$205^A113,IF(A113='Données projet'!$A$36,'Données projet'!$B$36,N112+M113-V112)))</f>
        <v>331.50000000000006</v>
      </c>
      <c r="O113" s="14">
        <f>N113*VLOOKUP('Données projet'!$B$9,Paramètres!$A$1:$I$89,3,0)*VLOOKUP('Données projet'!$B$9,Paramètres!$A$1:$I$89,5,0)</f>
        <v>299.94120000000004</v>
      </c>
      <c r="P113" s="14">
        <f t="shared" si="87"/>
        <v>71.164136596531506</v>
      </c>
      <c r="Q113" s="22">
        <f t="shared" si="107"/>
        <v>646.34179457229243</v>
      </c>
      <c r="R113" s="62">
        <f t="shared" si="55"/>
        <v>939.67512790562569</v>
      </c>
      <c r="S113" s="62">
        <f ca="1">AVERAGE(OFFSET($R$3,0,0,'Données projet'!$E$9+1,1))-AVERAGE(OFFSET($H$3,0,0,'Données projet'!$E$9+1,1))</f>
        <v>415.89259563928869</v>
      </c>
      <c r="T113" s="62">
        <f t="shared" si="88"/>
        <v>240.19413322685813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-3.7243808037601412E-14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214.08705070588002</v>
      </c>
      <c r="AO113" s="62">
        <f t="shared" si="90"/>
        <v>251.33527585147152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-3.2514435588382188E-14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239.41486198585676</v>
      </c>
      <c r="BJ113" s="62">
        <f t="shared" si="92"/>
        <v>224.9174498508774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2.8113862499673809E-12</v>
      </c>
      <c r="BS113" s="24">
        <f t="shared" si="63"/>
        <v>2.8113862499673809E-12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-5.6843418860808015E-13</v>
      </c>
      <c r="BZ113" s="14">
        <f>BY113*VLOOKUP('Données projet'!$B$12,Paramètres!$A$1:$I$89,3,0)*VLOOKUP('Données projet'!$B$12,Paramètres!$A$1:$I$89,5,0)</f>
        <v>-3.39923644787632E-13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288.65195492450403</v>
      </c>
      <c r="CE113" s="62">
        <f t="shared" si="94"/>
        <v>310.66800441693891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2.7999476508137181E-11</v>
      </c>
      <c r="CN113" s="24">
        <f t="shared" si="66"/>
        <v>2.7999476508137181E-11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-6.8212102632969618E-13</v>
      </c>
      <c r="CU113" s="18">
        <f>CT113*VLOOKUP('Données projet'!$B$13,Paramètres!$A$1:$I$89,3,0)*VLOOKUP('Données projet'!$B$13,Paramètres!$A$1:$I$89,5,0)</f>
        <v>-3.0149749363772573E-13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572.6451446653349</v>
      </c>
      <c r="CZ113" s="62">
        <f t="shared" si="96"/>
        <v>389.15977992931374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4.9000000000000004</v>
      </c>
      <c r="DO113" s="13">
        <f>IF('Données projet'!$A$166&gt;35,DO112+DN113-DW112,IF(A113&lt;'Données projet'!$A$166,$DL$205^A113,IF(A113='Données projet'!$A$166,'Données projet'!$B$166,DO112+DN113-DW112)))</f>
        <v>331.50000000000006</v>
      </c>
      <c r="DP113" s="18">
        <f>DO113*VLOOKUP('Données projet'!$B$14,Paramètres!$A$1:$I$89,3,0)*VLOOKUP('Données projet'!$B$14,Paramètres!$A$1:$I$89,5,0)</f>
        <v>279.25560000000007</v>
      </c>
      <c r="DQ113" s="14">
        <f t="shared" si="97"/>
        <v>66.809671397146161</v>
      </c>
      <c r="DR113" s="22">
        <f t="shared" si="70"/>
        <v>602.73034768336299</v>
      </c>
      <c r="DS113" s="62">
        <f t="shared" si="71"/>
        <v>896.06368101669636</v>
      </c>
      <c r="DT113" s="62">
        <f ca="1">AVERAGE(OFFSET($DS$3,0,0,'Données projet'!$E$14+1,1))-AVERAGE(OFFSET($H$3,0,0,'Données projet'!$E$14+1,1))</f>
        <v>383.83934938682984</v>
      </c>
      <c r="DU113" s="62">
        <f t="shared" si="98"/>
        <v>223.93106361972281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392.39021313098795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4.9000000000000004</v>
      </c>
      <c r="N114" s="14">
        <f>IF('Données projet'!$A$36&gt;35,N113+M114-V113,IF(A114&lt;'Données projet'!$A$36,$K$205^A114,IF(A114='Données projet'!$A$36,'Données projet'!$B$36,N113+M114-V113)))</f>
        <v>336.40000000000003</v>
      </c>
      <c r="O114" s="14">
        <f>N114*VLOOKUP('Données projet'!$B$9,Paramètres!$A$1:$I$89,3,0)*VLOOKUP('Données projet'!$B$9,Paramètres!$A$1:$I$89,5,0)</f>
        <v>304.37472000000002</v>
      </c>
      <c r="P114" s="14">
        <f t="shared" si="87"/>
        <v>72.092798667275119</v>
      </c>
      <c r="Q114" s="22">
        <f t="shared" si="107"/>
        <v>655.68092834550419</v>
      </c>
      <c r="R114" s="62">
        <f t="shared" si="55"/>
        <v>949.01426167883756</v>
      </c>
      <c r="S114" s="62">
        <f ca="1">AVERAGE(OFFSET($R$3,0,0,'Données projet'!$E$9+1,1))-AVERAGE(OFFSET($H$3,0,0,'Données projet'!$E$9+1,1))</f>
        <v>415.89259563928869</v>
      </c>
      <c r="T114" s="62">
        <f t="shared" si="88"/>
        <v>240.19413322685813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-3.7243808037601412E-14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214.08705070588002</v>
      </c>
      <c r="AO114" s="62">
        <f t="shared" si="90"/>
        <v>251.33527585147152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-3.2514435588382188E-14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239.41486198585676</v>
      </c>
      <c r="BJ114" s="62">
        <f t="shared" si="92"/>
        <v>224.9174498508774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1.9879502818865532E-12</v>
      </c>
      <c r="BS114" s="24">
        <f t="shared" si="63"/>
        <v>1.9879502818865532E-12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-5.6843418860808015E-13</v>
      </c>
      <c r="BZ114" s="14">
        <f>BY114*VLOOKUP('Données projet'!$B$12,Paramètres!$A$1:$I$89,3,0)*VLOOKUP('Données projet'!$B$12,Paramètres!$A$1:$I$89,5,0)</f>
        <v>-3.39923644787632E-13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288.65195492450403</v>
      </c>
      <c r="CE114" s="62">
        <f t="shared" si="94"/>
        <v>310.66800441693891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1.9798619708577236E-11</v>
      </c>
      <c r="CN114" s="24">
        <f t="shared" si="66"/>
        <v>1.9798619708577236E-11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-6.8212102632969618E-13</v>
      </c>
      <c r="CU114" s="18">
        <f>CT114*VLOOKUP('Données projet'!$B$13,Paramètres!$A$1:$I$89,3,0)*VLOOKUP('Données projet'!$B$13,Paramètres!$A$1:$I$89,5,0)</f>
        <v>-3.0149749363772573E-13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572.6451446653349</v>
      </c>
      <c r="CZ114" s="62">
        <f t="shared" si="96"/>
        <v>389.15977992931374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4.9000000000000004</v>
      </c>
      <c r="DO114" s="13">
        <f>IF('Données projet'!$A$166&gt;35,DO113+DN114-DW113,IF(A114&lt;'Données projet'!$A$166,$DL$205^A114,IF(A114='Données projet'!$A$166,'Données projet'!$B$166,DO113+DN114-DW113)))</f>
        <v>336.40000000000003</v>
      </c>
      <c r="DP114" s="18">
        <f>DO114*VLOOKUP('Données projet'!$B$14,Paramètres!$A$1:$I$89,3,0)*VLOOKUP('Données projet'!$B$14,Paramètres!$A$1:$I$89,5,0)</f>
        <v>283.38336000000004</v>
      </c>
      <c r="DQ114" s="14">
        <f t="shared" si="97"/>
        <v>67.681509527314645</v>
      </c>
      <c r="DR114" s="22">
        <f t="shared" si="70"/>
        <v>611.43798109340639</v>
      </c>
      <c r="DS114" s="62">
        <f t="shared" si="71"/>
        <v>904.77131442673976</v>
      </c>
      <c r="DT114" s="62">
        <f ca="1">AVERAGE(OFFSET($DS$3,0,0,'Données projet'!$E$14+1,1))-AVERAGE(OFFSET($H$3,0,0,'Données projet'!$E$14+1,1))</f>
        <v>383.83934938682984</v>
      </c>
      <c r="DU114" s="62">
        <f t="shared" si="98"/>
        <v>223.93106361972281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393.581186554449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4.9000000000000004</v>
      </c>
      <c r="N115" s="14">
        <f>IF('Données projet'!$A$36&gt;35,N114+M115-V114,IF(A115&lt;'Données projet'!$A$36,$K$205^A115,IF(A115='Données projet'!$A$36,'Données projet'!$B$36,N114+M115-V114)))</f>
        <v>341.3</v>
      </c>
      <c r="O115" s="14">
        <f>N115*VLOOKUP('Données projet'!$B$9,Paramètres!$A$1:$I$89,3,0)*VLOOKUP('Données projet'!$B$9,Paramètres!$A$1:$I$89,5,0)</f>
        <v>308.80823999999996</v>
      </c>
      <c r="P115" s="14">
        <f t="shared" si="87"/>
        <v>73.019887483808844</v>
      </c>
      <c r="Q115" s="22">
        <f t="shared" si="107"/>
        <v>665.01732203430026</v>
      </c>
      <c r="R115" s="62">
        <f t="shared" si="55"/>
        <v>958.35065536763364</v>
      </c>
      <c r="S115" s="62">
        <f ca="1">AVERAGE(OFFSET($R$3,0,0,'Données projet'!$E$9+1,1))-AVERAGE(OFFSET($H$3,0,0,'Données projet'!$E$9+1,1))</f>
        <v>415.89259563928869</v>
      </c>
      <c r="T115" s="62">
        <f t="shared" si="88"/>
        <v>240.19413322685813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-3.7243808037601412E-14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214.08705070588002</v>
      </c>
      <c r="AO115" s="62">
        <f t="shared" si="90"/>
        <v>251.33527585147152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-3.2514435588382188E-14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239.41486198585676</v>
      </c>
      <c r="BJ115" s="62">
        <f t="shared" si="92"/>
        <v>224.9174498508774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1.4056931249836905E-12</v>
      </c>
      <c r="BS115" s="24">
        <f t="shared" si="63"/>
        <v>1.4056931249836905E-12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-5.6843418860808015E-13</v>
      </c>
      <c r="BZ115" s="14">
        <f>BY115*VLOOKUP('Données projet'!$B$12,Paramètres!$A$1:$I$89,3,0)*VLOOKUP('Données projet'!$B$12,Paramètres!$A$1:$I$89,5,0)</f>
        <v>-3.39923644787632E-13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288.65195492450403</v>
      </c>
      <c r="CE115" s="62">
        <f t="shared" si="94"/>
        <v>310.66800441693891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1.3999738254068592E-11</v>
      </c>
      <c r="CN115" s="24">
        <f t="shared" si="66"/>
        <v>1.3999738254068592E-11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-6.8212102632969618E-13</v>
      </c>
      <c r="CU115" s="18">
        <f>CT115*VLOOKUP('Données projet'!$B$13,Paramètres!$A$1:$I$89,3,0)*VLOOKUP('Données projet'!$B$13,Paramètres!$A$1:$I$89,5,0)</f>
        <v>-3.0149749363772573E-13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572.6451446653349</v>
      </c>
      <c r="CZ115" s="62">
        <f t="shared" si="96"/>
        <v>389.15977992931374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4.9000000000000004</v>
      </c>
      <c r="DO115" s="13">
        <f>IF('Données projet'!$A$166&gt;35,DO114+DN115-DW114,IF(A115&lt;'Données projet'!$A$166,$DL$205^A115,IF(A115='Données projet'!$A$166,'Données projet'!$B$166,DO114+DN115-DW114)))</f>
        <v>341.3</v>
      </c>
      <c r="DP115" s="18">
        <f>DO115*VLOOKUP('Données projet'!$B$14,Paramètres!$A$1:$I$89,3,0)*VLOOKUP('Données projet'!$B$14,Paramètres!$A$1:$I$89,5,0)</f>
        <v>287.51112000000006</v>
      </c>
      <c r="DQ115" s="14">
        <f t="shared" si="97"/>
        <v>68.551870669187977</v>
      </c>
      <c r="DR115" s="22">
        <f t="shared" si="70"/>
        <v>620.14304208216913</v>
      </c>
      <c r="DS115" s="62">
        <f t="shared" si="71"/>
        <v>913.47637541550239</v>
      </c>
      <c r="DT115" s="62">
        <f ca="1">AVERAGE(OFFSET($DS$3,0,0,'Données projet'!$E$14+1,1))-AVERAGE(OFFSET($H$3,0,0,'Données projet'!$E$14+1,1))</f>
        <v>383.83934938682984</v>
      </c>
      <c r="DU115" s="62">
        <f t="shared" si="98"/>
        <v>223.93106361972281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394.77191065107274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4.9000000000000004</v>
      </c>
      <c r="N116" s="14">
        <f>IF('Données projet'!$A$36&gt;35,N115+M116-V115,IF(A116&lt;'Données projet'!$A$36,$K$205^A116,IF(A116='Données projet'!$A$36,'Données projet'!$B$36,N115+M116-V115)))</f>
        <v>346.2</v>
      </c>
      <c r="O116" s="14">
        <f>N116*VLOOKUP('Données projet'!$B$9,Paramètres!$A$1:$I$89,3,0)*VLOOKUP('Données projet'!$B$9,Paramètres!$A$1:$I$89,5,0)</f>
        <v>313.24176</v>
      </c>
      <c r="P116" s="14">
        <f t="shared" si="87"/>
        <v>73.945428242952033</v>
      </c>
      <c r="Q116" s="22">
        <f t="shared" si="107"/>
        <v>674.35101952314142</v>
      </c>
      <c r="R116" s="62">
        <f t="shared" si="55"/>
        <v>967.68435285647479</v>
      </c>
      <c r="S116" s="62">
        <f ca="1">AVERAGE(OFFSET($R$3,0,0,'Données projet'!$E$9+1,1))-AVERAGE(OFFSET($H$3,0,0,'Données projet'!$E$9+1,1))</f>
        <v>415.89259563928869</v>
      </c>
      <c r="T116" s="62">
        <f t="shared" si="88"/>
        <v>240.19413322685813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-3.7243808037601412E-14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214.08705070588002</v>
      </c>
      <c r="AO116" s="62">
        <f t="shared" si="90"/>
        <v>251.33527585147152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-3.2514435588382188E-14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239.41486198585676</v>
      </c>
      <c r="BJ116" s="62">
        <f t="shared" si="92"/>
        <v>224.9174498508774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9.9397514094327662E-13</v>
      </c>
      <c r="BS116" s="24">
        <f t="shared" si="63"/>
        <v>9.9397514094327662E-13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-5.6843418860808015E-13</v>
      </c>
      <c r="BZ116" s="14">
        <f>BY116*VLOOKUP('Données projet'!$B$12,Paramètres!$A$1:$I$89,3,0)*VLOOKUP('Données projet'!$B$12,Paramètres!$A$1:$I$89,5,0)</f>
        <v>-3.39923644787632E-13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288.65195492450403</v>
      </c>
      <c r="CE116" s="62">
        <f t="shared" si="94"/>
        <v>310.66800441693891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9.8993098542886197E-12</v>
      </c>
      <c r="CN116" s="24">
        <f t="shared" si="66"/>
        <v>9.8993098542886197E-12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-6.8212102632969618E-13</v>
      </c>
      <c r="CU116" s="18">
        <f>CT116*VLOOKUP('Données projet'!$B$13,Paramètres!$A$1:$I$89,3,0)*VLOOKUP('Données projet'!$B$13,Paramètres!$A$1:$I$89,5,0)</f>
        <v>-3.0149749363772573E-13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572.6451446653349</v>
      </c>
      <c r="CZ116" s="62">
        <f t="shared" si="96"/>
        <v>389.15977992931374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4.9000000000000004</v>
      </c>
      <c r="DO116" s="13">
        <f>IF('Données projet'!$A$166&gt;35,DO115+DN116-DW115,IF(A116&lt;'Données projet'!$A$166,$DL$205^A116,IF(A116='Données projet'!$A$166,'Données projet'!$B$166,DO115+DN116-DW115)))</f>
        <v>346.2</v>
      </c>
      <c r="DP116" s="18">
        <f>DO116*VLOOKUP('Données projet'!$B$14,Paramètres!$A$1:$I$89,3,0)*VLOOKUP('Données projet'!$B$14,Paramètres!$A$1:$I$89,5,0)</f>
        <v>291.63888000000003</v>
      </c>
      <c r="DQ116" s="14">
        <f t="shared" si="97"/>
        <v>69.42077847781627</v>
      </c>
      <c r="DR116" s="22">
        <f t="shared" si="70"/>
        <v>628.8455718488633</v>
      </c>
      <c r="DS116" s="62">
        <f t="shared" si="71"/>
        <v>922.17890518219656</v>
      </c>
      <c r="DT116" s="62">
        <f ca="1">AVERAGE(OFFSET($DS$3,0,0,'Données projet'!$E$14+1,1))-AVERAGE(OFFSET($H$3,0,0,'Données projet'!$E$14+1,1))</f>
        <v>383.83934938682984</v>
      </c>
      <c r="DU116" s="62">
        <f t="shared" si="98"/>
        <v>223.93106361972281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395.96238788291635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4.9000000000000004</v>
      </c>
      <c r="N117" s="14">
        <f>IF('Données projet'!$A$36&gt;35,N116+M117-V116,IF(A117&lt;'Données projet'!$A$36,$K$205^A117,IF(A117='Données projet'!$A$36,'Données projet'!$B$36,N116+M117-V116)))</f>
        <v>351.09999999999997</v>
      </c>
      <c r="O117" s="14">
        <f>N117*VLOOKUP('Données projet'!$B$9,Paramètres!$A$1:$I$89,3,0)*VLOOKUP('Données projet'!$B$9,Paramètres!$A$1:$I$89,5,0)</f>
        <v>317.67527999999999</v>
      </c>
      <c r="P117" s="14">
        <f t="shared" si="87"/>
        <v>74.869445387304125</v>
      </c>
      <c r="Q117" s="22">
        <f t="shared" si="107"/>
        <v>683.68206338288792</v>
      </c>
      <c r="R117" s="62">
        <f t="shared" si="55"/>
        <v>977.01539671622118</v>
      </c>
      <c r="S117" s="62">
        <f ca="1">AVERAGE(OFFSET($R$3,0,0,'Données projet'!$E$9+1,1))-AVERAGE(OFFSET($H$3,0,0,'Données projet'!$E$9+1,1))</f>
        <v>415.89259563928869</v>
      </c>
      <c r="T117" s="62">
        <f t="shared" si="88"/>
        <v>240.19413322685813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-3.7243808037601412E-14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214.08705070588002</v>
      </c>
      <c r="AO117" s="62">
        <f t="shared" si="90"/>
        <v>251.33527585147152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-3.2514435588382188E-14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239.41486198585676</v>
      </c>
      <c r="BJ117" s="62">
        <f t="shared" si="92"/>
        <v>224.9174498508774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7.0284656249184524E-13</v>
      </c>
      <c r="BS117" s="24">
        <f t="shared" si="63"/>
        <v>7.0284656249184524E-13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-5.6843418860808015E-13</v>
      </c>
      <c r="BZ117" s="14">
        <f>BY117*VLOOKUP('Données projet'!$B$12,Paramètres!$A$1:$I$89,3,0)*VLOOKUP('Données projet'!$B$12,Paramètres!$A$1:$I$89,5,0)</f>
        <v>-3.39923644787632E-13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288.65195492450403</v>
      </c>
      <c r="CE117" s="62">
        <f t="shared" si="94"/>
        <v>310.66800441693891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6.9998691270342969E-12</v>
      </c>
      <c r="CN117" s="24">
        <f t="shared" si="66"/>
        <v>6.9998691270342969E-12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-6.8212102632969618E-13</v>
      </c>
      <c r="CU117" s="18">
        <f>CT117*VLOOKUP('Données projet'!$B$13,Paramètres!$A$1:$I$89,3,0)*VLOOKUP('Données projet'!$B$13,Paramètres!$A$1:$I$89,5,0)</f>
        <v>-3.0149749363772573E-13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572.6451446653349</v>
      </c>
      <c r="CZ117" s="62">
        <f t="shared" si="96"/>
        <v>389.15977992931374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4.9000000000000004</v>
      </c>
      <c r="DO117" s="13">
        <f>IF('Données projet'!$A$166&gt;35,DO116+DN117-DW116,IF(A117&lt;'Données projet'!$A$166,$DL$205^A117,IF(A117='Données projet'!$A$166,'Données projet'!$B$166,DO116+DN117-DW116)))</f>
        <v>351.09999999999997</v>
      </c>
      <c r="DP117" s="18">
        <f>DO117*VLOOKUP('Données projet'!$B$14,Paramètres!$A$1:$I$89,3,0)*VLOOKUP('Données projet'!$B$14,Paramètres!$A$1:$I$89,5,0)</f>
        <v>295.76664</v>
      </c>
      <c r="DQ117" s="14">
        <f t="shared" si="97"/>
        <v>70.288255900179905</v>
      </c>
      <c r="DR117" s="22">
        <f t="shared" si="70"/>
        <v>637.54561035947995</v>
      </c>
      <c r="DS117" s="62">
        <f t="shared" si="71"/>
        <v>930.87894369281321</v>
      </c>
      <c r="DT117" s="62">
        <f ca="1">AVERAGE(OFFSET($DS$3,0,0,'Données projet'!$E$14+1,1))-AVERAGE(OFFSET($H$3,0,0,'Données projet'!$E$14+1,1))</f>
        <v>383.83934938682984</v>
      </c>
      <c r="DU117" s="62">
        <f t="shared" si="98"/>
        <v>223.93106361972281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397.15262066635069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356</v>
      </c>
      <c r="L118" s="13">
        <f>VLOOKUP(A118,'Données projet'!$A$35:$I$55,9,0)</f>
        <v>4.9000000000000004</v>
      </c>
      <c r="M118" s="13">
        <f t="array" ref="M118">INDEX(L:L,MIN(IF(ISNUMBER(L118:L314),ROW(L118:L314),"")))</f>
        <v>4.9000000000000004</v>
      </c>
      <c r="N118" s="14">
        <f>IF('Données projet'!$A$36&gt;35,N117+M118-V117,IF(A118&lt;'Données projet'!$A$36,$K$205^A118,IF(A118='Données projet'!$A$36,'Données projet'!$B$36,N117+M118-V117)))</f>
        <v>355.99999999999994</v>
      </c>
      <c r="O118" s="14">
        <f>N118*VLOOKUP('Données projet'!$B$9,Paramètres!$A$1:$I$89,3,0)*VLOOKUP('Données projet'!$B$9,Paramètres!$A$1:$I$89,5,0)</f>
        <v>322.10879999999997</v>
      </c>
      <c r="P118" s="14">
        <f t="shared" si="87"/>
        <v>75.791962638025268</v>
      </c>
      <c r="Q118" s="22">
        <f t="shared" si="107"/>
        <v>693.01049492789389</v>
      </c>
      <c r="R118" s="62">
        <f t="shared" si="55"/>
        <v>986.34382826122715</v>
      </c>
      <c r="S118" s="62">
        <f ca="1">AVERAGE(OFFSET($R$3,0,0,'Données projet'!$E$9+1,1))-AVERAGE(OFFSET($H$3,0,0,'Données projet'!$E$9+1,1))</f>
        <v>415.89259563928869</v>
      </c>
      <c r="T118" s="62">
        <f t="shared" si="88"/>
        <v>240.19413322685813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49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-3.7243808037601412E-14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214.08705070588002</v>
      </c>
      <c r="AO118" s="62">
        <f t="shared" si="90"/>
        <v>251.33527585147152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-3.2514435588382188E-14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239.41486198585676</v>
      </c>
      <c r="BJ118" s="62">
        <f t="shared" si="92"/>
        <v>224.9174498508774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4.9698757047163831E-13</v>
      </c>
      <c r="BS118" s="24">
        <f t="shared" si="63"/>
        <v>4.9698757047163831E-13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-5.6843418860808015E-13</v>
      </c>
      <c r="BZ118" s="14">
        <f>BY118*VLOOKUP('Données projet'!$B$12,Paramètres!$A$1:$I$89,3,0)*VLOOKUP('Données projet'!$B$12,Paramètres!$A$1:$I$89,5,0)</f>
        <v>-3.39923644787632E-13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288.65195492450403</v>
      </c>
      <c r="CE118" s="62">
        <f t="shared" si="94"/>
        <v>310.66800441693891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4.9496549271443107E-12</v>
      </c>
      <c r="CN118" s="24">
        <f t="shared" si="66"/>
        <v>4.9496549271443107E-12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-6.8212102632969618E-13</v>
      </c>
      <c r="CU118" s="18">
        <f>CT118*VLOOKUP('Données projet'!$B$13,Paramètres!$A$1:$I$89,3,0)*VLOOKUP('Données projet'!$B$13,Paramètres!$A$1:$I$89,5,0)</f>
        <v>-3.0149749363772573E-13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572.6451446653349</v>
      </c>
      <c r="CZ118" s="62">
        <f t="shared" si="96"/>
        <v>389.15977992931374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356</v>
      </c>
      <c r="DM118" s="13">
        <f>VLOOKUP(A118,'Données projet'!$A$165:$I$185,9,0)</f>
        <v>4.9000000000000004</v>
      </c>
      <c r="DN118" s="13">
        <f t="array" ref="DN118">INDEX(DM:DM,MIN(IF(ISNUMBER(DM118:DM314),ROW(DM118:DM314),"")))</f>
        <v>4.9000000000000004</v>
      </c>
      <c r="DO118" s="13">
        <f>IF('Données projet'!$A$166&gt;35,DO117+DN118-DW117,IF(A118&lt;'Données projet'!$A$166,$DL$205^A118,IF(A118='Données projet'!$A$166,'Données projet'!$B$166,DO117+DN118-DW117)))</f>
        <v>355.99999999999994</v>
      </c>
      <c r="DP118" s="18">
        <f>DO118*VLOOKUP('Données projet'!$B$14,Paramètres!$A$1:$I$89,3,0)*VLOOKUP('Données projet'!$B$14,Paramètres!$A$1:$I$89,5,0)</f>
        <v>299.89439999999996</v>
      </c>
      <c r="DQ118" s="14">
        <f t="shared" si="97"/>
        <v>71.154325205964</v>
      </c>
      <c r="DR118" s="22">
        <f t="shared" si="70"/>
        <v>646.24319640038709</v>
      </c>
      <c r="DS118" s="62">
        <f t="shared" si="71"/>
        <v>939.57652973372046</v>
      </c>
      <c r="DT118" s="62">
        <f ca="1">AVERAGE(OFFSET($DS$3,0,0,'Données projet'!$E$14+1,1))-AVERAGE(OFFSET($H$3,0,0,'Données projet'!$E$14+1,1))</f>
        <v>383.83934938682984</v>
      </c>
      <c r="DU118" s="62">
        <f t="shared" si="98"/>
        <v>223.93106361972281</v>
      </c>
      <c r="DV118" s="16">
        <f>IF(ISNA(VLOOKUP(A118,'Données projet'!$A$165:$I$185,3,0)),0,VLOOKUP(A118,'Données projet'!$A$165:$I$185,3,0))</f>
        <v>10</v>
      </c>
      <c r="DW118" s="16">
        <f>IF(ISNA(VLOOKUP(A118,'Données projet'!$A$165:$I$185,4,0)),0,VLOOKUP(A118,'Données projet'!$A$165:$I$185,4,0))</f>
        <v>49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398.34261137329793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4.2</v>
      </c>
      <c r="N119" s="14">
        <f>IF('Données projet'!$A$36&gt;35,N118+M119-V118,IF(A119&lt;'Données projet'!$A$36,$K$205^A119,IF(A119='Données projet'!$A$36,'Données projet'!$B$36,N118+M119-V118)))</f>
        <v>311.19999999999993</v>
      </c>
      <c r="O119" s="14">
        <f>N119*VLOOKUP('Données projet'!$B$9,Paramètres!$A$1:$I$89,3,0)*VLOOKUP('Données projet'!$B$9,Paramètres!$A$1:$I$89,5,0)</f>
        <v>281.57375999999994</v>
      </c>
      <c r="P119" s="14">
        <f t="shared" si="87"/>
        <v>67.299481043334993</v>
      </c>
      <c r="Q119" s="22">
        <f t="shared" si="107"/>
        <v>607.62089481714168</v>
      </c>
      <c r="R119" s="62">
        <f t="shared" si="55"/>
        <v>900.95422815047505</v>
      </c>
      <c r="S119" s="62">
        <f ca="1">AVERAGE(OFFSET($R$3,0,0,'Données projet'!$E$9+1,1))-AVERAGE(OFFSET($H$3,0,0,'Données projet'!$E$9+1,1))</f>
        <v>415.89259563928869</v>
      </c>
      <c r="T119" s="62">
        <f t="shared" si="88"/>
        <v>240.19413322685813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-3.7243808037601412E-14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214.08705070588002</v>
      </c>
      <c r="AO119" s="62">
        <f t="shared" si="90"/>
        <v>251.33527585147152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-3.2514435588382188E-14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239.41486198585676</v>
      </c>
      <c r="BJ119" s="62">
        <f t="shared" si="92"/>
        <v>224.9174498508774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3.5142328124592262E-13</v>
      </c>
      <c r="BS119" s="24">
        <f t="shared" si="63"/>
        <v>3.5142328124592262E-13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-5.6843418860808015E-13</v>
      </c>
      <c r="BZ119" s="14">
        <f>BY119*VLOOKUP('Données projet'!$B$12,Paramètres!$A$1:$I$89,3,0)*VLOOKUP('Données projet'!$B$12,Paramètres!$A$1:$I$89,5,0)</f>
        <v>-3.39923644787632E-13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288.65195492450403</v>
      </c>
      <c r="CE119" s="62">
        <f t="shared" si="94"/>
        <v>310.66800441693891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3.4999345635171492E-12</v>
      </c>
      <c r="CN119" s="24">
        <f t="shared" si="66"/>
        <v>3.4999345635171492E-12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-6.8212102632969618E-13</v>
      </c>
      <c r="CU119" s="18">
        <f>CT119*VLOOKUP('Données projet'!$B$13,Paramètres!$A$1:$I$89,3,0)*VLOOKUP('Données projet'!$B$13,Paramètres!$A$1:$I$89,5,0)</f>
        <v>-3.0149749363772573E-13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572.6451446653349</v>
      </c>
      <c r="CZ119" s="62">
        <f t="shared" si="96"/>
        <v>389.15977992931374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4.2</v>
      </c>
      <c r="DO119" s="13">
        <f>IF('Données projet'!$A$166&gt;35,DO118+DN119-DW118,IF(A119&lt;'Données projet'!$A$166,$DL$205^A119,IF(A119='Données projet'!$A$166,'Données projet'!$B$166,DO118+DN119-DW118)))</f>
        <v>311.19999999999993</v>
      </c>
      <c r="DP119" s="18">
        <f>DO119*VLOOKUP('Données projet'!$B$14,Paramètres!$A$1:$I$89,3,0)*VLOOKUP('Données projet'!$B$14,Paramètres!$A$1:$I$89,5,0)</f>
        <v>262.15487999999999</v>
      </c>
      <c r="DQ119" s="14">
        <f t="shared" si="97"/>
        <v>63.18149040710518</v>
      </c>
      <c r="DR119" s="22">
        <f t="shared" si="70"/>
        <v>566.62751179237478</v>
      </c>
      <c r="DS119" s="62">
        <f t="shared" si="71"/>
        <v>859.96084512570815</v>
      </c>
      <c r="DT119" s="62">
        <f ca="1">AVERAGE(OFFSET($DS$3,0,0,'Données projet'!$E$14+1,1))-AVERAGE(OFFSET($H$3,0,0,'Données projet'!$E$14+1,1))</f>
        <v>383.83934938682984</v>
      </c>
      <c r="DU119" s="62">
        <f t="shared" si="98"/>
        <v>223.93106361972281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399.53236233242478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4.2</v>
      </c>
      <c r="N120" s="14">
        <f>IF('Données projet'!$A$36&gt;35,N119+M120-V119,IF(A120&lt;'Données projet'!$A$36,$K$205^A120,IF(A120='Données projet'!$A$36,'Données projet'!$B$36,N119+M120-V119)))</f>
        <v>315.39999999999992</v>
      </c>
      <c r="O120" s="14">
        <f>N120*VLOOKUP('Données projet'!$B$9,Paramètres!$A$1:$I$89,3,0)*VLOOKUP('Données projet'!$B$9,Paramètres!$A$1:$I$89,5,0)</f>
        <v>285.37391999999988</v>
      </c>
      <c r="P120" s="14">
        <f t="shared" si="87"/>
        <v>68.101413083167643</v>
      </c>
      <c r="Q120" s="22">
        <f t="shared" si="107"/>
        <v>615.63620511985016</v>
      </c>
      <c r="R120" s="62">
        <f t="shared" si="55"/>
        <v>908.96953845318353</v>
      </c>
      <c r="S120" s="62">
        <f ca="1">AVERAGE(OFFSET($R$3,0,0,'Données projet'!$E$9+1,1))-AVERAGE(OFFSET($H$3,0,0,'Données projet'!$E$9+1,1))</f>
        <v>415.89259563928869</v>
      </c>
      <c r="T120" s="62">
        <f t="shared" si="88"/>
        <v>240.19413322685813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-3.7243808037601412E-14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214.08705070588002</v>
      </c>
      <c r="AO120" s="62">
        <f t="shared" si="90"/>
        <v>251.33527585147152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-3.2514435588382188E-14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239.41486198585676</v>
      </c>
      <c r="BJ120" s="62">
        <f t="shared" si="92"/>
        <v>224.9174498508774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2.4849378523581915E-13</v>
      </c>
      <c r="BS120" s="24">
        <f t="shared" si="63"/>
        <v>2.4849378523581915E-13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-5.6843418860808015E-13</v>
      </c>
      <c r="BZ120" s="14">
        <f>BY120*VLOOKUP('Données projet'!$B$12,Paramètres!$A$1:$I$89,3,0)*VLOOKUP('Données projet'!$B$12,Paramètres!$A$1:$I$89,5,0)</f>
        <v>-3.39923644787632E-13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288.65195492450403</v>
      </c>
      <c r="CE120" s="62">
        <f t="shared" si="94"/>
        <v>310.66800441693891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2.4748274635721557E-12</v>
      </c>
      <c r="CN120" s="24">
        <f t="shared" si="66"/>
        <v>2.4748274635721557E-12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-6.8212102632969618E-13</v>
      </c>
      <c r="CU120" s="18">
        <f>CT120*VLOOKUP('Données projet'!$B$13,Paramètres!$A$1:$I$89,3,0)*VLOOKUP('Données projet'!$B$13,Paramètres!$A$1:$I$89,5,0)</f>
        <v>-3.0149749363772573E-13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572.6451446653349</v>
      </c>
      <c r="CZ120" s="62">
        <f t="shared" si="96"/>
        <v>389.15977992931374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4.2</v>
      </c>
      <c r="DO120" s="13">
        <f>IF('Données projet'!$A$166&gt;35,DO119+DN120-DW119,IF(A120&lt;'Données projet'!$A$166,$DL$205^A120,IF(A120='Données projet'!$A$166,'Données projet'!$B$166,DO119+DN120-DW119)))</f>
        <v>315.39999999999992</v>
      </c>
      <c r="DP120" s="18">
        <f>DO120*VLOOKUP('Données projet'!$B$14,Paramètres!$A$1:$I$89,3,0)*VLOOKUP('Données projet'!$B$14,Paramètres!$A$1:$I$89,5,0)</f>
        <v>265.69295999999997</v>
      </c>
      <c r="DQ120" s="14">
        <f t="shared" si="97"/>
        <v>63.934352995290837</v>
      </c>
      <c r="DR120" s="22">
        <f t="shared" si="70"/>
        <v>574.10090346679817</v>
      </c>
      <c r="DS120" s="62">
        <f t="shared" si="71"/>
        <v>867.43423680013143</v>
      </c>
      <c r="DT120" s="62">
        <f ca="1">AVERAGE(OFFSET($DS$3,0,0,'Données projet'!$E$14+1,1))-AVERAGE(OFFSET($H$3,0,0,'Données projet'!$E$14+1,1))</f>
        <v>383.83934938682984</v>
      </c>
      <c r="DU120" s="62">
        <f t="shared" si="98"/>
        <v>223.93106361972281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400.72187583029472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4.2</v>
      </c>
      <c r="N121" s="14">
        <f>IF('Données projet'!$A$36&gt;35,N120+M121-V120,IF(A121&lt;'Données projet'!$A$36,$K$205^A121,IF(A121='Données projet'!$A$36,'Données projet'!$B$36,N120+M121-V120)))</f>
        <v>319.59999999999991</v>
      </c>
      <c r="O121" s="14">
        <f>N121*VLOOKUP('Données projet'!$B$9,Paramètres!$A$1:$I$89,3,0)*VLOOKUP('Données projet'!$B$9,Paramètres!$A$1:$I$89,5,0)</f>
        <v>289.17407999999989</v>
      </c>
      <c r="P121" s="14">
        <f t="shared" si="87"/>
        <v>68.902103026957676</v>
      </c>
      <c r="Q121" s="22">
        <f t="shared" si="107"/>
        <v>623.64935210528438</v>
      </c>
      <c r="R121" s="62">
        <f t="shared" si="55"/>
        <v>916.98268543861764</v>
      </c>
      <c r="S121" s="62">
        <f ca="1">AVERAGE(OFFSET($R$3,0,0,'Données projet'!$E$9+1,1))-AVERAGE(OFFSET($H$3,0,0,'Données projet'!$E$9+1,1))</f>
        <v>415.89259563928869</v>
      </c>
      <c r="T121" s="62">
        <f t="shared" si="88"/>
        <v>240.19413322685813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-3.7243808037601412E-14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214.08705070588002</v>
      </c>
      <c r="AO121" s="62">
        <f t="shared" si="90"/>
        <v>251.33527585147152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-3.2514435588382188E-14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239.41486198585676</v>
      </c>
      <c r="BJ121" s="62">
        <f t="shared" si="92"/>
        <v>224.9174498508774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1.7571164062296131E-13</v>
      </c>
      <c r="BS121" s="24">
        <f t="shared" si="63"/>
        <v>1.7571164062296131E-13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-5.6843418860808015E-13</v>
      </c>
      <c r="BZ121" s="14">
        <f>BY121*VLOOKUP('Données projet'!$B$12,Paramètres!$A$1:$I$89,3,0)*VLOOKUP('Données projet'!$B$12,Paramètres!$A$1:$I$89,5,0)</f>
        <v>-3.39923644787632E-13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288.65195492450403</v>
      </c>
      <c r="CE121" s="62">
        <f t="shared" si="94"/>
        <v>310.66800441693891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1.7499672817585748E-12</v>
      </c>
      <c r="CN121" s="24">
        <f t="shared" si="66"/>
        <v>1.7499672817585748E-12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-6.8212102632969618E-13</v>
      </c>
      <c r="CU121" s="18">
        <f>CT121*VLOOKUP('Données projet'!$B$13,Paramètres!$A$1:$I$89,3,0)*VLOOKUP('Données projet'!$B$13,Paramètres!$A$1:$I$89,5,0)</f>
        <v>-3.0149749363772573E-13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572.6451446653349</v>
      </c>
      <c r="CZ121" s="62">
        <f t="shared" si="96"/>
        <v>389.15977992931374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4.2</v>
      </c>
      <c r="DO121" s="13">
        <f>IF('Données projet'!$A$166&gt;35,DO120+DN121-DW120,IF(A121&lt;'Données projet'!$A$166,$DL$205^A121,IF(A121='Données projet'!$A$166,'Données projet'!$B$166,DO120+DN121-DW120)))</f>
        <v>319.59999999999991</v>
      </c>
      <c r="DP121" s="18">
        <f>DO121*VLOOKUP('Données projet'!$B$14,Paramètres!$A$1:$I$89,3,0)*VLOOKUP('Données projet'!$B$14,Paramètres!$A$1:$I$89,5,0)</f>
        <v>269.23103999999995</v>
      </c>
      <c r="DQ121" s="14">
        <f t="shared" si="97"/>
        <v>64.686049490098284</v>
      </c>
      <c r="DR121" s="22">
        <f t="shared" si="70"/>
        <v>581.57226419525443</v>
      </c>
      <c r="DS121" s="62">
        <f t="shared" si="71"/>
        <v>874.9055975285878</v>
      </c>
      <c r="DT121" s="62">
        <f ca="1">AVERAGE(OFFSET($DS$3,0,0,'Données projet'!$E$14+1,1))-AVERAGE(OFFSET($H$3,0,0,'Données projet'!$E$14+1,1))</f>
        <v>383.83934938682984</v>
      </c>
      <c r="DU121" s="62">
        <f t="shared" si="98"/>
        <v>223.93106361972281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401.91115411247904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4.2</v>
      </c>
      <c r="N122" s="14">
        <f>IF('Données projet'!$A$36&gt;35,N121+M122-V121,IF(A122&lt;'Données projet'!$A$36,$K$205^A122,IF(A122='Données projet'!$A$36,'Données projet'!$B$36,N121+M122-V121)))</f>
        <v>323.7999999999999</v>
      </c>
      <c r="O122" s="14">
        <f>N122*VLOOKUP('Données projet'!$B$9,Paramètres!$A$1:$I$89,3,0)*VLOOKUP('Données projet'!$B$9,Paramètres!$A$1:$I$89,5,0)</f>
        <v>292.9742399999999</v>
      </c>
      <c r="P122" s="14">
        <f t="shared" si="87"/>
        <v>69.701569084730806</v>
      </c>
      <c r="Q122" s="22">
        <f t="shared" si="107"/>
        <v>631.66036748923932</v>
      </c>
      <c r="R122" s="62">
        <f t="shared" si="55"/>
        <v>924.99370082257269</v>
      </c>
      <c r="S122" s="62">
        <f ca="1">AVERAGE(OFFSET($R$3,0,0,'Données projet'!$E$9+1,1))-AVERAGE(OFFSET($H$3,0,0,'Données projet'!$E$9+1,1))</f>
        <v>415.89259563928869</v>
      </c>
      <c r="T122" s="62">
        <f t="shared" si="88"/>
        <v>240.19413322685813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-3.7243808037601412E-14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214.08705070588002</v>
      </c>
      <c r="AO122" s="62">
        <f t="shared" si="90"/>
        <v>251.33527585147152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-3.2514435588382188E-14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239.41486198585676</v>
      </c>
      <c r="BJ122" s="62">
        <f t="shared" si="92"/>
        <v>224.9174498508774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1.2424689261790958E-13</v>
      </c>
      <c r="BS122" s="24">
        <f t="shared" si="63"/>
        <v>1.2424689261790958E-13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-5.6843418860808015E-13</v>
      </c>
      <c r="BZ122" s="14">
        <f>BY122*VLOOKUP('Données projet'!$B$12,Paramètres!$A$1:$I$89,3,0)*VLOOKUP('Données projet'!$B$12,Paramètres!$A$1:$I$89,5,0)</f>
        <v>-3.39923644787632E-13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288.65195492450403</v>
      </c>
      <c r="CE122" s="62">
        <f t="shared" si="94"/>
        <v>310.66800441693891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1.2374137317860781E-12</v>
      </c>
      <c r="CN122" s="24">
        <f t="shared" si="66"/>
        <v>1.2374137317860781E-12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-6.8212102632969618E-13</v>
      </c>
      <c r="CU122" s="18">
        <f>CT122*VLOOKUP('Données projet'!$B$13,Paramètres!$A$1:$I$89,3,0)*VLOOKUP('Données projet'!$B$13,Paramètres!$A$1:$I$89,5,0)</f>
        <v>-3.0149749363772573E-13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572.6451446653349</v>
      </c>
      <c r="CZ122" s="62">
        <f t="shared" si="96"/>
        <v>389.15977992931374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4.2</v>
      </c>
      <c r="DO122" s="13">
        <f>IF('Données projet'!$A$166&gt;35,DO121+DN122-DW121,IF(A122&lt;'Données projet'!$A$166,$DL$205^A122,IF(A122='Données projet'!$A$166,'Données projet'!$B$166,DO121+DN122-DW121)))</f>
        <v>323.7999999999999</v>
      </c>
      <c r="DP122" s="18">
        <f>DO122*VLOOKUP('Données projet'!$B$14,Paramètres!$A$1:$I$89,3,0)*VLOOKUP('Données projet'!$B$14,Paramètres!$A$1:$I$89,5,0)</f>
        <v>272.76911999999993</v>
      </c>
      <c r="DQ122" s="14">
        <f t="shared" si="97"/>
        <v>65.436596987299211</v>
      </c>
      <c r="DR122" s="22">
        <f t="shared" si="70"/>
        <v>589.04162375287922</v>
      </c>
      <c r="DS122" s="62">
        <f t="shared" si="71"/>
        <v>882.37495708621259</v>
      </c>
      <c r="DT122" s="62">
        <f ca="1">AVERAGE(OFFSET($DS$3,0,0,'Données projet'!$E$14+1,1))-AVERAGE(OFFSET($H$3,0,0,'Données projet'!$E$14+1,1))</f>
        <v>383.83934938682984</v>
      </c>
      <c r="DU122" s="62">
        <f t="shared" si="98"/>
        <v>223.93106361972281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403.10019938462972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4.2</v>
      </c>
      <c r="N123" s="14">
        <f>IF('Données projet'!$A$36&gt;35,N122+M123-V122,IF(A123&lt;'Données projet'!$A$36,$K$205^A123,IF(A123='Données projet'!$A$36,'Données projet'!$B$36,N122+M123-V122)))</f>
        <v>327.99999999999989</v>
      </c>
      <c r="O123" s="14">
        <f>N123*VLOOKUP('Données projet'!$B$9,Paramètres!$A$1:$I$89,3,0)*VLOOKUP('Données projet'!$B$9,Paramètres!$A$1:$I$89,5,0)</f>
        <v>296.7743999999999</v>
      </c>
      <c r="P123" s="14">
        <f t="shared" si="87"/>
        <v>70.499828966950673</v>
      </c>
      <c r="Q123" s="22">
        <f t="shared" si="107"/>
        <v>639.6692821174388</v>
      </c>
      <c r="R123" s="62">
        <f t="shared" si="55"/>
        <v>933.00261545077205</v>
      </c>
      <c r="S123" s="62">
        <f ca="1">AVERAGE(OFFSET($R$3,0,0,'Données projet'!$E$9+1,1))-AVERAGE(OFFSET($H$3,0,0,'Données projet'!$E$9+1,1))</f>
        <v>415.89259563928869</v>
      </c>
      <c r="T123" s="62">
        <f t="shared" si="88"/>
        <v>240.19413322685813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-3.7243808037601412E-14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214.08705070588002</v>
      </c>
      <c r="AO123" s="62">
        <f t="shared" si="90"/>
        <v>251.33527585147152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-3.2514435588382188E-14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239.41486198585676</v>
      </c>
      <c r="BJ123" s="62">
        <f t="shared" si="92"/>
        <v>224.9174498508774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8.7855820311480655E-14</v>
      </c>
      <c r="BS123" s="24">
        <f t="shared" si="63"/>
        <v>8.7855820311480655E-14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-5.6843418860808015E-13</v>
      </c>
      <c r="BZ123" s="14">
        <f>BY123*VLOOKUP('Données projet'!$B$12,Paramètres!$A$1:$I$89,3,0)*VLOOKUP('Données projet'!$B$12,Paramètres!$A$1:$I$89,5,0)</f>
        <v>-3.39923644787632E-13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288.65195492450403</v>
      </c>
      <c r="CE123" s="62">
        <f t="shared" si="94"/>
        <v>310.66800441693891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8.7498364087928761E-13</v>
      </c>
      <c r="CN123" s="24">
        <f t="shared" si="66"/>
        <v>8.7498364087928761E-13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-6.8212102632969618E-13</v>
      </c>
      <c r="CU123" s="18">
        <f>CT123*VLOOKUP('Données projet'!$B$13,Paramètres!$A$1:$I$89,3,0)*VLOOKUP('Données projet'!$B$13,Paramètres!$A$1:$I$89,5,0)</f>
        <v>-3.0149749363772573E-13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572.6451446653349</v>
      </c>
      <c r="CZ123" s="62">
        <f t="shared" si="96"/>
        <v>389.15977992931374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4.2</v>
      </c>
      <c r="DO123" s="13">
        <f>IF('Données projet'!$A$166&gt;35,DO122+DN123-DW122,IF(A123&lt;'Données projet'!$A$166,$DL$205^A123,IF(A123='Données projet'!$A$166,'Données projet'!$B$166,DO122+DN123-DW122)))</f>
        <v>327.99999999999989</v>
      </c>
      <c r="DP123" s="18">
        <f>DO123*VLOOKUP('Données projet'!$B$14,Paramètres!$A$1:$I$89,3,0)*VLOOKUP('Données projet'!$B$14,Paramètres!$A$1:$I$89,5,0)</f>
        <v>276.30719999999991</v>
      </c>
      <c r="DQ123" s="14">
        <f t="shared" si="97"/>
        <v>66.186012113671126</v>
      </c>
      <c r="DR123" s="22">
        <f t="shared" si="70"/>
        <v>596.5090110979769</v>
      </c>
      <c r="DS123" s="62">
        <f t="shared" si="71"/>
        <v>889.84234443131027</v>
      </c>
      <c r="DT123" s="62">
        <f ca="1">AVERAGE(OFFSET($DS$3,0,0,'Données projet'!$E$14+1,1))-AVERAGE(OFFSET($H$3,0,0,'Données projet'!$E$14+1,1))</f>
        <v>383.83934938682984</v>
      </c>
      <c r="DU123" s="62">
        <f t="shared" si="98"/>
        <v>223.93106361972281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404.28901381351614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332.19999999999987</v>
      </c>
      <c r="O124" s="14">
        <f>N124*VLOOKUP('Données projet'!$B$9,Paramètres!$A$1:$I$89,3,0)*VLOOKUP('Données projet'!$B$9,Paramètres!$A$1:$I$89,5,0)</f>
        <v>300.57455999999985</v>
      </c>
      <c r="P124" s="14">
        <f t="shared" si="87"/>
        <v>71.296899904441815</v>
      </c>
      <c r="Q124" s="22">
        <f t="shared" si="107"/>
        <v>647.67612600023597</v>
      </c>
      <c r="R124" s="62">
        <f t="shared" si="55"/>
        <v>941.00945933356934</v>
      </c>
      <c r="S124" s="62">
        <f ca="1">AVERAGE(OFFSET($R$3,0,0,'Données projet'!$E$9+1,1))-AVERAGE(OFFSET($H$3,0,0,'Données projet'!$E$9+1,1))</f>
        <v>415.89259563928869</v>
      </c>
      <c r="T124" s="62">
        <f t="shared" si="88"/>
        <v>240.19413322685813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-3.7243808037601412E-14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214.08705070588002</v>
      </c>
      <c r="AO124" s="62">
        <f t="shared" si="90"/>
        <v>251.33527585147152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-3.2514435588382188E-14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239.41486198585676</v>
      </c>
      <c r="BJ124" s="62">
        <f t="shared" si="92"/>
        <v>224.9174498508774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6.2123446308954789E-14</v>
      </c>
      <c r="BS124" s="24">
        <f t="shared" si="63"/>
        <v>6.2123446308954789E-14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-5.6843418860808015E-13</v>
      </c>
      <c r="BZ124" s="14">
        <f>BY124*VLOOKUP('Données projet'!$B$12,Paramètres!$A$1:$I$89,3,0)*VLOOKUP('Données projet'!$B$12,Paramètres!$A$1:$I$89,5,0)</f>
        <v>-3.39923644787632E-13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288.65195492450403</v>
      </c>
      <c r="CE124" s="62">
        <f t="shared" si="94"/>
        <v>310.66800441693891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6.1870686589303914E-13</v>
      </c>
      <c r="CN124" s="24">
        <f t="shared" si="66"/>
        <v>6.1870686589303914E-13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-6.8212102632969618E-13</v>
      </c>
      <c r="CU124" s="18">
        <f>CT124*VLOOKUP('Données projet'!$B$13,Paramètres!$A$1:$I$89,3,0)*VLOOKUP('Données projet'!$B$13,Paramètres!$A$1:$I$89,5,0)</f>
        <v>-3.0149749363772573E-13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572.6451446653349</v>
      </c>
      <c r="CZ124" s="62">
        <f t="shared" si="96"/>
        <v>389.15977992931374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4.2</v>
      </c>
      <c r="DO124" s="13">
        <f>IF('Données projet'!$A$166&gt;35,DO123+DN124-DW123,IF(A124&lt;'Données projet'!$A$166,$DL$205^A124,IF(A124='Données projet'!$A$166,'Données projet'!$B$166,DO123+DN124-DW123)))</f>
        <v>332.19999999999987</v>
      </c>
      <c r="DP124" s="18">
        <f>DO124*VLOOKUP('Données projet'!$B$14,Paramètres!$A$1:$I$89,3,0)*VLOOKUP('Données projet'!$B$14,Paramètres!$A$1:$I$89,5,0)</f>
        <v>279.84527999999995</v>
      </c>
      <c r="DQ124" s="14">
        <f t="shared" si="97"/>
        <v>66.934311045700795</v>
      </c>
      <c r="DR124" s="22">
        <f t="shared" si="70"/>
        <v>603.97445440459546</v>
      </c>
      <c r="DS124" s="62">
        <f t="shared" si="71"/>
        <v>897.30778773792872</v>
      </c>
      <c r="DT124" s="62">
        <f ca="1">AVERAGE(OFFSET($DS$3,0,0,'Données projet'!$E$14+1,1))-AVERAGE(OFFSET($H$3,0,0,'Données projet'!$E$14+1,1))</f>
        <v>383.83934938682984</v>
      </c>
      <c r="DU124" s="62">
        <f t="shared" si="98"/>
        <v>223.93106361972281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405.47759952802585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336.39999999999986</v>
      </c>
      <c r="O125" s="14">
        <f>N125*VLOOKUP('Données projet'!$B$9,Paramètres!$A$1:$I$89,3,0)*VLOOKUP('Données projet'!$B$9,Paramètres!$A$1:$I$89,5,0)</f>
        <v>304.37471999999985</v>
      </c>
      <c r="P125" s="14">
        <f t="shared" si="87"/>
        <v>72.092798667275062</v>
      </c>
      <c r="Q125" s="22">
        <f t="shared" si="107"/>
        <v>655.68092834550373</v>
      </c>
      <c r="R125" s="62">
        <f t="shared" si="55"/>
        <v>949.0142616788371</v>
      </c>
      <c r="S125" s="62">
        <f ca="1">AVERAGE(OFFSET($R$3,0,0,'Données projet'!$E$9+1,1))-AVERAGE(OFFSET($H$3,0,0,'Données projet'!$E$9+1,1))</f>
        <v>415.89259563928869</v>
      </c>
      <c r="T125" s="62">
        <f t="shared" si="88"/>
        <v>240.19413322685813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-3.7243808037601412E-14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214.08705070588002</v>
      </c>
      <c r="AO125" s="62">
        <f t="shared" si="90"/>
        <v>251.33527585147152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-3.2514435588382188E-14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239.41486198585676</v>
      </c>
      <c r="BJ125" s="62">
        <f t="shared" si="92"/>
        <v>224.9174498508774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4.3927910155740327E-14</v>
      </c>
      <c r="BS125" s="24">
        <f t="shared" si="63"/>
        <v>4.3927910155740327E-14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-5.6843418860808015E-13</v>
      </c>
      <c r="BZ125" s="14">
        <f>BY125*VLOOKUP('Données projet'!$B$12,Paramètres!$A$1:$I$89,3,0)*VLOOKUP('Données projet'!$B$12,Paramètres!$A$1:$I$89,5,0)</f>
        <v>-3.39923644787632E-13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288.65195492450403</v>
      </c>
      <c r="CE125" s="62">
        <f t="shared" si="94"/>
        <v>310.66800441693891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4.3749182043964386E-13</v>
      </c>
      <c r="CN125" s="24">
        <f t="shared" si="66"/>
        <v>4.3749182043964386E-13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-6.8212102632969618E-13</v>
      </c>
      <c r="CU125" s="18">
        <f>CT125*VLOOKUP('Données projet'!$B$13,Paramètres!$A$1:$I$89,3,0)*VLOOKUP('Données projet'!$B$13,Paramètres!$A$1:$I$89,5,0)</f>
        <v>-3.0149749363772573E-13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572.6451446653349</v>
      </c>
      <c r="CZ125" s="62">
        <f t="shared" si="96"/>
        <v>389.15977992931374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4.2</v>
      </c>
      <c r="DO125" s="13">
        <f>IF('Données projet'!$A$166&gt;35,DO124+DN125-DW124,IF(A125&lt;'Données projet'!$A$166,$DL$205^A125,IF(A125='Données projet'!$A$166,'Données projet'!$B$166,DO124+DN125-DW124)))</f>
        <v>336.39999999999986</v>
      </c>
      <c r="DP125" s="18">
        <f>DO125*VLOOKUP('Données projet'!$B$14,Paramètres!$A$1:$I$89,3,0)*VLOOKUP('Données projet'!$B$14,Paramètres!$A$1:$I$89,5,0)</f>
        <v>283.38335999999993</v>
      </c>
      <c r="DQ125" s="14">
        <f t="shared" si="97"/>
        <v>67.681509527314574</v>
      </c>
      <c r="DR125" s="22">
        <f t="shared" si="70"/>
        <v>611.43798109340605</v>
      </c>
      <c r="DS125" s="62">
        <f t="shared" si="71"/>
        <v>904.77131442673931</v>
      </c>
      <c r="DT125" s="62">
        <f ca="1">AVERAGE(OFFSET($DS$3,0,0,'Données projet'!$E$14+1,1))-AVERAGE(OFFSET($H$3,0,0,'Données projet'!$E$14+1,1))</f>
        <v>383.83934938682984</v>
      </c>
      <c r="DU125" s="62">
        <f t="shared" si="98"/>
        <v>223.93106361972281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406.66595862013173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340.59999999999985</v>
      </c>
      <c r="O126" s="14">
        <f>N126*VLOOKUP('Données projet'!$B$9,Paramètres!$A$1:$I$89,3,0)*VLOOKUP('Données projet'!$B$9,Paramètres!$A$1:$I$89,5,0)</f>
        <v>308.17487999999986</v>
      </c>
      <c r="P126" s="14">
        <f t="shared" si="87"/>
        <v>72.887541582684676</v>
      </c>
      <c r="Q126" s="22">
        <f t="shared" si="107"/>
        <v>663.6837175898421</v>
      </c>
      <c r="R126" s="62">
        <f t="shared" si="55"/>
        <v>957.01705092317547</v>
      </c>
      <c r="S126" s="62">
        <f ca="1">AVERAGE(OFFSET($R$3,0,0,'Données projet'!$E$9+1,1))-AVERAGE(OFFSET($H$3,0,0,'Données projet'!$E$9+1,1))</f>
        <v>415.89259563928869</v>
      </c>
      <c r="T126" s="62">
        <f t="shared" si="88"/>
        <v>240.19413322685813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-3.7243808037601412E-14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214.08705070588002</v>
      </c>
      <c r="AO126" s="62">
        <f t="shared" si="90"/>
        <v>251.33527585147152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-3.2514435588382188E-14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239.41486198585676</v>
      </c>
      <c r="BJ126" s="62">
        <f t="shared" si="92"/>
        <v>224.9174498508774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3.1061723154477394E-14</v>
      </c>
      <c r="BS126" s="24">
        <f t="shared" si="63"/>
        <v>3.1061723154477394E-14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-5.6843418860808015E-13</v>
      </c>
      <c r="BZ126" s="14">
        <f>BY126*VLOOKUP('Données projet'!$B$12,Paramètres!$A$1:$I$89,3,0)*VLOOKUP('Données projet'!$B$12,Paramètres!$A$1:$I$89,5,0)</f>
        <v>-3.39923644787632E-13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288.65195492450403</v>
      </c>
      <c r="CE126" s="62">
        <f t="shared" si="94"/>
        <v>310.66800441693891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3.0935343294651962E-13</v>
      </c>
      <c r="CN126" s="24">
        <f t="shared" si="66"/>
        <v>3.0935343294651962E-13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-6.8212102632969618E-13</v>
      </c>
      <c r="CU126" s="18">
        <f>CT126*VLOOKUP('Données projet'!$B$13,Paramètres!$A$1:$I$89,3,0)*VLOOKUP('Données projet'!$B$13,Paramètres!$A$1:$I$89,5,0)</f>
        <v>-3.0149749363772573E-13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572.6451446653349</v>
      </c>
      <c r="CZ126" s="62">
        <f t="shared" si="96"/>
        <v>389.15977992931374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4.2</v>
      </c>
      <c r="DO126" s="13">
        <f>IF('Données projet'!$A$166&gt;35,DO125+DN126-DW125,IF(A126&lt;'Données projet'!$A$166,$DL$205^A126,IF(A126='Données projet'!$A$166,'Données projet'!$B$166,DO125+DN126-DW125)))</f>
        <v>340.59999999999985</v>
      </c>
      <c r="DP126" s="18">
        <f>DO126*VLOOKUP('Données projet'!$B$14,Paramètres!$A$1:$I$89,3,0)*VLOOKUP('Données projet'!$B$14,Paramètres!$A$1:$I$89,5,0)</f>
        <v>286.9214399999999</v>
      </c>
      <c r="DQ126" s="14">
        <f t="shared" si="97"/>
        <v>68.427622886698884</v>
      </c>
      <c r="DR126" s="22">
        <f t="shared" si="70"/>
        <v>618.89961786100037</v>
      </c>
      <c r="DS126" s="62">
        <f t="shared" si="71"/>
        <v>912.23295119433374</v>
      </c>
      <c r="DT126" s="62">
        <f ca="1">AVERAGE(OFFSET($DS$3,0,0,'Données projet'!$E$14+1,1))-AVERAGE(OFFSET($H$3,0,0,'Données projet'!$E$14+1,1))</f>
        <v>383.83934938682984</v>
      </c>
      <c r="DU126" s="62">
        <f t="shared" si="98"/>
        <v>223.93106361972281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407.85409314582705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344.79999999999984</v>
      </c>
      <c r="O127" s="14">
        <f>N127*VLOOKUP('Données projet'!$B$9,Paramètres!$A$1:$I$89,3,0)*VLOOKUP('Données projet'!$B$9,Paramètres!$A$1:$I$89,5,0)</f>
        <v>311.97503999999986</v>
      </c>
      <c r="P127" s="14">
        <f t="shared" si="87"/>
        <v>73.681144552074599</v>
      </c>
      <c r="Q127" s="22">
        <f t="shared" si="107"/>
        <v>671.68452142819626</v>
      </c>
      <c r="R127" s="62">
        <f t="shared" si="55"/>
        <v>965.01785476152963</v>
      </c>
      <c r="S127" s="62">
        <f ca="1">AVERAGE(OFFSET($R$3,0,0,'Données projet'!$E$9+1,1))-AVERAGE(OFFSET($H$3,0,0,'Données projet'!$E$9+1,1))</f>
        <v>415.89259563928869</v>
      </c>
      <c r="T127" s="62">
        <f t="shared" si="88"/>
        <v>240.19413322685813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-3.7243808037601412E-14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214.08705070588002</v>
      </c>
      <c r="AO127" s="62">
        <f t="shared" si="90"/>
        <v>251.33527585147152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-3.2514435588382188E-14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239.41486198585676</v>
      </c>
      <c r="BJ127" s="62">
        <f t="shared" si="92"/>
        <v>224.9174498508774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2.1963955077870164E-14</v>
      </c>
      <c r="BS127" s="24">
        <f t="shared" si="63"/>
        <v>2.1963955077870164E-14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-5.6843418860808015E-13</v>
      </c>
      <c r="BZ127" s="14">
        <f>BY127*VLOOKUP('Données projet'!$B$12,Paramètres!$A$1:$I$89,3,0)*VLOOKUP('Données projet'!$B$12,Paramètres!$A$1:$I$89,5,0)</f>
        <v>-3.39923644787632E-13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288.65195492450403</v>
      </c>
      <c r="CE127" s="62">
        <f t="shared" si="94"/>
        <v>310.66800441693891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2.1874591021982195E-13</v>
      </c>
      <c r="CN127" s="24">
        <f t="shared" si="66"/>
        <v>2.1874591021982195E-13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-6.8212102632969618E-13</v>
      </c>
      <c r="CU127" s="18">
        <f>CT127*VLOOKUP('Données projet'!$B$13,Paramètres!$A$1:$I$89,3,0)*VLOOKUP('Données projet'!$B$13,Paramètres!$A$1:$I$89,5,0)</f>
        <v>-3.0149749363772573E-13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572.6451446653349</v>
      </c>
      <c r="CZ127" s="62">
        <f t="shared" si="96"/>
        <v>389.15977992931374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4.2</v>
      </c>
      <c r="DO127" s="13">
        <f>IF('Données projet'!$A$166&gt;35,DO126+DN127-DW126,IF(A127&lt;'Données projet'!$A$166,$DL$205^A127,IF(A127='Données projet'!$A$166,'Données projet'!$B$166,DO126+DN127-DW126)))</f>
        <v>344.79999999999984</v>
      </c>
      <c r="DP127" s="18">
        <f>DO127*VLOOKUP('Données projet'!$B$14,Paramètres!$A$1:$I$89,3,0)*VLOOKUP('Données projet'!$B$14,Paramètres!$A$1:$I$89,5,0)</f>
        <v>290.45951999999988</v>
      </c>
      <c r="DQ127" s="14">
        <f t="shared" si="97"/>
        <v>69.172666052266209</v>
      </c>
      <c r="DR127" s="22">
        <f t="shared" si="70"/>
        <v>626.35939070769678</v>
      </c>
      <c r="DS127" s="62">
        <f t="shared" si="71"/>
        <v>919.69272404103003</v>
      </c>
      <c r="DT127" s="62">
        <f ca="1">AVERAGE(OFFSET($DS$3,0,0,'Données projet'!$E$14+1,1))-AVERAGE(OFFSET($H$3,0,0,'Données projet'!$E$14+1,1))</f>
        <v>383.83934938682984</v>
      </c>
      <c r="DU127" s="62">
        <f t="shared" si="98"/>
        <v>223.93106361972281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409.04200512602915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349</v>
      </c>
      <c r="L128" s="13">
        <f>VLOOKUP(A128,'Données projet'!$A$35:$I$55,9,0)</f>
        <v>4.2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348.99999999999983</v>
      </c>
      <c r="O128" s="14">
        <f>N128*VLOOKUP('Données projet'!$B$9,Paramètres!$A$1:$I$89,3,0)*VLOOKUP('Données projet'!$B$9,Paramètres!$A$1:$I$89,5,0)</f>
        <v>315.77519999999981</v>
      </c>
      <c r="P128" s="14">
        <f t="shared" si="87"/>
        <v>74.473623067174003</v>
      </c>
      <c r="Q128" s="22">
        <f t="shared" si="107"/>
        <v>679.68336684199437</v>
      </c>
      <c r="R128" s="62">
        <f t="shared" si="55"/>
        <v>973.01670017532774</v>
      </c>
      <c r="S128" s="62">
        <f ca="1">AVERAGE(OFFSET($R$3,0,0,'Données projet'!$E$9+1,1))-AVERAGE(OFFSET($H$3,0,0,'Données projet'!$E$9+1,1))</f>
        <v>415.89259563928869</v>
      </c>
      <c r="T128" s="62">
        <f t="shared" si="88"/>
        <v>240.19413322685813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45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-3.7243808037601412E-14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214.08705070588002</v>
      </c>
      <c r="AO128" s="62">
        <f t="shared" si="90"/>
        <v>251.33527585147152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-3.2514435588382188E-14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239.41486198585676</v>
      </c>
      <c r="BJ128" s="62">
        <f t="shared" si="92"/>
        <v>224.9174498508774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1.5530861577238697E-14</v>
      </c>
      <c r="BS128" s="24">
        <f t="shared" si="63"/>
        <v>1.5530861577238697E-14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-5.6843418860808015E-13</v>
      </c>
      <c r="BZ128" s="14">
        <f>BY128*VLOOKUP('Données projet'!$B$12,Paramètres!$A$1:$I$89,3,0)*VLOOKUP('Données projet'!$B$12,Paramètres!$A$1:$I$89,5,0)</f>
        <v>-3.39923644787632E-13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288.65195492450403</v>
      </c>
      <c r="CE128" s="62">
        <f t="shared" si="94"/>
        <v>310.66800441693891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1.5467671647325983E-13</v>
      </c>
      <c r="CN128" s="24">
        <f t="shared" si="66"/>
        <v>1.5467671647325983E-13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-6.8212102632969618E-13</v>
      </c>
      <c r="CU128" s="18">
        <f>CT128*VLOOKUP('Données projet'!$B$13,Paramètres!$A$1:$I$89,3,0)*VLOOKUP('Données projet'!$B$13,Paramètres!$A$1:$I$89,5,0)</f>
        <v>-3.0149749363772573E-13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572.6451446653349</v>
      </c>
      <c r="CZ128" s="62">
        <f t="shared" si="96"/>
        <v>389.15977992931374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>
        <f>VLOOKUP(A128,'Données projet'!$A$165:$I$185,2,0)</f>
        <v>349</v>
      </c>
      <c r="DM128" s="13">
        <f>VLOOKUP(A128,'Données projet'!$A$165:$I$185,9,0)</f>
        <v>4.2</v>
      </c>
      <c r="DN128" s="13">
        <f t="array" ref="DN128">INDEX(DM:DM,MIN(IF(ISNUMBER(DM128:DM324),ROW(DM128:DM324),"")))</f>
        <v>4.2</v>
      </c>
      <c r="DO128" s="13">
        <f>IF('Données projet'!$A$166&gt;35,DO127+DN128-DW127,IF(A128&lt;'Données projet'!$A$166,$DL$205^A128,IF(A128='Données projet'!$A$166,'Données projet'!$B$166,DO127+DN128-DW127)))</f>
        <v>348.99999999999983</v>
      </c>
      <c r="DP128" s="18">
        <f>DO128*VLOOKUP('Données projet'!$B$14,Paramètres!$A$1:$I$89,3,0)*VLOOKUP('Données projet'!$B$14,Paramètres!$A$1:$I$89,5,0)</f>
        <v>293.99759999999986</v>
      </c>
      <c r="DQ128" s="14">
        <f t="shared" si="97"/>
        <v>69.916653567821413</v>
      </c>
      <c r="DR128" s="22">
        <f t="shared" si="70"/>
        <v>633.81732496395534</v>
      </c>
      <c r="DS128" s="62">
        <f t="shared" si="71"/>
        <v>927.1506582972886</v>
      </c>
      <c r="DT128" s="62">
        <f ca="1">AVERAGE(OFFSET($DS$3,0,0,'Données projet'!$E$14+1,1))-AVERAGE(OFFSET($H$3,0,0,'Données projet'!$E$14+1,1))</f>
        <v>383.83934938682984</v>
      </c>
      <c r="DU128" s="62">
        <f t="shared" si="98"/>
        <v>223.93106361972281</v>
      </c>
      <c r="DV128" s="16">
        <f>IF(ISNA(VLOOKUP(A128,'Données projet'!$A$165:$I$185,3,0)),0,VLOOKUP(A128,'Données projet'!$A$165:$I$185,3,0))</f>
        <v>11</v>
      </c>
      <c r="DW128" s="16">
        <f>IF(ISNA(VLOOKUP(A128,'Données projet'!$A$165:$I$185,4,0)),0,VLOOKUP(A128,'Données projet'!$A$165:$I$185,4,0))</f>
        <v>45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410.22969654745395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</v>
      </c>
      <c r="N129" s="14">
        <f>IF('Données projet'!$A$36&gt;35,N128+M129-V128,IF(A129&lt;'Données projet'!$A$36,$K$205^A129,IF(A129='Données projet'!$A$36,'Données projet'!$B$36,N128+M129-V128)))</f>
        <v>307.99999999999983</v>
      </c>
      <c r="O129" s="14">
        <f>N129*VLOOKUP('Données projet'!$B$9,Paramètres!$A$1:$I$89,3,0)*VLOOKUP('Données projet'!$B$9,Paramètres!$A$1:$I$89,5,0)</f>
        <v>278.67839999999984</v>
      </c>
      <c r="P129" s="14">
        <f t="shared" si="87"/>
        <v>66.687639951856738</v>
      </c>
      <c r="Q129" s="22">
        <f t="shared" si="107"/>
        <v>601.51251958281682</v>
      </c>
      <c r="R129" s="62">
        <f t="shared" si="55"/>
        <v>894.84585291615008</v>
      </c>
      <c r="S129" s="62">
        <f ca="1">AVERAGE(OFFSET($R$3,0,0,'Données projet'!$E$9+1,1))-AVERAGE(OFFSET($H$3,0,0,'Données projet'!$E$9+1,1))</f>
        <v>415.89259563928869</v>
      </c>
      <c r="T129" s="62">
        <f t="shared" si="88"/>
        <v>240.19413322685813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-3.7243808037601412E-14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214.08705070588002</v>
      </c>
      <c r="AO129" s="62">
        <f t="shared" si="90"/>
        <v>251.33527585147152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-3.2514435588382188E-14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239.41486198585676</v>
      </c>
      <c r="BJ129" s="62">
        <f t="shared" si="92"/>
        <v>224.9174498508774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1.0981977538935082E-14</v>
      </c>
      <c r="BS129" s="24">
        <f t="shared" si="63"/>
        <v>1.0981977538935082E-14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-5.6843418860808015E-13</v>
      </c>
      <c r="BZ129" s="14">
        <f>BY129*VLOOKUP('Données projet'!$B$12,Paramètres!$A$1:$I$89,3,0)*VLOOKUP('Données projet'!$B$12,Paramètres!$A$1:$I$89,5,0)</f>
        <v>-3.39923644787632E-13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288.65195492450403</v>
      </c>
      <c r="CE129" s="62">
        <f t="shared" si="94"/>
        <v>310.66800441693891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1.09372955109911E-13</v>
      </c>
      <c r="CN129" s="24">
        <f t="shared" si="66"/>
        <v>1.09372955109911E-13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-6.8212102632969618E-13</v>
      </c>
      <c r="CU129" s="18">
        <f>CT129*VLOOKUP('Données projet'!$B$13,Paramètres!$A$1:$I$89,3,0)*VLOOKUP('Données projet'!$B$13,Paramètres!$A$1:$I$89,5,0)</f>
        <v>-3.0149749363772573E-13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572.6451446653349</v>
      </c>
      <c r="CZ129" s="62">
        <f t="shared" si="96"/>
        <v>389.15977992931374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4</v>
      </c>
      <c r="DO129" s="13">
        <f>IF('Données projet'!$A$166&gt;35,DO128+DN129-DW128,IF(A129&lt;'Données projet'!$A$166,$DL$205^A129,IF(A129='Données projet'!$A$166,'Données projet'!$B$166,DO128+DN129-DW128)))</f>
        <v>307.99999999999983</v>
      </c>
      <c r="DP129" s="18">
        <f>DO129*VLOOKUP('Données projet'!$B$14,Paramètres!$A$1:$I$89,3,0)*VLOOKUP('Données projet'!$B$14,Paramètres!$A$1:$I$89,5,0)</f>
        <v>259.45919999999984</v>
      </c>
      <c r="DQ129" s="14">
        <f t="shared" si="97"/>
        <v>62.607087284635128</v>
      </c>
      <c r="DR129" s="22">
        <f t="shared" si="70"/>
        <v>560.93211702073916</v>
      </c>
      <c r="DS129" s="62">
        <f t="shared" si="71"/>
        <v>854.26545035407253</v>
      </c>
      <c r="DT129" s="62">
        <f ca="1">AVERAGE(OFFSET($DS$3,0,0,'Données projet'!$E$14+1,1))-AVERAGE(OFFSET($H$3,0,0,'Données projet'!$E$14+1,1))</f>
        <v>383.83934938682984</v>
      </c>
      <c r="DU129" s="62">
        <f t="shared" si="98"/>
        <v>223.93106361972281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411.41716936346074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</v>
      </c>
      <c r="N130" s="14">
        <f>IF('Données projet'!$A$36&gt;35,N129+M130-V129,IF(A130&lt;'Données projet'!$A$36,$K$205^A130,IF(A130='Données projet'!$A$36,'Données projet'!$B$36,N129+M130-V129)))</f>
        <v>311.99999999999983</v>
      </c>
      <c r="O130" s="14">
        <f>N130*VLOOKUP('Données projet'!$B$9,Paramètres!$A$1:$I$89,3,0)*VLOOKUP('Données projet'!$B$9,Paramètres!$A$1:$I$89,5,0)</f>
        <v>282.29759999999982</v>
      </c>
      <c r="P130" s="14">
        <f t="shared" si="87"/>
        <v>67.452326629470107</v>
      </c>
      <c r="Q130" s="22">
        <f t="shared" si="107"/>
        <v>609.1477888796602</v>
      </c>
      <c r="R130" s="62">
        <f t="shared" si="55"/>
        <v>902.48112221299357</v>
      </c>
      <c r="S130" s="62">
        <f ca="1">AVERAGE(OFFSET($R$3,0,0,'Données projet'!$E$9+1,1))-AVERAGE(OFFSET($H$3,0,0,'Données projet'!$E$9+1,1))</f>
        <v>415.89259563928869</v>
      </c>
      <c r="T130" s="62">
        <f t="shared" si="88"/>
        <v>240.19413322685813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-3.7243808037601412E-14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214.08705070588002</v>
      </c>
      <c r="AO130" s="62">
        <f t="shared" si="90"/>
        <v>251.33527585147152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-3.2514435588382188E-14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239.41486198585676</v>
      </c>
      <c r="BJ130" s="62">
        <f t="shared" si="92"/>
        <v>224.9174498508774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7.7654307886193486E-15</v>
      </c>
      <c r="BS130" s="24">
        <f t="shared" si="63"/>
        <v>7.7654307886193486E-15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-5.6843418860808015E-13</v>
      </c>
      <c r="BZ130" s="14">
        <f>BY130*VLOOKUP('Données projet'!$B$12,Paramètres!$A$1:$I$89,3,0)*VLOOKUP('Données projet'!$B$12,Paramètres!$A$1:$I$89,5,0)</f>
        <v>-3.39923644787632E-13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288.65195492450403</v>
      </c>
      <c r="CE130" s="62">
        <f t="shared" si="94"/>
        <v>310.66800441693891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7.733835823662993E-14</v>
      </c>
      <c r="CN130" s="24">
        <f t="shared" si="66"/>
        <v>7.733835823662993E-14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-6.8212102632969618E-13</v>
      </c>
      <c r="CU130" s="18">
        <f>CT130*VLOOKUP('Données projet'!$B$13,Paramètres!$A$1:$I$89,3,0)*VLOOKUP('Données projet'!$B$13,Paramètres!$A$1:$I$89,5,0)</f>
        <v>-3.0149749363772573E-13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572.6451446653349</v>
      </c>
      <c r="CZ130" s="62">
        <f t="shared" si="96"/>
        <v>389.15977992931374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4</v>
      </c>
      <c r="DO130" s="13">
        <f>IF('Données projet'!$A$166&gt;35,DO129+DN130-DW129,IF(A130&lt;'Données projet'!$A$166,$DL$205^A130,IF(A130='Données projet'!$A$166,'Données projet'!$B$166,DO129+DN130-DW129)))</f>
        <v>311.99999999999983</v>
      </c>
      <c r="DP130" s="18">
        <f>DO130*VLOOKUP('Données projet'!$B$14,Paramètres!$A$1:$I$89,3,0)*VLOOKUP('Données projet'!$B$14,Paramètres!$A$1:$I$89,5,0)</f>
        <v>262.82879999999989</v>
      </c>
      <c r="DQ130" s="14">
        <f t="shared" si="97"/>
        <v>63.324983518559428</v>
      </c>
      <c r="DR130" s="22">
        <f t="shared" si="70"/>
        <v>568.05117296149081</v>
      </c>
      <c r="DS130" s="62">
        <f t="shared" si="71"/>
        <v>861.38450629482418</v>
      </c>
      <c r="DT130" s="62">
        <f ca="1">AVERAGE(OFFSET($DS$3,0,0,'Données projet'!$E$14+1,1))-AVERAGE(OFFSET($H$3,0,0,'Données projet'!$E$14+1,1))</f>
        <v>383.83934938682984</v>
      </c>
      <c r="DU130" s="62">
        <f t="shared" si="98"/>
        <v>223.93106361972281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412.60442549487129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</v>
      </c>
      <c r="N131" s="14">
        <f>IF('Données projet'!$A$36&gt;35,N130+M131-V130,IF(A131&lt;'Données projet'!$A$36,$K$205^A131,IF(A131='Données projet'!$A$36,'Données projet'!$B$36,N130+M131-V130)))</f>
        <v>315.99999999999983</v>
      </c>
      <c r="O131" s="14">
        <f>N131*VLOOKUP('Données projet'!$B$9,Paramètres!$A$1:$I$89,3,0)*VLOOKUP('Données projet'!$B$9,Paramètres!$A$1:$I$89,5,0)</f>
        <v>285.91679999999985</v>
      </c>
      <c r="P131" s="14">
        <f t="shared" si="87"/>
        <v>68.215872977287475</v>
      </c>
      <c r="Q131" s="22">
        <f t="shared" ref="Q131:Q153" si="108">(O131+P131)*0.475*44/12</f>
        <v>616.78107210210862</v>
      </c>
      <c r="R131" s="62">
        <f t="shared" ref="R131:R194" si="109">Q131+(I131+J131)*44/12</f>
        <v>910.11440543544199</v>
      </c>
      <c r="S131" s="62">
        <f ca="1">AVERAGE(OFFSET($R$3,0,0,'Données projet'!$E$9+1,1))-AVERAGE(OFFSET($H$3,0,0,'Données projet'!$E$9+1,1))</f>
        <v>415.89259563928869</v>
      </c>
      <c r="T131" s="62">
        <f t="shared" si="88"/>
        <v>240.19413322685813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-3.7243808037601412E-14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214.08705070588002</v>
      </c>
      <c r="AO131" s="62">
        <f t="shared" si="90"/>
        <v>251.33527585147152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-3.2514435588382188E-14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239.41486198585676</v>
      </c>
      <c r="BJ131" s="62">
        <f t="shared" si="92"/>
        <v>224.9174498508774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5.4909887694675409E-15</v>
      </c>
      <c r="BS131" s="24">
        <f t="shared" si="63"/>
        <v>5.4909887694675409E-15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-5.6843418860808015E-13</v>
      </c>
      <c r="BZ131" s="14">
        <f>BY131*VLOOKUP('Données projet'!$B$12,Paramètres!$A$1:$I$89,3,0)*VLOOKUP('Données projet'!$B$12,Paramètres!$A$1:$I$89,5,0)</f>
        <v>-3.39923644787632E-13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288.65195492450403</v>
      </c>
      <c r="CE131" s="62">
        <f t="shared" si="94"/>
        <v>310.66800441693891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5.4686477554955507E-14</v>
      </c>
      <c r="CN131" s="24">
        <f t="shared" si="66"/>
        <v>5.4686477554955507E-14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-6.8212102632969618E-13</v>
      </c>
      <c r="CU131" s="18">
        <f>CT131*VLOOKUP('Données projet'!$B$13,Paramètres!$A$1:$I$89,3,0)*VLOOKUP('Données projet'!$B$13,Paramètres!$A$1:$I$89,5,0)</f>
        <v>-3.0149749363772573E-13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572.6451446653349</v>
      </c>
      <c r="CZ131" s="62">
        <f t="shared" si="96"/>
        <v>389.15977992931374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4</v>
      </c>
      <c r="DO131" s="13">
        <f>IF('Données projet'!$A$166&gt;35,DO130+DN131-DW130,IF(A131&lt;'Données projet'!$A$166,$DL$205^A131,IF(A131='Données projet'!$A$166,'Données projet'!$B$166,DO130+DN131-DW130)))</f>
        <v>315.99999999999983</v>
      </c>
      <c r="DP131" s="18">
        <f>DO131*VLOOKUP('Données projet'!$B$14,Paramètres!$A$1:$I$89,3,0)*VLOOKUP('Données projet'!$B$14,Paramètres!$A$1:$I$89,5,0)</f>
        <v>266.19839999999988</v>
      </c>
      <c r="DQ131" s="14">
        <f t="shared" si="97"/>
        <v>64.041809198373215</v>
      </c>
      <c r="DR131" s="22">
        <f t="shared" si="70"/>
        <v>575.16836435383323</v>
      </c>
      <c r="DS131" s="62">
        <f t="shared" si="71"/>
        <v>868.5016976871666</v>
      </c>
      <c r="DT131" s="62">
        <f ca="1">AVERAGE(OFFSET($DS$3,0,0,'Données projet'!$E$14+1,1))-AVERAGE(OFFSET($H$3,0,0,'Données projet'!$E$14+1,1))</f>
        <v>383.83934938682984</v>
      </c>
      <c r="DU131" s="62">
        <f t="shared" si="98"/>
        <v>223.93106361972281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413.79146683076101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</v>
      </c>
      <c r="N132" s="14">
        <f>IF('Données projet'!$A$36&gt;35,N131+M132-V131,IF(A132&lt;'Données projet'!$A$36,$K$205^A132,IF(A132='Données projet'!$A$36,'Données projet'!$B$36,N131+M132-V131)))</f>
        <v>319.99999999999983</v>
      </c>
      <c r="O132" s="14">
        <f>N132*VLOOKUP('Données projet'!$B$9,Paramètres!$A$1:$I$89,3,0)*VLOOKUP('Données projet'!$B$9,Paramètres!$A$1:$I$89,5,0)</f>
        <v>289.53599999999983</v>
      </c>
      <c r="P132" s="14">
        <f t="shared" si="87"/>
        <v>68.97829509904436</v>
      </c>
      <c r="Q132" s="22">
        <f t="shared" si="108"/>
        <v>624.41239729750191</v>
      </c>
      <c r="R132" s="62">
        <f t="shared" si="109"/>
        <v>917.74573063083517</v>
      </c>
      <c r="S132" s="62">
        <f ca="1">AVERAGE(OFFSET($R$3,0,0,'Données projet'!$E$9+1,1))-AVERAGE(OFFSET($H$3,0,0,'Données projet'!$E$9+1,1))</f>
        <v>415.89259563928869</v>
      </c>
      <c r="T132" s="62">
        <f t="shared" si="88"/>
        <v>240.19413322685813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-3.7243808037601412E-14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214.08705070588002</v>
      </c>
      <c r="AO132" s="62">
        <f t="shared" si="90"/>
        <v>251.33527585147152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-3.2514435588382188E-14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239.41486198585676</v>
      </c>
      <c r="BJ132" s="62">
        <f t="shared" si="92"/>
        <v>224.9174498508774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3.8827153943096743E-15</v>
      </c>
      <c r="BS132" s="24">
        <f t="shared" ref="BS132:BS153" si="117">SUM(BP132:BR132)</f>
        <v>3.8827153943096743E-15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-5.6843418860808015E-13</v>
      </c>
      <c r="BZ132" s="14">
        <f>BY132*VLOOKUP('Données projet'!$B$12,Paramètres!$A$1:$I$89,3,0)*VLOOKUP('Données projet'!$B$12,Paramètres!$A$1:$I$89,5,0)</f>
        <v>-3.39923644787632E-13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288.65195492450403</v>
      </c>
      <c r="CE132" s="62">
        <f t="shared" si="94"/>
        <v>310.66800441693891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3.8669179118314971E-14</v>
      </c>
      <c r="CN132" s="24">
        <f t="shared" ref="CN132:CN153" si="120">SUM(CK132:CM132)</f>
        <v>3.8669179118314971E-14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-6.8212102632969618E-13</v>
      </c>
      <c r="CU132" s="18">
        <f>CT132*VLOOKUP('Données projet'!$B$13,Paramètres!$A$1:$I$89,3,0)*VLOOKUP('Données projet'!$B$13,Paramètres!$A$1:$I$89,5,0)</f>
        <v>-3.0149749363772573E-13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572.6451446653349</v>
      </c>
      <c r="CZ132" s="62">
        <f t="shared" si="96"/>
        <v>389.15977992931374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4</v>
      </c>
      <c r="DO132" s="13">
        <f>IF('Données projet'!$A$166&gt;35,DO131+DN132-DW131,IF(A132&lt;'Données projet'!$A$166,$DL$205^A132,IF(A132='Données projet'!$A$166,'Données projet'!$B$166,DO131+DN132-DW131)))</f>
        <v>319.99999999999983</v>
      </c>
      <c r="DP132" s="18">
        <f>DO132*VLOOKUP('Données projet'!$B$14,Paramètres!$A$1:$I$89,3,0)*VLOOKUP('Données projet'!$B$14,Paramètres!$A$1:$I$89,5,0)</f>
        <v>269.56799999999987</v>
      </c>
      <c r="DQ132" s="14">
        <f t="shared" si="97"/>
        <v>64.757579442439805</v>
      </c>
      <c r="DR132" s="22">
        <f t="shared" ref="DR132:DR153" si="124">(DP132+DQ132)*0.475*44/12</f>
        <v>582.28371752891576</v>
      </c>
      <c r="DS132" s="62">
        <f t="shared" ref="DS132:DS195" si="125">DR132+(DJ132+DK132)*44/12</f>
        <v>875.61705086224902</v>
      </c>
      <c r="DT132" s="62">
        <f ca="1">AVERAGE(OFFSET($DS$3,0,0,'Données projet'!$E$14+1,1))-AVERAGE(OFFSET($H$3,0,0,'Données projet'!$E$14+1,1))</f>
        <v>383.83934938682984</v>
      </c>
      <c r="DU132" s="62">
        <f t="shared" si="98"/>
        <v>223.93106361972281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414.97829522922581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4</v>
      </c>
      <c r="N133" s="14">
        <f>IF('Données projet'!$A$36&gt;35,N132+M133-V132,IF(A133&lt;'Données projet'!$A$36,$K$205^A133,IF(A133='Données projet'!$A$36,'Données projet'!$B$36,N132+M133-V132)))</f>
        <v>323.99999999999983</v>
      </c>
      <c r="O133" s="14">
        <f>N133*VLOOKUP('Données projet'!$B$9,Paramètres!$A$1:$I$89,3,0)*VLOOKUP('Données projet'!$B$9,Paramètres!$A$1:$I$89,5,0)</f>
        <v>293.15519999999987</v>
      </c>
      <c r="P133" s="14">
        <f t="shared" ref="P133:P196" si="141">EXP(-1.0587+0.8836*LN(O133)+0.284)</f>
        <v>69.739608672728551</v>
      </c>
      <c r="Q133" s="22">
        <f t="shared" si="108"/>
        <v>632.0417917716685</v>
      </c>
      <c r="R133" s="62">
        <f t="shared" si="109"/>
        <v>925.37512510500187</v>
      </c>
      <c r="S133" s="62">
        <f ca="1">AVERAGE(OFFSET($R$3,0,0,'Données projet'!$E$9+1,1))-AVERAGE(OFFSET($H$3,0,0,'Données projet'!$E$9+1,1))</f>
        <v>415.89259563928869</v>
      </c>
      <c r="T133" s="62">
        <f t="shared" ref="T133:T196" si="142">$T$3</f>
        <v>240.19413322685813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-3.7243808037601412E-14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214.08705070588002</v>
      </c>
      <c r="AO133" s="62">
        <f t="shared" ref="AO133:AO196" si="144">$AO$3</f>
        <v>251.33527585147152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-3.2514435588382188E-14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239.41486198585676</v>
      </c>
      <c r="BJ133" s="62">
        <f t="shared" ref="BJ133:BJ196" si="146">$BJ$3</f>
        <v>224.9174498508774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2.7454943847337705E-15</v>
      </c>
      <c r="BS133" s="24">
        <f t="shared" si="117"/>
        <v>2.7454943847337705E-15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-5.6843418860808015E-13</v>
      </c>
      <c r="BZ133" s="14">
        <f>BY133*VLOOKUP('Données projet'!$B$12,Paramètres!$A$1:$I$89,3,0)*VLOOKUP('Données projet'!$B$12,Paramètres!$A$1:$I$89,5,0)</f>
        <v>-3.39923644787632E-13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288.65195492450403</v>
      </c>
      <c r="CE133" s="62">
        <f t="shared" ref="CE133:CE196" si="148">$CE$3</f>
        <v>310.66800441693891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2.734323877747776E-14</v>
      </c>
      <c r="CN133" s="24">
        <f t="shared" si="120"/>
        <v>2.734323877747776E-14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-6.8212102632969618E-13</v>
      </c>
      <c r="CU133" s="18">
        <f>CT133*VLOOKUP('Données projet'!$B$13,Paramètres!$A$1:$I$89,3,0)*VLOOKUP('Données projet'!$B$13,Paramètres!$A$1:$I$89,5,0)</f>
        <v>-3.0149749363772573E-13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572.6451446653349</v>
      </c>
      <c r="CZ133" s="62">
        <f t="shared" ref="CZ133:CZ196" si="150">$CZ$3</f>
        <v>389.15977992931374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4</v>
      </c>
      <c r="DO133" s="13">
        <f>IF('Données projet'!$A$166&gt;35,DO132+DN133-DW132,IF(A133&lt;'Données projet'!$A$166,$DL$205^A133,IF(A133='Données projet'!$A$166,'Données projet'!$B$166,DO132+DN133-DW132)))</f>
        <v>323.99999999999983</v>
      </c>
      <c r="DP133" s="18">
        <f>DO133*VLOOKUP('Données projet'!$B$14,Paramètres!$A$1:$I$89,3,0)*VLOOKUP('Données projet'!$B$14,Paramètres!$A$1:$I$89,5,0)</f>
        <v>272.93759999999986</v>
      </c>
      <c r="DQ133" s="14">
        <f t="shared" ref="DQ133:DQ153" si="151">EXP(-1.0587+0.8836*LN(DP133)+0.284)</f>
        <v>65.472308969426166</v>
      </c>
      <c r="DR133" s="22">
        <f t="shared" si="124"/>
        <v>589.39725812175027</v>
      </c>
      <c r="DS133" s="62">
        <f t="shared" si="125"/>
        <v>882.73059145508364</v>
      </c>
      <c r="DT133" s="62">
        <f ca="1">AVERAGE(OFFSET($DS$3,0,0,'Données projet'!$E$14+1,1))-AVERAGE(OFFSET($H$3,0,0,'Données projet'!$E$14+1,1))</f>
        <v>383.83934938682984</v>
      </c>
      <c r="DU133" s="62">
        <f t="shared" ref="DU133:DU196" si="152">$DU$3</f>
        <v>223.93106361972281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416.16491251812465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</v>
      </c>
      <c r="N134" s="14">
        <f>IF('Données projet'!$A$36&gt;35,N133+M134-V133,IF(A134&lt;'Données projet'!$A$36,$K$205^A134,IF(A134='Données projet'!$A$36,'Données projet'!$B$36,N133+M134-V133)))</f>
        <v>327.99999999999983</v>
      </c>
      <c r="O134" s="14">
        <f>N134*VLOOKUP('Données projet'!$B$9,Paramètres!$A$1:$I$89,3,0)*VLOOKUP('Données projet'!$B$9,Paramètres!$A$1:$I$89,5,0)</f>
        <v>296.77439999999984</v>
      </c>
      <c r="P134" s="14">
        <f t="shared" si="141"/>
        <v>70.499828966950673</v>
      </c>
      <c r="Q134" s="22">
        <f t="shared" si="108"/>
        <v>639.6692821174388</v>
      </c>
      <c r="R134" s="62">
        <f t="shared" si="109"/>
        <v>933.00261545077205</v>
      </c>
      <c r="S134" s="62">
        <f ca="1">AVERAGE(OFFSET($R$3,0,0,'Données projet'!$E$9+1,1))-AVERAGE(OFFSET($H$3,0,0,'Données projet'!$E$9+1,1))</f>
        <v>415.89259563928869</v>
      </c>
      <c r="T134" s="62">
        <f t="shared" si="142"/>
        <v>240.19413322685813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-3.7243808037601412E-14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214.08705070588002</v>
      </c>
      <c r="AO134" s="62">
        <f t="shared" si="144"/>
        <v>251.33527585147152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-3.2514435588382188E-14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239.41486198585676</v>
      </c>
      <c r="BJ134" s="62">
        <f t="shared" si="146"/>
        <v>224.9174498508774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1.9413576971548371E-15</v>
      </c>
      <c r="BS134" s="24">
        <f t="shared" si="117"/>
        <v>1.9413576971548371E-15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-5.6843418860808015E-13</v>
      </c>
      <c r="BZ134" s="14">
        <f>BY134*VLOOKUP('Données projet'!$B$12,Paramètres!$A$1:$I$89,3,0)*VLOOKUP('Données projet'!$B$12,Paramètres!$A$1:$I$89,5,0)</f>
        <v>-3.39923644787632E-13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288.65195492450403</v>
      </c>
      <c r="CE134" s="62">
        <f t="shared" si="148"/>
        <v>310.66800441693891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1.9334589559157489E-14</v>
      </c>
      <c r="CN134" s="24">
        <f t="shared" si="120"/>
        <v>1.9334589559157489E-14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-6.8212102632969618E-13</v>
      </c>
      <c r="CU134" s="18">
        <f>CT134*VLOOKUP('Données projet'!$B$13,Paramètres!$A$1:$I$89,3,0)*VLOOKUP('Données projet'!$B$13,Paramètres!$A$1:$I$89,5,0)</f>
        <v>-3.0149749363772573E-13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572.6451446653349</v>
      </c>
      <c r="CZ134" s="62">
        <f t="shared" si="150"/>
        <v>389.15977992931374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4</v>
      </c>
      <c r="DO134" s="13">
        <f>IF('Données projet'!$A$166&gt;35,DO133+DN134-DW133,IF(A134&lt;'Données projet'!$A$166,$DL$205^A134,IF(A134='Données projet'!$A$166,'Données projet'!$B$166,DO133+DN134-DW133)))</f>
        <v>327.99999999999983</v>
      </c>
      <c r="DP134" s="18">
        <f>DO134*VLOOKUP('Données projet'!$B$14,Paramètres!$A$1:$I$89,3,0)*VLOOKUP('Données projet'!$B$14,Paramètres!$A$1:$I$89,5,0)</f>
        <v>276.30719999999991</v>
      </c>
      <c r="DQ134" s="14">
        <f t="shared" si="151"/>
        <v>66.186012113671126</v>
      </c>
      <c r="DR134" s="22">
        <f t="shared" si="124"/>
        <v>596.5090110979769</v>
      </c>
      <c r="DS134" s="62">
        <f t="shared" si="125"/>
        <v>889.84234443131027</v>
      </c>
      <c r="DT134" s="62">
        <f ca="1">AVERAGE(OFFSET($DS$3,0,0,'Données projet'!$E$14+1,1))-AVERAGE(OFFSET($H$3,0,0,'Données projet'!$E$14+1,1))</f>
        <v>383.83934938682984</v>
      </c>
      <c r="DU134" s="62">
        <f t="shared" si="152"/>
        <v>223.93106361972281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417.35132049579823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</v>
      </c>
      <c r="N135" s="14">
        <f>IF('Données projet'!$A$36&gt;35,N134+M135-V134,IF(A135&lt;'Données projet'!$A$36,$K$205^A135,IF(A135='Données projet'!$A$36,'Données projet'!$B$36,N134+M135-V134)))</f>
        <v>331.99999999999983</v>
      </c>
      <c r="O135" s="14">
        <f>N135*VLOOKUP('Données projet'!$B$9,Paramètres!$A$1:$I$89,3,0)*VLOOKUP('Données projet'!$B$9,Paramètres!$A$1:$I$89,5,0)</f>
        <v>300.39359999999982</v>
      </c>
      <c r="P135" s="14">
        <f t="shared" si="141"/>
        <v>71.258970856492667</v>
      </c>
      <c r="Q135" s="22">
        <f t="shared" si="108"/>
        <v>647.29489424172436</v>
      </c>
      <c r="R135" s="62">
        <f t="shared" si="109"/>
        <v>940.62822757505774</v>
      </c>
      <c r="S135" s="62">
        <f ca="1">AVERAGE(OFFSET($R$3,0,0,'Données projet'!$E$9+1,1))-AVERAGE(OFFSET($H$3,0,0,'Données projet'!$E$9+1,1))</f>
        <v>415.89259563928869</v>
      </c>
      <c r="T135" s="62">
        <f t="shared" si="142"/>
        <v>240.19413322685813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-3.7243808037601412E-14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214.08705070588002</v>
      </c>
      <c r="AO135" s="62">
        <f t="shared" si="144"/>
        <v>251.33527585147152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-3.2514435588382188E-14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239.41486198585676</v>
      </c>
      <c r="BJ135" s="62">
        <f t="shared" si="146"/>
        <v>224.9174498508774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1.3727471923668852E-15</v>
      </c>
      <c r="BS135" s="24">
        <f t="shared" si="117"/>
        <v>1.3727471923668852E-15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-5.6843418860808015E-13</v>
      </c>
      <c r="BZ135" s="14">
        <f>BY135*VLOOKUP('Données projet'!$B$12,Paramètres!$A$1:$I$89,3,0)*VLOOKUP('Données projet'!$B$12,Paramètres!$A$1:$I$89,5,0)</f>
        <v>-3.39923644787632E-13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288.65195492450403</v>
      </c>
      <c r="CE135" s="62">
        <f t="shared" si="148"/>
        <v>310.66800441693891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1.3671619388738882E-14</v>
      </c>
      <c r="CN135" s="24">
        <f t="shared" si="120"/>
        <v>1.3671619388738882E-14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-6.8212102632969618E-13</v>
      </c>
      <c r="CU135" s="18">
        <f>CT135*VLOOKUP('Données projet'!$B$13,Paramètres!$A$1:$I$89,3,0)*VLOOKUP('Données projet'!$B$13,Paramètres!$A$1:$I$89,5,0)</f>
        <v>-3.0149749363772573E-13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572.6451446653349</v>
      </c>
      <c r="CZ135" s="62">
        <f t="shared" si="150"/>
        <v>389.15977992931374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4</v>
      </c>
      <c r="DO135" s="13">
        <f>IF('Données projet'!$A$166&gt;35,DO134+DN135-DW134,IF(A135&lt;'Données projet'!$A$166,$DL$205^A135,IF(A135='Données projet'!$A$166,'Données projet'!$B$166,DO134+DN135-DW134)))</f>
        <v>331.99999999999983</v>
      </c>
      <c r="DP135" s="18">
        <f>DO135*VLOOKUP('Données projet'!$B$14,Paramètres!$A$1:$I$89,3,0)*VLOOKUP('Données projet'!$B$14,Paramètres!$A$1:$I$89,5,0)</f>
        <v>279.6767999999999</v>
      </c>
      <c r="DQ135" s="14">
        <f t="shared" si="151"/>
        <v>66.898702839783041</v>
      </c>
      <c r="DR135" s="22">
        <f t="shared" si="124"/>
        <v>603.61900077928851</v>
      </c>
      <c r="DS135" s="62">
        <f t="shared" si="125"/>
        <v>896.95233411262188</v>
      </c>
      <c r="DT135" s="62">
        <f ca="1">AVERAGE(OFFSET($DS$3,0,0,'Données projet'!$E$14+1,1))-AVERAGE(OFFSET($H$3,0,0,'Données projet'!$E$14+1,1))</f>
        <v>383.83934938682984</v>
      </c>
      <c r="DU135" s="62">
        <f t="shared" si="152"/>
        <v>223.93106361972281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418.5375209317657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</v>
      </c>
      <c r="N136" s="14">
        <f>IF('Données projet'!$A$36&gt;35,N135+M136-V135,IF(A136&lt;'Données projet'!$A$36,$K$205^A136,IF(A136='Données projet'!$A$36,'Données projet'!$B$36,N135+M136-V135)))</f>
        <v>335.99999999999983</v>
      </c>
      <c r="O136" s="14">
        <f>N136*VLOOKUP('Données projet'!$B$9,Paramètres!$A$1:$I$89,3,0)*VLOOKUP('Données projet'!$B$9,Paramètres!$A$1:$I$89,5,0)</f>
        <v>304.0127999999998</v>
      </c>
      <c r="P136" s="14">
        <f t="shared" si="141"/>
        <v>72.017048837085824</v>
      </c>
      <c r="Q136" s="22">
        <f t="shared" si="108"/>
        <v>654.91865339125741</v>
      </c>
      <c r="R136" s="62">
        <f t="shared" si="109"/>
        <v>948.25198672459078</v>
      </c>
      <c r="S136" s="62">
        <f ca="1">AVERAGE(OFFSET($R$3,0,0,'Données projet'!$E$9+1,1))-AVERAGE(OFFSET($H$3,0,0,'Données projet'!$E$9+1,1))</f>
        <v>415.89259563928869</v>
      </c>
      <c r="T136" s="62">
        <f t="shared" si="142"/>
        <v>240.19413322685813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-3.7243808037601412E-14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214.08705070588002</v>
      </c>
      <c r="AO136" s="62">
        <f t="shared" si="144"/>
        <v>251.33527585147152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-3.2514435588382188E-14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239.41486198585676</v>
      </c>
      <c r="BJ136" s="62">
        <f t="shared" si="146"/>
        <v>224.9174498508774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9.7067884857741857E-16</v>
      </c>
      <c r="BS136" s="24">
        <f t="shared" si="117"/>
        <v>9.7067884857741857E-16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-5.6843418860808015E-13</v>
      </c>
      <c r="BZ136" s="14">
        <f>BY136*VLOOKUP('Données projet'!$B$12,Paramètres!$A$1:$I$89,3,0)*VLOOKUP('Données projet'!$B$12,Paramètres!$A$1:$I$89,5,0)</f>
        <v>-3.39923644787632E-13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288.65195492450403</v>
      </c>
      <c r="CE136" s="62">
        <f t="shared" si="148"/>
        <v>310.66800441693891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9.667294779578746E-15</v>
      </c>
      <c r="CN136" s="24">
        <f t="shared" si="120"/>
        <v>9.667294779578746E-15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-6.8212102632969618E-13</v>
      </c>
      <c r="CU136" s="18">
        <f>CT136*VLOOKUP('Données projet'!$B$13,Paramètres!$A$1:$I$89,3,0)*VLOOKUP('Données projet'!$B$13,Paramètres!$A$1:$I$89,5,0)</f>
        <v>-3.0149749363772573E-13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572.6451446653349</v>
      </c>
      <c r="CZ136" s="62">
        <f t="shared" si="150"/>
        <v>389.15977992931374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4</v>
      </c>
      <c r="DO136" s="13">
        <f>IF('Données projet'!$A$166&gt;35,DO135+DN136-DW135,IF(A136&lt;'Données projet'!$A$166,$DL$205^A136,IF(A136='Données projet'!$A$166,'Données projet'!$B$166,DO135+DN136-DW135)))</f>
        <v>335.99999999999983</v>
      </c>
      <c r="DP136" s="18">
        <f>DO136*VLOOKUP('Données projet'!$B$14,Paramètres!$A$1:$I$89,3,0)*VLOOKUP('Données projet'!$B$14,Paramètres!$A$1:$I$89,5,0)</f>
        <v>283.04639999999989</v>
      </c>
      <c r="DQ136" s="14">
        <f t="shared" si="151"/>
        <v>67.610394756513259</v>
      </c>
      <c r="DR136" s="22">
        <f t="shared" si="124"/>
        <v>610.72725086759363</v>
      </c>
      <c r="DS136" s="62">
        <f t="shared" si="125"/>
        <v>904.060584200927</v>
      </c>
      <c r="DT136" s="62">
        <f ca="1">AVERAGE(OFFSET($DS$3,0,0,'Données projet'!$E$14+1,1))-AVERAGE(OFFSET($H$3,0,0,'Données projet'!$E$14+1,1))</f>
        <v>383.83934938682984</v>
      </c>
      <c r="DU136" s="62">
        <f t="shared" si="152"/>
        <v>223.93106361972281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419.72351556739994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</v>
      </c>
      <c r="N137" s="14">
        <f>IF('Données projet'!$A$36&gt;35,N136+M137-V136,IF(A137&lt;'Données projet'!$A$36,$K$205^A137,IF(A137='Données projet'!$A$36,'Données projet'!$B$36,N136+M137-V136)))</f>
        <v>339.99999999999983</v>
      </c>
      <c r="O137" s="14">
        <f>N137*VLOOKUP('Données projet'!$B$9,Paramètres!$A$1:$I$89,3,0)*VLOOKUP('Données projet'!$B$9,Paramètres!$A$1:$I$89,5,0)</f>
        <v>307.63199999999983</v>
      </c>
      <c r="P137" s="14">
        <f t="shared" si="141"/>
        <v>72.774077039465496</v>
      </c>
      <c r="Q137" s="22">
        <f t="shared" si="108"/>
        <v>662.54058417706881</v>
      </c>
      <c r="R137" s="62">
        <f t="shared" si="109"/>
        <v>955.87391751040218</v>
      </c>
      <c r="S137" s="62">
        <f ca="1">AVERAGE(OFFSET($R$3,0,0,'Données projet'!$E$9+1,1))-AVERAGE(OFFSET($H$3,0,0,'Données projet'!$E$9+1,1))</f>
        <v>415.89259563928869</v>
      </c>
      <c r="T137" s="62">
        <f t="shared" si="142"/>
        <v>240.19413322685813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-3.7243808037601412E-14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214.08705070588002</v>
      </c>
      <c r="AO137" s="62">
        <f t="shared" si="144"/>
        <v>251.33527585147152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-3.2514435588382188E-14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239.41486198585676</v>
      </c>
      <c r="BJ137" s="62">
        <f t="shared" si="146"/>
        <v>224.9174498508774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6.8637359618344261E-16</v>
      </c>
      <c r="BS137" s="24">
        <f t="shared" si="117"/>
        <v>6.8637359618344261E-16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-5.6843418860808015E-13</v>
      </c>
      <c r="BZ137" s="14">
        <f>BY137*VLOOKUP('Données projet'!$B$12,Paramètres!$A$1:$I$89,3,0)*VLOOKUP('Données projet'!$B$12,Paramètres!$A$1:$I$89,5,0)</f>
        <v>-3.39923644787632E-13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288.65195492450403</v>
      </c>
      <c r="CE137" s="62">
        <f t="shared" si="148"/>
        <v>310.66800441693891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6.8358096943694424E-15</v>
      </c>
      <c r="CN137" s="24">
        <f t="shared" si="120"/>
        <v>6.8358096943694424E-15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-6.8212102632969618E-13</v>
      </c>
      <c r="CU137" s="18">
        <f>CT137*VLOOKUP('Données projet'!$B$13,Paramètres!$A$1:$I$89,3,0)*VLOOKUP('Données projet'!$B$13,Paramètres!$A$1:$I$89,5,0)</f>
        <v>-3.0149749363772573E-13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572.6451446653349</v>
      </c>
      <c r="CZ137" s="62">
        <f t="shared" si="150"/>
        <v>389.15977992931374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4</v>
      </c>
      <c r="DO137" s="13">
        <f>IF('Données projet'!$A$166&gt;35,DO136+DN137-DW136,IF(A137&lt;'Données projet'!$A$166,$DL$205^A137,IF(A137='Données projet'!$A$166,'Données projet'!$B$166,DO136+DN137-DW136)))</f>
        <v>339.99999999999983</v>
      </c>
      <c r="DP137" s="18">
        <f>DO137*VLOOKUP('Données projet'!$B$14,Paramètres!$A$1:$I$89,3,0)*VLOOKUP('Données projet'!$B$14,Paramètres!$A$1:$I$89,5,0)</f>
        <v>286.41599999999988</v>
      </c>
      <c r="DQ137" s="14">
        <f t="shared" si="151"/>
        <v>68.321101129951188</v>
      </c>
      <c r="DR137" s="22">
        <f t="shared" si="124"/>
        <v>617.83378446799804</v>
      </c>
      <c r="DS137" s="62">
        <f t="shared" si="125"/>
        <v>911.16711780133141</v>
      </c>
      <c r="DT137" s="62">
        <f ca="1">AVERAGE(OFFSET($DS$3,0,0,'Données projet'!$E$14+1,1))-AVERAGE(OFFSET($H$3,0,0,'Données projet'!$E$14+1,1))</f>
        <v>383.83934938682984</v>
      </c>
      <c r="DU137" s="62">
        <f t="shared" si="152"/>
        <v>223.93106361972281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420.90930611658149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344</v>
      </c>
      <c r="L138" s="13">
        <f>VLOOKUP(A138,'Données projet'!$A$35:$I$55,9,0)</f>
        <v>4</v>
      </c>
      <c r="M138" s="13">
        <f t="array" ref="M138">INDEX(L:L,MIN(IF(ISNUMBER(L138:L334),ROW(L138:L334),"")))</f>
        <v>4</v>
      </c>
      <c r="N138" s="14">
        <f>IF('Données projet'!$A$36&gt;35,N137+M138-V137,IF(A138&lt;'Données projet'!$A$36,$K$205^A138,IF(A138='Données projet'!$A$36,'Données projet'!$B$36,N137+M138-V137)))</f>
        <v>343.99999999999983</v>
      </c>
      <c r="O138" s="14">
        <f>N138*VLOOKUP('Données projet'!$B$9,Paramètres!$A$1:$I$89,3,0)*VLOOKUP('Données projet'!$B$9,Paramètres!$A$1:$I$89,5,0)</f>
        <v>311.25119999999987</v>
      </c>
      <c r="P138" s="14">
        <f t="shared" si="141"/>
        <v>73.530069242745043</v>
      </c>
      <c r="Q138" s="22">
        <f t="shared" si="108"/>
        <v>670.16071059778062</v>
      </c>
      <c r="R138" s="62">
        <f t="shared" si="109"/>
        <v>963.49404393111399</v>
      </c>
      <c r="S138" s="62">
        <f ca="1">AVERAGE(OFFSET($R$3,0,0,'Données projet'!$E$9+1,1))-AVERAGE(OFFSET($H$3,0,0,'Données projet'!$E$9+1,1))</f>
        <v>415.89259563928869</v>
      </c>
      <c r="T138" s="62">
        <f t="shared" si="142"/>
        <v>240.19413322685813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43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-3.7243808037601412E-14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214.08705070588002</v>
      </c>
      <c r="AO138" s="62">
        <f t="shared" si="144"/>
        <v>251.33527585147152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-3.2514435588382188E-14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239.41486198585676</v>
      </c>
      <c r="BJ138" s="62">
        <f t="shared" si="146"/>
        <v>224.9174498508774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4.8533942428870929E-16</v>
      </c>
      <c r="BS138" s="24">
        <f t="shared" si="117"/>
        <v>4.8533942428870929E-16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-5.6843418860808015E-13</v>
      </c>
      <c r="BZ138" s="14">
        <f>BY138*VLOOKUP('Données projet'!$B$12,Paramètres!$A$1:$I$89,3,0)*VLOOKUP('Données projet'!$B$12,Paramètres!$A$1:$I$89,5,0)</f>
        <v>-3.39923644787632E-13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288.65195492450403</v>
      </c>
      <c r="CE138" s="62">
        <f t="shared" si="148"/>
        <v>310.66800441693891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4.8336473897893738E-15</v>
      </c>
      <c r="CN138" s="24">
        <f t="shared" si="120"/>
        <v>4.8336473897893738E-15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-6.8212102632969618E-13</v>
      </c>
      <c r="CU138" s="18">
        <f>CT138*VLOOKUP('Données projet'!$B$13,Paramètres!$A$1:$I$89,3,0)*VLOOKUP('Données projet'!$B$13,Paramètres!$A$1:$I$89,5,0)</f>
        <v>-3.0149749363772573E-13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572.6451446653349</v>
      </c>
      <c r="CZ138" s="62">
        <f t="shared" si="150"/>
        <v>389.15977992931374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>
        <f>VLOOKUP(A138,'Données projet'!$A$165:$I$185,2,0)</f>
        <v>344</v>
      </c>
      <c r="DM138" s="13">
        <f>VLOOKUP(A138,'Données projet'!$A$165:$I$185,9,0)</f>
        <v>4</v>
      </c>
      <c r="DN138" s="13">
        <f t="array" ref="DN138">INDEX(DM:DM,MIN(IF(ISNUMBER(DM138:DM334),ROW(DM138:DM334),"")))</f>
        <v>4</v>
      </c>
      <c r="DO138" s="13">
        <f>IF('Données projet'!$A$166&gt;35,DO137+DN138-DW137,IF(A138&lt;'Données projet'!$A$166,$DL$205^A138,IF(A138='Données projet'!$A$166,'Données projet'!$B$166,DO137+DN138-DW137)))</f>
        <v>343.99999999999983</v>
      </c>
      <c r="DP138" s="18">
        <f>DO138*VLOOKUP('Données projet'!$B$14,Paramètres!$A$1:$I$89,3,0)*VLOOKUP('Données projet'!$B$14,Paramètres!$A$1:$I$89,5,0)</f>
        <v>289.78559999999993</v>
      </c>
      <c r="DQ138" s="14">
        <f t="shared" si="151"/>
        <v>69.030834896079284</v>
      </c>
      <c r="DR138" s="22">
        <f t="shared" si="124"/>
        <v>624.93862411067119</v>
      </c>
      <c r="DS138" s="62">
        <f t="shared" si="125"/>
        <v>918.27195744400456</v>
      </c>
      <c r="DT138" s="62">
        <f ca="1">AVERAGE(OFFSET($DS$3,0,0,'Données projet'!$E$14+1,1))-AVERAGE(OFFSET($H$3,0,0,'Données projet'!$E$14+1,1))</f>
        <v>383.83934938682984</v>
      </c>
      <c r="DU138" s="62">
        <f t="shared" si="152"/>
        <v>223.93106361972281</v>
      </c>
      <c r="DV138" s="16">
        <f>IF(ISNA(VLOOKUP(A138,'Données projet'!$A$165:$I$185,3,0)),0,VLOOKUP(A138,'Données projet'!$A$165:$I$185,3,0))</f>
        <v>12</v>
      </c>
      <c r="DW138" s="16">
        <f>IF(ISNA(VLOOKUP(A138,'Données projet'!$A$165:$I$185,4,0)),0,VLOOKUP(A138,'Données projet'!$A$165:$I$185,4,0))</f>
        <v>43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422.09489426633343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3.7</v>
      </c>
      <c r="N139" s="14">
        <f>IF('Données projet'!$A$36&gt;35,N138+M139-V138,IF(A139&lt;'Données projet'!$A$36,$K$205^A139,IF(A139='Données projet'!$A$36,'Données projet'!$B$36,N138+M139-V138)))</f>
        <v>304.69999999999982</v>
      </c>
      <c r="O139" s="14">
        <f>N139*VLOOKUP('Données projet'!$B$9,Paramètres!$A$1:$I$89,3,0)*VLOOKUP('Données projet'!$B$9,Paramètres!$A$1:$I$89,5,0)</f>
        <v>275.69255999999984</v>
      </c>
      <c r="P139" s="14">
        <f t="shared" si="141"/>
        <v>66.055903272516787</v>
      </c>
      <c r="Q139" s="22">
        <f t="shared" si="108"/>
        <v>595.21190686629973</v>
      </c>
      <c r="R139" s="62">
        <f t="shared" si="109"/>
        <v>888.5452401996331</v>
      </c>
      <c r="S139" s="62">
        <f ca="1">AVERAGE(OFFSET($R$3,0,0,'Données projet'!$E$9+1,1))-AVERAGE(OFFSET($H$3,0,0,'Données projet'!$E$9+1,1))</f>
        <v>415.89259563928869</v>
      </c>
      <c r="T139" s="62">
        <f t="shared" si="142"/>
        <v>240.19413322685813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-3.7243808037601412E-14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214.08705070588002</v>
      </c>
      <c r="AO139" s="62">
        <f t="shared" si="144"/>
        <v>251.33527585147152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-3.2514435588382188E-14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239.41486198585676</v>
      </c>
      <c r="BJ139" s="62">
        <f t="shared" si="146"/>
        <v>224.9174498508774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3.4318679809172131E-16</v>
      </c>
      <c r="BS139" s="24">
        <f t="shared" si="117"/>
        <v>3.4318679809172131E-16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-5.6843418860808015E-13</v>
      </c>
      <c r="BZ139" s="14">
        <f>BY139*VLOOKUP('Données projet'!$B$12,Paramètres!$A$1:$I$89,3,0)*VLOOKUP('Données projet'!$B$12,Paramètres!$A$1:$I$89,5,0)</f>
        <v>-3.39923644787632E-13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288.65195492450403</v>
      </c>
      <c r="CE139" s="62">
        <f t="shared" si="148"/>
        <v>310.66800441693891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3.4179048471847216E-15</v>
      </c>
      <c r="CN139" s="24">
        <f t="shared" si="120"/>
        <v>3.4179048471847216E-15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-6.8212102632969618E-13</v>
      </c>
      <c r="CU139" s="18">
        <f>CT139*VLOOKUP('Données projet'!$B$13,Paramètres!$A$1:$I$89,3,0)*VLOOKUP('Données projet'!$B$13,Paramètres!$A$1:$I$89,5,0)</f>
        <v>-3.0149749363772573E-13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572.6451446653349</v>
      </c>
      <c r="CZ139" s="62">
        <f t="shared" si="150"/>
        <v>389.15977992931374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3.7</v>
      </c>
      <c r="DO139" s="13">
        <f>IF('Données projet'!$A$166&gt;35,DO138+DN139-DW138,IF(A139&lt;'Données projet'!$A$166,$DL$205^A139,IF(A139='Données projet'!$A$166,'Données projet'!$B$166,DO138+DN139-DW138)))</f>
        <v>304.69999999999982</v>
      </c>
      <c r="DP139" s="18">
        <f>DO139*VLOOKUP('Données projet'!$B$14,Paramètres!$A$1:$I$89,3,0)*VLOOKUP('Données projet'!$B$14,Paramètres!$A$1:$I$89,5,0)</f>
        <v>256.67927999999989</v>
      </c>
      <c r="DQ139" s="14">
        <f t="shared" si="151"/>
        <v>62.014005966224417</v>
      </c>
      <c r="DR139" s="22">
        <f t="shared" si="124"/>
        <v>555.05747305784064</v>
      </c>
      <c r="DS139" s="62">
        <f t="shared" si="125"/>
        <v>848.39080639117401</v>
      </c>
      <c r="DT139" s="62">
        <f ca="1">AVERAGE(OFFSET($DS$3,0,0,'Données projet'!$E$14+1,1))-AVERAGE(OFFSET($H$3,0,0,'Données projet'!$E$14+1,1))</f>
        <v>383.83934938682984</v>
      </c>
      <c r="DU139" s="62">
        <f t="shared" si="152"/>
        <v>223.93106361972281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423.28028167743605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3.7</v>
      </c>
      <c r="N140" s="14">
        <f>IF('Données projet'!$A$36&gt;35,N139+M140-V139,IF(A140&lt;'Données projet'!$A$36,$K$205^A140,IF(A140='Données projet'!$A$36,'Données projet'!$B$36,N139+M140-V139)))</f>
        <v>308.39999999999981</v>
      </c>
      <c r="O140" s="14">
        <f>N140*VLOOKUP('Données projet'!$B$9,Paramètres!$A$1:$I$89,3,0)*VLOOKUP('Données projet'!$B$9,Paramètres!$A$1:$I$89,5,0)</f>
        <v>279.04031999999984</v>
      </c>
      <c r="P140" s="14">
        <f t="shared" si="141"/>
        <v>66.764160402487647</v>
      </c>
      <c r="Q140" s="22">
        <f t="shared" si="108"/>
        <v>602.2761367009989</v>
      </c>
      <c r="R140" s="62">
        <f t="shared" si="109"/>
        <v>895.60947003433216</v>
      </c>
      <c r="S140" s="62">
        <f ca="1">AVERAGE(OFFSET($R$3,0,0,'Données projet'!$E$9+1,1))-AVERAGE(OFFSET($H$3,0,0,'Données projet'!$E$9+1,1))</f>
        <v>415.89259563928869</v>
      </c>
      <c r="T140" s="62">
        <f t="shared" si="142"/>
        <v>240.19413322685813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-3.7243808037601412E-14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214.08705070588002</v>
      </c>
      <c r="AO140" s="62">
        <f t="shared" si="144"/>
        <v>251.33527585147152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-3.2514435588382188E-14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239.41486198585676</v>
      </c>
      <c r="BJ140" s="62">
        <f t="shared" si="146"/>
        <v>224.9174498508774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2.4266971214435464E-16</v>
      </c>
      <c r="BS140" s="24">
        <f t="shared" si="117"/>
        <v>2.4266971214435464E-16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-5.6843418860808015E-13</v>
      </c>
      <c r="BZ140" s="14">
        <f>BY140*VLOOKUP('Données projet'!$B$12,Paramètres!$A$1:$I$89,3,0)*VLOOKUP('Données projet'!$B$12,Paramètres!$A$1:$I$89,5,0)</f>
        <v>-3.39923644787632E-13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288.65195492450403</v>
      </c>
      <c r="CE140" s="62">
        <f t="shared" si="148"/>
        <v>310.66800441693891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2.4168236948946873E-15</v>
      </c>
      <c r="CN140" s="24">
        <f t="shared" si="120"/>
        <v>2.4168236948946873E-15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-6.8212102632969618E-13</v>
      </c>
      <c r="CU140" s="18">
        <f>CT140*VLOOKUP('Données projet'!$B$13,Paramètres!$A$1:$I$89,3,0)*VLOOKUP('Données projet'!$B$13,Paramètres!$A$1:$I$89,5,0)</f>
        <v>-3.0149749363772573E-13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572.6451446653349</v>
      </c>
      <c r="CZ140" s="62">
        <f t="shared" si="150"/>
        <v>389.15977992931374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3.7</v>
      </c>
      <c r="DO140" s="13">
        <f>IF('Données projet'!$A$166&gt;35,DO139+DN140-DW139,IF(A140&lt;'Données projet'!$A$166,$DL$205^A140,IF(A140='Données projet'!$A$166,'Données projet'!$B$166,DO139+DN140-DW139)))</f>
        <v>308.39999999999981</v>
      </c>
      <c r="DP140" s="18">
        <f>DO140*VLOOKUP('Données projet'!$B$14,Paramètres!$A$1:$I$89,3,0)*VLOOKUP('Données projet'!$B$14,Paramètres!$A$1:$I$89,5,0)</f>
        <v>259.79615999999987</v>
      </c>
      <c r="DQ140" s="14">
        <f t="shared" si="151"/>
        <v>62.678925522353047</v>
      </c>
      <c r="DR140" s="22">
        <f t="shared" si="124"/>
        <v>561.64410728476457</v>
      </c>
      <c r="DS140" s="62">
        <f t="shared" si="125"/>
        <v>854.97744061809794</v>
      </c>
      <c r="DT140" s="62">
        <f ca="1">AVERAGE(OFFSET($DS$3,0,0,'Données projet'!$E$14+1,1))-AVERAGE(OFFSET($H$3,0,0,'Données projet'!$E$14+1,1))</f>
        <v>383.83934938682984</v>
      </c>
      <c r="DU140" s="62">
        <f t="shared" si="152"/>
        <v>223.93106361972281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424.46546998502401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3.7</v>
      </c>
      <c r="N141" s="14">
        <f>IF('Données projet'!$A$36&gt;35,N140+M141-V140,IF(A141&lt;'Données projet'!$A$36,$K$205^A141,IF(A141='Données projet'!$A$36,'Données projet'!$B$36,N140+M141-V140)))</f>
        <v>312.0999999999998</v>
      </c>
      <c r="O141" s="14">
        <f>N141*VLOOKUP('Données projet'!$B$9,Paramètres!$A$1:$I$89,3,0)*VLOOKUP('Données projet'!$B$9,Paramètres!$A$1:$I$89,5,0)</f>
        <v>282.38807999999977</v>
      </c>
      <c r="P141" s="14">
        <f t="shared" si="141"/>
        <v>67.471429117981913</v>
      </c>
      <c r="Q141" s="22">
        <f t="shared" si="108"/>
        <v>609.33864504715143</v>
      </c>
      <c r="R141" s="62">
        <f t="shared" si="109"/>
        <v>902.67197838048469</v>
      </c>
      <c r="S141" s="62">
        <f ca="1">AVERAGE(OFFSET($R$3,0,0,'Données projet'!$E$9+1,1))-AVERAGE(OFFSET($H$3,0,0,'Données projet'!$E$9+1,1))</f>
        <v>415.89259563928869</v>
      </c>
      <c r="T141" s="62">
        <f t="shared" si="142"/>
        <v>240.19413322685813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-3.7243808037601412E-14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214.08705070588002</v>
      </c>
      <c r="AO141" s="62">
        <f t="shared" si="144"/>
        <v>251.33527585147152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-3.2514435588382188E-14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239.41486198585676</v>
      </c>
      <c r="BJ141" s="62">
        <f t="shared" si="146"/>
        <v>224.9174498508774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1.7159339904586065E-16</v>
      </c>
      <c r="BS141" s="24">
        <f t="shared" si="117"/>
        <v>1.7159339904586065E-16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-5.6843418860808015E-13</v>
      </c>
      <c r="BZ141" s="14">
        <f>BY141*VLOOKUP('Données projet'!$B$12,Paramètres!$A$1:$I$89,3,0)*VLOOKUP('Données projet'!$B$12,Paramètres!$A$1:$I$89,5,0)</f>
        <v>-3.39923644787632E-13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288.65195492450403</v>
      </c>
      <c r="CE141" s="62">
        <f t="shared" si="148"/>
        <v>310.66800441693891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1.708952423592361E-15</v>
      </c>
      <c r="CN141" s="24">
        <f t="shared" si="120"/>
        <v>1.708952423592361E-15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-6.8212102632969618E-13</v>
      </c>
      <c r="CU141" s="18">
        <f>CT141*VLOOKUP('Données projet'!$B$13,Paramètres!$A$1:$I$89,3,0)*VLOOKUP('Données projet'!$B$13,Paramètres!$A$1:$I$89,5,0)</f>
        <v>-3.0149749363772573E-13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572.6451446653349</v>
      </c>
      <c r="CZ141" s="62">
        <f t="shared" si="150"/>
        <v>389.15977992931374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3.7</v>
      </c>
      <c r="DO141" s="13">
        <f>IF('Données projet'!$A$166&gt;35,DO140+DN141-DW140,IF(A141&lt;'Données projet'!$A$166,$DL$205^A141,IF(A141='Données projet'!$A$166,'Données projet'!$B$166,DO140+DN141-DW140)))</f>
        <v>312.0999999999998</v>
      </c>
      <c r="DP141" s="18">
        <f>DO141*VLOOKUP('Données projet'!$B$14,Paramètres!$A$1:$I$89,3,0)*VLOOKUP('Données projet'!$B$14,Paramètres!$A$1:$I$89,5,0)</f>
        <v>262.91303999999985</v>
      </c>
      <c r="DQ141" s="14">
        <f t="shared" si="151"/>
        <v>63.342917144137949</v>
      </c>
      <c r="DR141" s="22">
        <f t="shared" si="124"/>
        <v>568.22912535937337</v>
      </c>
      <c r="DS141" s="62">
        <f t="shared" si="125"/>
        <v>861.56245869270674</v>
      </c>
      <c r="DT141" s="62">
        <f ca="1">AVERAGE(OFFSET($DS$3,0,0,'Données projet'!$E$14+1,1))-AVERAGE(OFFSET($H$3,0,0,'Données projet'!$E$14+1,1))</f>
        <v>383.83934938682984</v>
      </c>
      <c r="DU141" s="62">
        <f t="shared" si="152"/>
        <v>223.93106361972281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425.6504607991651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3.7</v>
      </c>
      <c r="N142" s="14">
        <f>IF('Données projet'!$A$36&gt;35,N141+M142-V141,IF(A142&lt;'Données projet'!$A$36,$K$205^A142,IF(A142='Données projet'!$A$36,'Données projet'!$B$36,N141+M142-V141)))</f>
        <v>315.79999999999978</v>
      </c>
      <c r="O142" s="14">
        <f>N142*VLOOKUP('Données projet'!$B$9,Paramètres!$A$1:$I$89,3,0)*VLOOKUP('Données projet'!$B$9,Paramètres!$A$1:$I$89,5,0)</f>
        <v>285.73583999999983</v>
      </c>
      <c r="P142" s="14">
        <f t="shared" si="141"/>
        <v>68.177722492374656</v>
      </c>
      <c r="Q142" s="22">
        <f t="shared" si="108"/>
        <v>616.39945467421887</v>
      </c>
      <c r="R142" s="62">
        <f t="shared" si="109"/>
        <v>909.73278800755224</v>
      </c>
      <c r="S142" s="62">
        <f ca="1">AVERAGE(OFFSET($R$3,0,0,'Données projet'!$E$9+1,1))-AVERAGE(OFFSET($H$3,0,0,'Données projet'!$E$9+1,1))</f>
        <v>415.89259563928869</v>
      </c>
      <c r="T142" s="62">
        <f t="shared" si="142"/>
        <v>240.19413322685813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-3.7243808037601412E-14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214.08705070588002</v>
      </c>
      <c r="AO142" s="62">
        <f t="shared" si="144"/>
        <v>251.33527585147152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-3.2514435588382188E-14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239.41486198585676</v>
      </c>
      <c r="BJ142" s="62">
        <f t="shared" si="146"/>
        <v>224.9174498508774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1.2133485607217732E-16</v>
      </c>
      <c r="BS142" s="24">
        <f t="shared" si="117"/>
        <v>1.2133485607217732E-16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-5.6843418860808015E-13</v>
      </c>
      <c r="BZ142" s="14">
        <f>BY142*VLOOKUP('Données projet'!$B$12,Paramètres!$A$1:$I$89,3,0)*VLOOKUP('Données projet'!$B$12,Paramètres!$A$1:$I$89,5,0)</f>
        <v>-3.39923644787632E-13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288.65195492450403</v>
      </c>
      <c r="CE142" s="62">
        <f t="shared" si="148"/>
        <v>310.66800441693891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1.2084118474473438E-15</v>
      </c>
      <c r="CN142" s="24">
        <f t="shared" si="120"/>
        <v>1.2084118474473438E-15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-6.8212102632969618E-13</v>
      </c>
      <c r="CU142" s="18">
        <f>CT142*VLOOKUP('Données projet'!$B$13,Paramètres!$A$1:$I$89,3,0)*VLOOKUP('Données projet'!$B$13,Paramètres!$A$1:$I$89,5,0)</f>
        <v>-3.0149749363772573E-13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572.6451446653349</v>
      </c>
      <c r="CZ142" s="62">
        <f t="shared" si="150"/>
        <v>389.15977992931374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3.7</v>
      </c>
      <c r="DO142" s="13">
        <f>IF('Données projet'!$A$166&gt;35,DO141+DN142-DW141,IF(A142&lt;'Données projet'!$A$166,$DL$205^A142,IF(A142='Données projet'!$A$166,'Données projet'!$B$166,DO141+DN142-DW141)))</f>
        <v>315.79999999999978</v>
      </c>
      <c r="DP142" s="18">
        <f>DO142*VLOOKUP('Données projet'!$B$14,Paramètres!$A$1:$I$89,3,0)*VLOOKUP('Données projet'!$B$14,Paramètres!$A$1:$I$89,5,0)</f>
        <v>266.02991999999983</v>
      </c>
      <c r="DQ142" s="14">
        <f t="shared" si="151"/>
        <v>64.005993105006922</v>
      </c>
      <c r="DR142" s="22">
        <f t="shared" si="124"/>
        <v>574.81254865788685</v>
      </c>
      <c r="DS142" s="62">
        <f t="shared" si="125"/>
        <v>868.14588199122022</v>
      </c>
      <c r="DT142" s="62">
        <f ca="1">AVERAGE(OFFSET($DS$3,0,0,'Données projet'!$E$14+1,1))-AVERAGE(OFFSET($H$3,0,0,'Données projet'!$E$14+1,1))</f>
        <v>383.83934938682984</v>
      </c>
      <c r="DU142" s="62">
        <f t="shared" si="152"/>
        <v>223.93106361972281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426.8352557054219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3.7</v>
      </c>
      <c r="N143" s="14">
        <f>IF('Données projet'!$A$36&gt;35,N142+M143-V142,IF(A143&lt;'Données projet'!$A$36,$K$205^A143,IF(A143='Données projet'!$A$36,'Données projet'!$B$36,N142+M143-V142)))</f>
        <v>319.49999999999977</v>
      </c>
      <c r="O143" s="14">
        <f>N143*VLOOKUP('Données projet'!$B$9,Paramètres!$A$1:$I$89,3,0)*VLOOKUP('Données projet'!$B$9,Paramètres!$A$1:$I$89,5,0)</f>
        <v>289.08359999999982</v>
      </c>
      <c r="P143" s="14">
        <f t="shared" si="141"/>
        <v>68.883053275068107</v>
      </c>
      <c r="Q143" s="22">
        <f t="shared" si="108"/>
        <v>623.4585877874099</v>
      </c>
      <c r="R143" s="62">
        <f t="shared" si="109"/>
        <v>916.79192112074315</v>
      </c>
      <c r="S143" s="62">
        <f ca="1">AVERAGE(OFFSET($R$3,0,0,'Données projet'!$E$9+1,1))-AVERAGE(OFFSET($H$3,0,0,'Données projet'!$E$9+1,1))</f>
        <v>415.89259563928869</v>
      </c>
      <c r="T143" s="62">
        <f t="shared" si="142"/>
        <v>240.19413322685813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-3.7243808037601412E-14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214.08705070588002</v>
      </c>
      <c r="AO143" s="62">
        <f t="shared" si="144"/>
        <v>251.33527585147152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-3.2514435588382188E-14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239.41486198585676</v>
      </c>
      <c r="BJ143" s="62">
        <f t="shared" si="146"/>
        <v>224.9174498508774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8.5796699522930327E-17</v>
      </c>
      <c r="BS143" s="24">
        <f t="shared" si="117"/>
        <v>8.5796699522930327E-17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-5.6843418860808015E-13</v>
      </c>
      <c r="BZ143" s="14">
        <f>BY143*VLOOKUP('Données projet'!$B$12,Paramètres!$A$1:$I$89,3,0)*VLOOKUP('Données projet'!$B$12,Paramètres!$A$1:$I$89,5,0)</f>
        <v>-3.39923644787632E-13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288.65195492450403</v>
      </c>
      <c r="CE143" s="62">
        <f t="shared" si="148"/>
        <v>310.66800441693891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8.5447621179618069E-16</v>
      </c>
      <c r="CN143" s="24">
        <f t="shared" si="120"/>
        <v>8.5447621179618069E-16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-6.8212102632969618E-13</v>
      </c>
      <c r="CU143" s="18">
        <f>CT143*VLOOKUP('Données projet'!$B$13,Paramètres!$A$1:$I$89,3,0)*VLOOKUP('Données projet'!$B$13,Paramètres!$A$1:$I$89,5,0)</f>
        <v>-3.0149749363772573E-13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572.6451446653349</v>
      </c>
      <c r="CZ143" s="62">
        <f t="shared" si="150"/>
        <v>389.15977992931374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3.7</v>
      </c>
      <c r="DO143" s="13">
        <f>IF('Données projet'!$A$166&gt;35,DO142+DN143-DW142,IF(A143&lt;'Données projet'!$A$166,$DL$205^A143,IF(A143='Données projet'!$A$166,'Données projet'!$B$166,DO142+DN143-DW142)))</f>
        <v>319.49999999999977</v>
      </c>
      <c r="DP143" s="18">
        <f>DO143*VLOOKUP('Données projet'!$B$14,Paramètres!$A$1:$I$89,3,0)*VLOOKUP('Données projet'!$B$14,Paramètres!$A$1:$I$89,5,0)</f>
        <v>269.14679999999981</v>
      </c>
      <c r="DQ143" s="14">
        <f t="shared" si="151"/>
        <v>64.668165374238654</v>
      </c>
      <c r="DR143" s="22">
        <f t="shared" si="124"/>
        <v>581.39439802679851</v>
      </c>
      <c r="DS143" s="62">
        <f t="shared" si="125"/>
        <v>874.72773136013188</v>
      </c>
      <c r="DT143" s="62">
        <f ca="1">AVERAGE(OFFSET($DS$3,0,0,'Données projet'!$E$14+1,1))-AVERAGE(OFFSET($H$3,0,0,'Données projet'!$E$14+1,1))</f>
        <v>383.83934938682984</v>
      </c>
      <c r="DU143" s="62">
        <f t="shared" si="152"/>
        <v>223.93106361972281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428.01985626539732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3.7</v>
      </c>
      <c r="N144" s="14">
        <f>IF('Données projet'!$A$36&gt;35,N143+M144-V143,IF(A144&lt;'Données projet'!$A$36,$K$205^A144,IF(A144='Données projet'!$A$36,'Données projet'!$B$36,N143+M144-V143)))</f>
        <v>323.19999999999976</v>
      </c>
      <c r="O144" s="14">
        <f>N144*VLOOKUP('Données projet'!$B$9,Paramètres!$A$1:$I$89,3,0)*VLOOKUP('Données projet'!$B$9,Paramètres!$A$1:$I$89,5,0)</f>
        <v>292.43135999999976</v>
      </c>
      <c r="P144" s="14">
        <f t="shared" si="141"/>
        <v>69.58743390317693</v>
      </c>
      <c r="Q144" s="22">
        <f t="shared" si="108"/>
        <v>630.51606604803271</v>
      </c>
      <c r="R144" s="62">
        <f t="shared" si="109"/>
        <v>923.84939938136608</v>
      </c>
      <c r="S144" s="62">
        <f ca="1">AVERAGE(OFFSET($R$3,0,0,'Données projet'!$E$9+1,1))-AVERAGE(OFFSET($H$3,0,0,'Données projet'!$E$9+1,1))</f>
        <v>415.89259563928869</v>
      </c>
      <c r="T144" s="62">
        <f t="shared" si="142"/>
        <v>240.19413322685813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-3.7243808037601412E-14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214.08705070588002</v>
      </c>
      <c r="AO144" s="62">
        <f t="shared" si="144"/>
        <v>251.33527585147152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-3.2514435588382188E-14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239.41486198585676</v>
      </c>
      <c r="BJ144" s="62">
        <f t="shared" si="146"/>
        <v>224.9174498508774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6.0667428036088661E-17</v>
      </c>
      <c r="BS144" s="24">
        <f t="shared" si="117"/>
        <v>6.0667428036088661E-17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-5.6843418860808015E-13</v>
      </c>
      <c r="BZ144" s="14">
        <f>BY144*VLOOKUP('Données projet'!$B$12,Paramètres!$A$1:$I$89,3,0)*VLOOKUP('Données projet'!$B$12,Paramètres!$A$1:$I$89,5,0)</f>
        <v>-3.39923644787632E-13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288.65195492450403</v>
      </c>
      <c r="CE144" s="62">
        <f t="shared" si="148"/>
        <v>310.66800441693891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6.0420592372367202E-16</v>
      </c>
      <c r="CN144" s="24">
        <f t="shared" si="120"/>
        <v>6.0420592372367202E-16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-6.8212102632969618E-13</v>
      </c>
      <c r="CU144" s="18">
        <f>CT144*VLOOKUP('Données projet'!$B$13,Paramètres!$A$1:$I$89,3,0)*VLOOKUP('Données projet'!$B$13,Paramètres!$A$1:$I$89,5,0)</f>
        <v>-3.0149749363772573E-13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572.6451446653349</v>
      </c>
      <c r="CZ144" s="62">
        <f t="shared" si="150"/>
        <v>389.15977992931374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3.7</v>
      </c>
      <c r="DO144" s="13">
        <f>IF('Données projet'!$A$166&gt;35,DO143+DN144-DW143,IF(A144&lt;'Données projet'!$A$166,$DL$205^A144,IF(A144='Données projet'!$A$166,'Données projet'!$B$166,DO143+DN144-DW143)))</f>
        <v>323.19999999999976</v>
      </c>
      <c r="DP144" s="18">
        <f>DO144*VLOOKUP('Données projet'!$B$14,Paramètres!$A$1:$I$89,3,0)*VLOOKUP('Données projet'!$B$14,Paramètres!$A$1:$I$89,5,0)</f>
        <v>272.26367999999979</v>
      </c>
      <c r="DQ144" s="14">
        <f t="shared" si="151"/>
        <v>65.329445627932614</v>
      </c>
      <c r="DR144" s="22">
        <f t="shared" si="124"/>
        <v>587.9746938019822</v>
      </c>
      <c r="DS144" s="62">
        <f t="shared" si="125"/>
        <v>881.30802713531557</v>
      </c>
      <c r="DT144" s="62">
        <f ca="1">AVERAGE(OFFSET($DS$3,0,0,'Données projet'!$E$14+1,1))-AVERAGE(OFFSET($H$3,0,0,'Données projet'!$E$14+1,1))</f>
        <v>383.83934938682984</v>
      </c>
      <c r="DU144" s="62">
        <f t="shared" si="152"/>
        <v>223.93106361972281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429.20426401726365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3.7</v>
      </c>
      <c r="N145" s="14">
        <f>IF('Données projet'!$A$36&gt;35,N144+M145-V144,IF(A145&lt;'Données projet'!$A$36,$K$205^A145,IF(A145='Données projet'!$A$36,'Données projet'!$B$36,N144+M145-V144)))</f>
        <v>326.89999999999975</v>
      </c>
      <c r="O145" s="14">
        <f>N145*VLOOKUP('Données projet'!$B$9,Paramètres!$A$1:$I$89,3,0)*VLOOKUP('Données projet'!$B$9,Paramètres!$A$1:$I$89,5,0)</f>
        <v>295.77911999999975</v>
      </c>
      <c r="P145" s="14">
        <f t="shared" si="141"/>
        <v>70.290876512663189</v>
      </c>
      <c r="Q145" s="22">
        <f t="shared" si="108"/>
        <v>637.571910592888</v>
      </c>
      <c r="R145" s="62">
        <f t="shared" si="109"/>
        <v>930.90524392622137</v>
      </c>
      <c r="S145" s="62">
        <f ca="1">AVERAGE(OFFSET($R$3,0,0,'Données projet'!$E$9+1,1))-AVERAGE(OFFSET($H$3,0,0,'Données projet'!$E$9+1,1))</f>
        <v>415.89259563928869</v>
      </c>
      <c r="T145" s="62">
        <f t="shared" si="142"/>
        <v>240.19413322685813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-3.7243808037601412E-14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214.08705070588002</v>
      </c>
      <c r="AO145" s="62">
        <f t="shared" si="144"/>
        <v>251.33527585147152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-3.2514435588382188E-14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239.41486198585676</v>
      </c>
      <c r="BJ145" s="62">
        <f t="shared" si="146"/>
        <v>224.9174498508774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4.2898349761465163E-17</v>
      </c>
      <c r="BS145" s="24">
        <f t="shared" si="117"/>
        <v>4.2898349761465163E-17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-5.6843418860808015E-13</v>
      </c>
      <c r="BZ145" s="14">
        <f>BY145*VLOOKUP('Données projet'!$B$12,Paramètres!$A$1:$I$89,3,0)*VLOOKUP('Données projet'!$B$12,Paramètres!$A$1:$I$89,5,0)</f>
        <v>-3.39923644787632E-13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288.65195492450403</v>
      </c>
      <c r="CE145" s="62">
        <f t="shared" si="148"/>
        <v>310.66800441693891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4.2723810589809039E-16</v>
      </c>
      <c r="CN145" s="24">
        <f t="shared" si="120"/>
        <v>4.2723810589809039E-16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-6.8212102632969618E-13</v>
      </c>
      <c r="CU145" s="18">
        <f>CT145*VLOOKUP('Données projet'!$B$13,Paramètres!$A$1:$I$89,3,0)*VLOOKUP('Données projet'!$B$13,Paramètres!$A$1:$I$89,5,0)</f>
        <v>-3.0149749363772573E-13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572.6451446653349</v>
      </c>
      <c r="CZ145" s="62">
        <f t="shared" si="150"/>
        <v>389.15977992931374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3.7</v>
      </c>
      <c r="DO145" s="13">
        <f>IF('Données projet'!$A$166&gt;35,DO144+DN145-DW144,IF(A145&lt;'Données projet'!$A$166,$DL$205^A145,IF(A145='Données projet'!$A$166,'Données projet'!$B$166,DO144+DN145-DW144)))</f>
        <v>326.89999999999975</v>
      </c>
      <c r="DP145" s="18">
        <f>DO145*VLOOKUP('Données projet'!$B$14,Paramètres!$A$1:$I$89,3,0)*VLOOKUP('Données projet'!$B$14,Paramètres!$A$1:$I$89,5,0)</f>
        <v>275.38055999999983</v>
      </c>
      <c r="DQ145" s="14">
        <f t="shared" si="151"/>
        <v>65.989845259463067</v>
      </c>
      <c r="DR145" s="22">
        <f t="shared" si="124"/>
        <v>594.5534558268979</v>
      </c>
      <c r="DS145" s="62">
        <f t="shared" si="125"/>
        <v>887.88678916023127</v>
      </c>
      <c r="DT145" s="62">
        <f ca="1">AVERAGE(OFFSET($DS$3,0,0,'Données projet'!$E$14+1,1))-AVERAGE(OFFSET($H$3,0,0,'Données projet'!$E$14+1,1))</f>
        <v>383.83934938682984</v>
      </c>
      <c r="DU145" s="62">
        <f t="shared" si="152"/>
        <v>223.93106361972281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430.38848047627687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3.7</v>
      </c>
      <c r="N146" s="14">
        <f>IF('Données projet'!$A$36&gt;35,N145+M146-V145,IF(A146&lt;'Données projet'!$A$36,$K$205^A146,IF(A146='Données projet'!$A$36,'Données projet'!$B$36,N145+M146-V145)))</f>
        <v>330.59999999999974</v>
      </c>
      <c r="O146" s="14">
        <f>N146*VLOOKUP('Données projet'!$B$9,Paramètres!$A$1:$I$89,3,0)*VLOOKUP('Données projet'!$B$9,Paramètres!$A$1:$I$89,5,0)</f>
        <v>299.1268799999998</v>
      </c>
      <c r="P146" s="14">
        <f t="shared" si="141"/>
        <v>70.993392948952888</v>
      </c>
      <c r="Q146" s="22">
        <f t="shared" si="108"/>
        <v>644.62614205275918</v>
      </c>
      <c r="R146" s="62">
        <f t="shared" si="109"/>
        <v>937.95947538609244</v>
      </c>
      <c r="S146" s="62">
        <f ca="1">AVERAGE(OFFSET($R$3,0,0,'Données projet'!$E$9+1,1))-AVERAGE(OFFSET($H$3,0,0,'Données projet'!$E$9+1,1))</f>
        <v>415.89259563928869</v>
      </c>
      <c r="T146" s="62">
        <f t="shared" si="142"/>
        <v>240.19413322685813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-3.7243808037601412E-14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214.08705070588002</v>
      </c>
      <c r="AO146" s="62">
        <f t="shared" si="144"/>
        <v>251.33527585147152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-3.2514435588382188E-14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239.41486198585676</v>
      </c>
      <c r="BJ146" s="62">
        <f t="shared" si="146"/>
        <v>224.9174498508774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3.033371401804433E-17</v>
      </c>
      <c r="BS146" s="24">
        <f t="shared" si="117"/>
        <v>3.033371401804433E-17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-5.6843418860808015E-13</v>
      </c>
      <c r="BZ146" s="14">
        <f>BY146*VLOOKUP('Données projet'!$B$12,Paramètres!$A$1:$I$89,3,0)*VLOOKUP('Données projet'!$B$12,Paramètres!$A$1:$I$89,5,0)</f>
        <v>-3.39923644787632E-13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288.65195492450403</v>
      </c>
      <c r="CE146" s="62">
        <f t="shared" si="148"/>
        <v>310.66800441693891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3.0210296186183606E-16</v>
      </c>
      <c r="CN146" s="24">
        <f t="shared" si="120"/>
        <v>3.0210296186183606E-16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-6.8212102632969618E-13</v>
      </c>
      <c r="CU146" s="18">
        <f>CT146*VLOOKUP('Données projet'!$B$13,Paramètres!$A$1:$I$89,3,0)*VLOOKUP('Données projet'!$B$13,Paramètres!$A$1:$I$89,5,0)</f>
        <v>-3.0149749363772573E-13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572.6451446653349</v>
      </c>
      <c r="CZ146" s="62">
        <f t="shared" si="150"/>
        <v>389.15977992931374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3.7</v>
      </c>
      <c r="DO146" s="13">
        <f>IF('Données projet'!$A$166&gt;35,DO145+DN146-DW145,IF(A146&lt;'Données projet'!$A$166,$DL$205^A146,IF(A146='Données projet'!$A$166,'Données projet'!$B$166,DO145+DN146-DW145)))</f>
        <v>330.59999999999974</v>
      </c>
      <c r="DP146" s="18">
        <f>DO146*VLOOKUP('Données projet'!$B$14,Paramètres!$A$1:$I$89,3,0)*VLOOKUP('Données projet'!$B$14,Paramètres!$A$1:$I$89,5,0)</f>
        <v>278.49743999999981</v>
      </c>
      <c r="DQ146" s="14">
        <f t="shared" si="151"/>
        <v>66.649375389445595</v>
      </c>
      <c r="DR146" s="22">
        <f t="shared" si="124"/>
        <v>601.13070346995062</v>
      </c>
      <c r="DS146" s="62">
        <f t="shared" si="125"/>
        <v>894.46403680328399</v>
      </c>
      <c r="DT146" s="62">
        <f ca="1">AVERAGE(OFFSET($DS$3,0,0,'Données projet'!$E$14+1,1))-AVERAGE(OFFSET($H$3,0,0,'Données projet'!$E$14+1,1))</f>
        <v>383.83934938682984</v>
      </c>
      <c r="DU146" s="62">
        <f t="shared" si="152"/>
        <v>223.93106361972281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431.57250713527566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3.7</v>
      </c>
      <c r="N147" s="14">
        <f>IF('Données projet'!$A$36&gt;35,N146+M147-V146,IF(A147&lt;'Données projet'!$A$36,$K$205^A147,IF(A147='Données projet'!$A$36,'Données projet'!$B$36,N146+M147-V146)))</f>
        <v>334.29999999999973</v>
      </c>
      <c r="O147" s="14">
        <f>N147*VLOOKUP('Données projet'!$B$9,Paramètres!$A$1:$I$89,3,0)*VLOOKUP('Données projet'!$B$9,Paramètres!$A$1:$I$89,5,0)</f>
        <v>302.47463999999974</v>
      </c>
      <c r="P147" s="14">
        <f t="shared" si="141"/>
        <v>71.694994777063087</v>
      </c>
      <c r="Q147" s="22">
        <f t="shared" si="108"/>
        <v>651.678780570051</v>
      </c>
      <c r="R147" s="62">
        <f t="shared" si="109"/>
        <v>945.01211390338426</v>
      </c>
      <c r="S147" s="62">
        <f ca="1">AVERAGE(OFFSET($R$3,0,0,'Données projet'!$E$9+1,1))-AVERAGE(OFFSET($H$3,0,0,'Données projet'!$E$9+1,1))</f>
        <v>415.89259563928869</v>
      </c>
      <c r="T147" s="62">
        <f t="shared" si="142"/>
        <v>240.19413322685813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-3.7243808037601412E-14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214.08705070588002</v>
      </c>
      <c r="AO147" s="62">
        <f t="shared" si="144"/>
        <v>251.33527585147152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-3.2514435588382188E-14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239.41486198585676</v>
      </c>
      <c r="BJ147" s="62">
        <f t="shared" si="146"/>
        <v>224.9174498508774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2.1449174880732582E-17</v>
      </c>
      <c r="BS147" s="24">
        <f t="shared" si="117"/>
        <v>2.1449174880732582E-17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-5.6843418860808015E-13</v>
      </c>
      <c r="BZ147" s="14">
        <f>BY147*VLOOKUP('Données projet'!$B$12,Paramètres!$A$1:$I$89,3,0)*VLOOKUP('Données projet'!$B$12,Paramètres!$A$1:$I$89,5,0)</f>
        <v>-3.39923644787632E-13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288.65195492450403</v>
      </c>
      <c r="CE147" s="62">
        <f t="shared" si="148"/>
        <v>310.66800441693891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2.1361905294904525E-16</v>
      </c>
      <c r="CN147" s="24">
        <f t="shared" si="120"/>
        <v>2.1361905294904525E-16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-6.8212102632969618E-13</v>
      </c>
      <c r="CU147" s="18">
        <f>CT147*VLOOKUP('Données projet'!$B$13,Paramètres!$A$1:$I$89,3,0)*VLOOKUP('Données projet'!$B$13,Paramètres!$A$1:$I$89,5,0)</f>
        <v>-3.0149749363772573E-13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572.6451446653349</v>
      </c>
      <c r="CZ147" s="62">
        <f t="shared" si="150"/>
        <v>389.15977992931374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3.7</v>
      </c>
      <c r="DO147" s="13">
        <f>IF('Données projet'!$A$166&gt;35,DO146+DN147-DW146,IF(A147&lt;'Données projet'!$A$166,$DL$205^A147,IF(A147='Données projet'!$A$166,'Données projet'!$B$166,DO146+DN147-DW146)))</f>
        <v>334.29999999999973</v>
      </c>
      <c r="DP147" s="18">
        <f>DO147*VLOOKUP('Données projet'!$B$14,Paramètres!$A$1:$I$89,3,0)*VLOOKUP('Données projet'!$B$14,Paramètres!$A$1:$I$89,5,0)</f>
        <v>281.61431999999979</v>
      </c>
      <c r="DQ147" s="14">
        <f t="shared" si="151"/>
        <v>67.308046875245211</v>
      </c>
      <c r="DR147" s="22">
        <f t="shared" si="124"/>
        <v>607.70645564105166</v>
      </c>
      <c r="DS147" s="62">
        <f t="shared" si="125"/>
        <v>901.03978897438492</v>
      </c>
      <c r="DT147" s="62">
        <f ca="1">AVERAGE(OFFSET($DS$3,0,0,'Données projet'!$E$14+1,1))-AVERAGE(OFFSET($H$3,0,0,'Données projet'!$E$14+1,1))</f>
        <v>383.83934938682984</v>
      </c>
      <c r="DU147" s="62">
        <f t="shared" si="152"/>
        <v>223.93106361972281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432.75634546516653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338</v>
      </c>
      <c r="L148" s="13">
        <f>VLOOKUP(A148,'Données projet'!$A$35:$I$55,9,0)</f>
        <v>3.7</v>
      </c>
      <c r="M148" s="13">
        <f t="array" ref="M148">INDEX(L:L,MIN(IF(ISNUMBER(L148:L344),ROW(L148:L344),"")))</f>
        <v>3.7</v>
      </c>
      <c r="N148" s="14">
        <f>IF('Données projet'!$A$36&gt;35,N147+M148-V147,IF(A148&lt;'Données projet'!$A$36,$K$205^A148,IF(A148='Données projet'!$A$36,'Données projet'!$B$36,N147+M148-V147)))</f>
        <v>337.99999999999972</v>
      </c>
      <c r="O148" s="14">
        <f>N148*VLOOKUP('Données projet'!$B$9,Paramètres!$A$1:$I$89,3,0)*VLOOKUP('Données projet'!$B$9,Paramètres!$A$1:$I$89,5,0)</f>
        <v>305.82239999999973</v>
      </c>
      <c r="P148" s="14">
        <f t="shared" si="141"/>
        <v>72.39569329126887</v>
      </c>
      <c r="Q148" s="22">
        <f t="shared" si="108"/>
        <v>658.72984581562616</v>
      </c>
      <c r="R148" s="62">
        <f t="shared" si="109"/>
        <v>952.06317914895953</v>
      </c>
      <c r="S148" s="62">
        <f ca="1">AVERAGE(OFFSET($R$3,0,0,'Données projet'!$E$9+1,1))-AVERAGE(OFFSET($H$3,0,0,'Données projet'!$E$9+1,1))</f>
        <v>415.89259563928869</v>
      </c>
      <c r="T148" s="62">
        <f t="shared" si="142"/>
        <v>240.19413322685813</v>
      </c>
      <c r="U148" s="16">
        <f>IF(ISNA(VLOOKUP(A148,'Données projet'!$A$35:$I$55,3,0)),0,VLOOKUP(A148,'Données projet'!$A$35:$I$55,3,0))</f>
        <v>13</v>
      </c>
      <c r="V148" s="16">
        <f>IF(ISNA(VLOOKUP(A148,'Données projet'!$A$35:$I$55,4,0)),0,VLOOKUP(A148,'Données projet'!$A$35:$I$55,4,0))</f>
        <v>39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-3.7243808037601412E-14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214.08705070588002</v>
      </c>
      <c r="AO148" s="62">
        <f t="shared" si="144"/>
        <v>251.33527585147152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-3.2514435588382188E-14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239.41486198585676</v>
      </c>
      <c r="BJ148" s="62">
        <f t="shared" si="146"/>
        <v>224.9174498508774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1.5166857009022165E-17</v>
      </c>
      <c r="BS148" s="24">
        <f t="shared" si="117"/>
        <v>1.5166857009022165E-17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-5.6843418860808015E-13</v>
      </c>
      <c r="BZ148" s="14">
        <f>BY148*VLOOKUP('Données projet'!$B$12,Paramètres!$A$1:$I$89,3,0)*VLOOKUP('Données projet'!$B$12,Paramètres!$A$1:$I$89,5,0)</f>
        <v>-3.39923644787632E-13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288.65195492450403</v>
      </c>
      <c r="CE148" s="62">
        <f t="shared" si="148"/>
        <v>310.66800441693891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1.5105148093091805E-16</v>
      </c>
      <c r="CN148" s="24">
        <f t="shared" si="120"/>
        <v>1.5105148093091805E-16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-6.8212102632969618E-13</v>
      </c>
      <c r="CU148" s="18">
        <f>CT148*VLOOKUP('Données projet'!$B$13,Paramètres!$A$1:$I$89,3,0)*VLOOKUP('Données projet'!$B$13,Paramètres!$A$1:$I$89,5,0)</f>
        <v>-3.0149749363772573E-13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572.6451446653349</v>
      </c>
      <c r="CZ148" s="62">
        <f t="shared" si="150"/>
        <v>389.15977992931374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>
        <f>VLOOKUP(A148,'Données projet'!$A$165:$I$185,2,0)</f>
        <v>338</v>
      </c>
      <c r="DM148" s="13">
        <f>VLOOKUP(A148,'Données projet'!$A$165:$I$185,9,0)</f>
        <v>3.7</v>
      </c>
      <c r="DN148" s="13">
        <f t="array" ref="DN148">INDEX(DM:DM,MIN(IF(ISNUMBER(DM148:DM344),ROW(DM148:DM344),"")))</f>
        <v>3.7</v>
      </c>
      <c r="DO148" s="13">
        <f>IF('Données projet'!$A$166&gt;35,DO147+DN148-DW147,IF(A148&lt;'Données projet'!$A$166,$DL$205^A148,IF(A148='Données projet'!$A$166,'Données projet'!$B$166,DO147+DN148-DW147)))</f>
        <v>337.99999999999972</v>
      </c>
      <c r="DP148" s="18">
        <f>DO148*VLOOKUP('Données projet'!$B$14,Paramètres!$A$1:$I$89,3,0)*VLOOKUP('Données projet'!$B$14,Paramètres!$A$1:$I$89,5,0)</f>
        <v>284.73119999999983</v>
      </c>
      <c r="DQ148" s="14">
        <f t="shared" si="151"/>
        <v>67.965870320050954</v>
      </c>
      <c r="DR148" s="22">
        <f t="shared" si="124"/>
        <v>614.28073080742172</v>
      </c>
      <c r="DS148" s="62">
        <f t="shared" si="125"/>
        <v>907.61406414075509</v>
      </c>
      <c r="DT148" s="62">
        <f ca="1">AVERAGE(OFFSET($DS$3,0,0,'Données projet'!$E$14+1,1))-AVERAGE(OFFSET($H$3,0,0,'Données projet'!$E$14+1,1))</f>
        <v>383.83934938682984</v>
      </c>
      <c r="DU148" s="62">
        <f t="shared" si="152"/>
        <v>223.93106361972281</v>
      </c>
      <c r="DV148" s="16">
        <f>IF(ISNA(VLOOKUP(A148,'Données projet'!$A$165:$I$185,3,0)),0,VLOOKUP(A148,'Données projet'!$A$165:$I$185,3,0))</f>
        <v>13</v>
      </c>
      <c r="DW148" s="16">
        <f>IF(ISNA(VLOOKUP(A148,'Données projet'!$A$165:$I$185,4,0)),0,VLOOKUP(A148,'Données projet'!$A$165:$I$185,4,0))</f>
        <v>39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433.939996915395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3.4</v>
      </c>
      <c r="N149" s="14">
        <f>IF('Données projet'!$A$36&gt;35,N148+M149-V148,IF(A149&lt;'Données projet'!$A$36,$K$205^A149,IF(A149='Données projet'!$A$36,'Données projet'!$B$36,N148+M149-V148)))</f>
        <v>302.39999999999969</v>
      </c>
      <c r="O149" s="14">
        <f>N149*VLOOKUP('Données projet'!$B$9,Paramètres!$A$1:$I$89,3,0)*VLOOKUP('Données projet'!$B$9,Paramètres!$A$1:$I$89,5,0)</f>
        <v>273.6115199999997</v>
      </c>
      <c r="P149" s="14">
        <f t="shared" si="141"/>
        <v>65.615131256792836</v>
      </c>
      <c r="Q149" s="22">
        <f t="shared" si="108"/>
        <v>590.81975093891367</v>
      </c>
      <c r="R149" s="62">
        <f t="shared" si="109"/>
        <v>884.15308427224704</v>
      </c>
      <c r="S149" s="62">
        <f ca="1">AVERAGE(OFFSET($R$3,0,0,'Données projet'!$E$9+1,1))-AVERAGE(OFFSET($H$3,0,0,'Données projet'!$E$9+1,1))</f>
        <v>415.89259563928869</v>
      </c>
      <c r="T149" s="62">
        <f t="shared" si="142"/>
        <v>240.19413322685813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-3.7243808037601412E-14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214.08705070588002</v>
      </c>
      <c r="AO149" s="62">
        <f t="shared" si="144"/>
        <v>251.33527585147152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-3.2514435588382188E-14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239.41486198585676</v>
      </c>
      <c r="BJ149" s="62">
        <f t="shared" si="146"/>
        <v>224.9174498508774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1.0724587440366291E-17</v>
      </c>
      <c r="BS149" s="24">
        <f t="shared" si="117"/>
        <v>1.0724587440366291E-17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-5.6843418860808015E-13</v>
      </c>
      <c r="BZ149" s="14">
        <f>BY149*VLOOKUP('Données projet'!$B$12,Paramètres!$A$1:$I$89,3,0)*VLOOKUP('Données projet'!$B$12,Paramètres!$A$1:$I$89,5,0)</f>
        <v>-3.39923644787632E-13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288.65195492450403</v>
      </c>
      <c r="CE149" s="62">
        <f t="shared" si="148"/>
        <v>310.66800441693891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1.0680952647452264E-16</v>
      </c>
      <c r="CN149" s="24">
        <f t="shared" si="120"/>
        <v>1.0680952647452264E-16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-6.8212102632969618E-13</v>
      </c>
      <c r="CU149" s="18">
        <f>CT149*VLOOKUP('Données projet'!$B$13,Paramètres!$A$1:$I$89,3,0)*VLOOKUP('Données projet'!$B$13,Paramètres!$A$1:$I$89,5,0)</f>
        <v>-3.0149749363772573E-13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572.6451446653349</v>
      </c>
      <c r="CZ149" s="62">
        <f t="shared" si="150"/>
        <v>389.15977992931374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3.4</v>
      </c>
      <c r="DO149" s="13">
        <f>IF('Données projet'!$A$166&gt;35,DO148+DN149-DW148,IF(A149&lt;'Données projet'!$A$166,$DL$205^A149,IF(A149='Données projet'!$A$166,'Données projet'!$B$166,DO148+DN149-DW148)))</f>
        <v>302.39999999999969</v>
      </c>
      <c r="DP149" s="18">
        <f>DO149*VLOOKUP('Données projet'!$B$14,Paramètres!$A$1:$I$89,3,0)*VLOOKUP('Données projet'!$B$14,Paramètres!$A$1:$I$89,5,0)</f>
        <v>254.74175999999977</v>
      </c>
      <c r="DQ149" s="14">
        <f t="shared" si="151"/>
        <v>61.600204366992905</v>
      </c>
      <c r="DR149" s="22">
        <f t="shared" si="124"/>
        <v>550.96225460584549</v>
      </c>
      <c r="DS149" s="62">
        <f t="shared" si="125"/>
        <v>844.29558793917886</v>
      </c>
      <c r="DT149" s="62">
        <f ca="1">AVERAGE(OFFSET($DS$3,0,0,'Données projet'!$E$14+1,1))-AVERAGE(OFFSET($H$3,0,0,'Données projet'!$E$14+1,1))</f>
        <v>383.83934938682984</v>
      </c>
      <c r="DU149" s="62">
        <f t="shared" si="152"/>
        <v>223.93106361972281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435.12346291440332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3.4</v>
      </c>
      <c r="N150" s="14">
        <f>IF('Données projet'!$A$36&gt;35,N149+M150-V149,IF(A150&lt;'Données projet'!$A$36,$K$205^A150,IF(A150='Données projet'!$A$36,'Données projet'!$B$36,N149+M150-V149)))</f>
        <v>305.79999999999967</v>
      </c>
      <c r="O150" s="14">
        <f>N150*VLOOKUP('Données projet'!$B$9,Paramètres!$A$1:$I$89,3,0)*VLOOKUP('Données projet'!$B$9,Paramètres!$A$1:$I$89,5,0)</f>
        <v>276.68783999999971</v>
      </c>
      <c r="P150" s="14">
        <f t="shared" si="141"/>
        <v>66.266570237082874</v>
      </c>
      <c r="Q150" s="22">
        <f t="shared" si="108"/>
        <v>597.31226449625217</v>
      </c>
      <c r="R150" s="62">
        <f t="shared" si="109"/>
        <v>890.64559782958554</v>
      </c>
      <c r="S150" s="62">
        <f ca="1">AVERAGE(OFFSET($R$3,0,0,'Données projet'!$E$9+1,1))-AVERAGE(OFFSET($H$3,0,0,'Données projet'!$E$9+1,1))</f>
        <v>415.89259563928869</v>
      </c>
      <c r="T150" s="62">
        <f t="shared" si="142"/>
        <v>240.19413322685813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-3.7243808037601412E-14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214.08705070588002</v>
      </c>
      <c r="AO150" s="62">
        <f t="shared" si="144"/>
        <v>251.33527585147152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-3.2514435588382188E-14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239.41486198585676</v>
      </c>
      <c r="BJ150" s="62">
        <f t="shared" si="146"/>
        <v>224.9174498508774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7.5834285045110826E-18</v>
      </c>
      <c r="BS150" s="24">
        <f t="shared" si="117"/>
        <v>7.5834285045110826E-18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-5.6843418860808015E-13</v>
      </c>
      <c r="BZ150" s="14">
        <f>BY150*VLOOKUP('Données projet'!$B$12,Paramètres!$A$1:$I$89,3,0)*VLOOKUP('Données projet'!$B$12,Paramètres!$A$1:$I$89,5,0)</f>
        <v>-3.39923644787632E-13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288.65195492450403</v>
      </c>
      <c r="CE150" s="62">
        <f t="shared" si="148"/>
        <v>310.66800441693891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7.5525740465459039E-17</v>
      </c>
      <c r="CN150" s="24">
        <f t="shared" si="120"/>
        <v>7.5525740465459039E-17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-6.8212102632969618E-13</v>
      </c>
      <c r="CU150" s="18">
        <f>CT150*VLOOKUP('Données projet'!$B$13,Paramètres!$A$1:$I$89,3,0)*VLOOKUP('Données projet'!$B$13,Paramètres!$A$1:$I$89,5,0)</f>
        <v>-3.0149749363772573E-13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572.6451446653349</v>
      </c>
      <c r="CZ150" s="62">
        <f t="shared" si="150"/>
        <v>389.15977992931374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3.4</v>
      </c>
      <c r="DO150" s="13">
        <f>IF('Données projet'!$A$166&gt;35,DO149+DN150-DW149,IF(A150&lt;'Données projet'!$A$166,$DL$205^A150,IF(A150='Données projet'!$A$166,'Données projet'!$B$166,DO149+DN150-DW149)))</f>
        <v>305.79999999999967</v>
      </c>
      <c r="DP150" s="18">
        <f>DO150*VLOOKUP('Données projet'!$B$14,Paramètres!$A$1:$I$89,3,0)*VLOOKUP('Données projet'!$B$14,Paramètres!$A$1:$I$89,5,0)</f>
        <v>257.60591999999974</v>
      </c>
      <c r="DQ150" s="14">
        <f t="shared" si="151"/>
        <v>62.211782421473153</v>
      </c>
      <c r="DR150" s="22">
        <f t="shared" si="124"/>
        <v>557.01583171739867</v>
      </c>
      <c r="DS150" s="62">
        <f t="shared" si="125"/>
        <v>850.34916505073193</v>
      </c>
      <c r="DT150" s="62">
        <f ca="1">AVERAGE(OFFSET($DS$3,0,0,'Données projet'!$E$14+1,1))-AVERAGE(OFFSET($H$3,0,0,'Données projet'!$E$14+1,1))</f>
        <v>383.83934938682984</v>
      </c>
      <c r="DU150" s="62">
        <f t="shared" si="152"/>
        <v>223.93106361972281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436.30674487007587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3.4</v>
      </c>
      <c r="N151" s="14">
        <f>IF('Données projet'!$A$36&gt;35,N150+M151-V150,IF(A151&lt;'Données projet'!$A$36,$K$205^A151,IF(A151='Données projet'!$A$36,'Données projet'!$B$36,N150+M151-V150)))</f>
        <v>309.19999999999965</v>
      </c>
      <c r="O151" s="14">
        <f>N151*VLOOKUP('Données projet'!$B$9,Paramètres!$A$1:$I$89,3,0)*VLOOKUP('Données projet'!$B$9,Paramètres!$A$1:$I$89,5,0)</f>
        <v>279.76415999999966</v>
      </c>
      <c r="P151" s="14">
        <f t="shared" si="141"/>
        <v>66.917166665547271</v>
      </c>
      <c r="Q151" s="22">
        <f t="shared" si="108"/>
        <v>603.8033106091608</v>
      </c>
      <c r="R151" s="62">
        <f t="shared" si="109"/>
        <v>897.13664394249417</v>
      </c>
      <c r="S151" s="62">
        <f ca="1">AVERAGE(OFFSET($R$3,0,0,'Données projet'!$E$9+1,1))-AVERAGE(OFFSET($H$3,0,0,'Données projet'!$E$9+1,1))</f>
        <v>415.89259563928869</v>
      </c>
      <c r="T151" s="62">
        <f t="shared" si="142"/>
        <v>240.19413322685813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-3.7243808037601412E-14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214.08705070588002</v>
      </c>
      <c r="AO151" s="62">
        <f t="shared" si="144"/>
        <v>251.33527585147152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-3.2514435588382188E-14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239.41486198585676</v>
      </c>
      <c r="BJ151" s="62">
        <f t="shared" si="146"/>
        <v>224.9174498508774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5.3622937201831454E-18</v>
      </c>
      <c r="BS151" s="24">
        <f t="shared" si="117"/>
        <v>5.3622937201831454E-18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-5.6843418860808015E-13</v>
      </c>
      <c r="BZ151" s="14">
        <f>BY151*VLOOKUP('Données projet'!$B$12,Paramètres!$A$1:$I$89,3,0)*VLOOKUP('Données projet'!$B$12,Paramètres!$A$1:$I$89,5,0)</f>
        <v>-3.39923644787632E-13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288.65195492450403</v>
      </c>
      <c r="CE151" s="62">
        <f t="shared" si="148"/>
        <v>310.66800441693891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5.3404763237261324E-17</v>
      </c>
      <c r="CN151" s="24">
        <f t="shared" si="120"/>
        <v>5.3404763237261324E-17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-6.8212102632969618E-13</v>
      </c>
      <c r="CU151" s="18">
        <f>CT151*VLOOKUP('Données projet'!$B$13,Paramètres!$A$1:$I$89,3,0)*VLOOKUP('Données projet'!$B$13,Paramètres!$A$1:$I$89,5,0)</f>
        <v>-3.0149749363772573E-13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572.6451446653349</v>
      </c>
      <c r="CZ151" s="62">
        <f t="shared" si="150"/>
        <v>389.15977992931374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3.4</v>
      </c>
      <c r="DO151" s="13">
        <f>IF('Données projet'!$A$166&gt;35,DO150+DN151-DW150,IF(A151&lt;'Données projet'!$A$166,$DL$205^A151,IF(A151='Données projet'!$A$166,'Données projet'!$B$166,DO150+DN151-DW150)))</f>
        <v>309.19999999999965</v>
      </c>
      <c r="DP151" s="18">
        <f>DO151*VLOOKUP('Données projet'!$B$14,Paramètres!$A$1:$I$89,3,0)*VLOOKUP('Données projet'!$B$14,Paramètres!$A$1:$I$89,5,0)</f>
        <v>260.47007999999971</v>
      </c>
      <c r="DQ151" s="14">
        <f t="shared" si="151"/>
        <v>62.822569479065045</v>
      </c>
      <c r="DR151" s="22">
        <f t="shared" si="124"/>
        <v>563.06803117603783</v>
      </c>
      <c r="DS151" s="62">
        <f t="shared" si="125"/>
        <v>856.40136450937121</v>
      </c>
      <c r="DT151" s="62">
        <f ca="1">AVERAGE(OFFSET($DS$3,0,0,'Données projet'!$E$14+1,1))-AVERAGE(OFFSET($H$3,0,0,'Données projet'!$E$14+1,1))</f>
        <v>383.83934938682984</v>
      </c>
      <c r="DU151" s="62">
        <f t="shared" si="152"/>
        <v>223.93106361972281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437.48984417017164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3.4</v>
      </c>
      <c r="N152" s="14">
        <f>IF('Données projet'!$A$36&gt;35,N151+M152-V151,IF(A152&lt;'Données projet'!$A$36,$K$205^A152,IF(A152='Données projet'!$A$36,'Données projet'!$B$36,N151+M152-V151)))</f>
        <v>312.59999999999962</v>
      </c>
      <c r="O152" s="14">
        <f>N152*VLOOKUP('Données projet'!$B$9,Paramètres!$A$1:$I$89,3,0)*VLOOKUP('Données projet'!$B$9,Paramètres!$A$1:$I$89,5,0)</f>
        <v>282.84047999999962</v>
      </c>
      <c r="P152" s="14">
        <f t="shared" si="141"/>
        <v>67.566930879211142</v>
      </c>
      <c r="Q152" s="22">
        <f t="shared" si="108"/>
        <v>610.29290728129206</v>
      </c>
      <c r="R152" s="62">
        <f t="shared" si="109"/>
        <v>903.62624061462543</v>
      </c>
      <c r="S152" s="62">
        <f ca="1">AVERAGE(OFFSET($R$3,0,0,'Données projet'!$E$9+1,1))-AVERAGE(OFFSET($H$3,0,0,'Données projet'!$E$9+1,1))</f>
        <v>415.89259563928869</v>
      </c>
      <c r="T152" s="62">
        <f t="shared" si="142"/>
        <v>240.19413322685813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-3.7243808037601412E-14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214.08705070588002</v>
      </c>
      <c r="AO152" s="62">
        <f t="shared" si="144"/>
        <v>251.33527585147152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-3.2514435588382188E-14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239.41486198585676</v>
      </c>
      <c r="BJ152" s="62">
        <f t="shared" si="146"/>
        <v>224.9174498508774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3.7917142522555413E-18</v>
      </c>
      <c r="BS152" s="24">
        <f t="shared" si="117"/>
        <v>3.7917142522555413E-18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-5.6843418860808015E-13</v>
      </c>
      <c r="BZ152" s="14">
        <f>BY152*VLOOKUP('Données projet'!$B$12,Paramètres!$A$1:$I$89,3,0)*VLOOKUP('Données projet'!$B$12,Paramètres!$A$1:$I$89,5,0)</f>
        <v>-3.39923644787632E-13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288.65195492450403</v>
      </c>
      <c r="CE152" s="62">
        <f t="shared" si="148"/>
        <v>310.66800441693891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3.7762870232729526E-17</v>
      </c>
      <c r="CN152" s="24">
        <f t="shared" si="120"/>
        <v>3.7762870232729526E-17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-6.8212102632969618E-13</v>
      </c>
      <c r="CU152" s="18">
        <f>CT152*VLOOKUP('Données projet'!$B$13,Paramètres!$A$1:$I$89,3,0)*VLOOKUP('Données projet'!$B$13,Paramètres!$A$1:$I$89,5,0)</f>
        <v>-3.0149749363772573E-13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572.6451446653349</v>
      </c>
      <c r="CZ152" s="62">
        <f t="shared" si="150"/>
        <v>389.15977992931374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3.4</v>
      </c>
      <c r="DO152" s="13">
        <f>IF('Données projet'!$A$166&gt;35,DO151+DN152-DW151,IF(A152&lt;'Données projet'!$A$166,$DL$205^A152,IF(A152='Données projet'!$A$166,'Données projet'!$B$166,DO151+DN152-DW151)))</f>
        <v>312.59999999999962</v>
      </c>
      <c r="DP152" s="18">
        <f>DO152*VLOOKUP('Données projet'!$B$14,Paramètres!$A$1:$I$89,3,0)*VLOOKUP('Données projet'!$B$14,Paramètres!$A$1:$I$89,5,0)</f>
        <v>263.33423999999968</v>
      </c>
      <c r="DQ152" s="14">
        <f t="shared" si="151"/>
        <v>63.432575244281125</v>
      </c>
      <c r="DR152" s="22">
        <f t="shared" si="124"/>
        <v>569.11886988378899</v>
      </c>
      <c r="DS152" s="62">
        <f t="shared" si="125"/>
        <v>862.45220321712236</v>
      </c>
      <c r="DT152" s="62">
        <f ca="1">AVERAGE(OFFSET($DS$3,0,0,'Données projet'!$E$14+1,1))-AVERAGE(OFFSET($H$3,0,0,'Données projet'!$E$14+1,1))</f>
        <v>383.83934938682984</v>
      </c>
      <c r="DU152" s="62">
        <f t="shared" si="152"/>
        <v>223.93106361972281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438.6727621827452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316</v>
      </c>
      <c r="L153" s="13">
        <f>VLOOKUP(A153,'Données projet'!$A$35:$I$55,9,0)</f>
        <v>3.4</v>
      </c>
      <c r="M153" s="13">
        <f t="array" ref="M153">INDEX(L:L,MIN(IF(ISNUMBER(L153:L349),ROW(L153:L349),"")))</f>
        <v>3.4</v>
      </c>
      <c r="N153" s="14">
        <f>IF('Données projet'!$A$36&gt;35,N152+M153-V152,IF(A153&lt;'Données projet'!$A$36,$K$205^A153,IF(A153='Données projet'!$A$36,'Données projet'!$B$36,N152+M153-V152)))</f>
        <v>315.9999999999996</v>
      </c>
      <c r="O153" s="14">
        <f>N153*VLOOKUP('Données projet'!$B$9,Paramètres!$A$1:$I$89,3,0)*VLOOKUP('Données projet'!$B$9,Paramètres!$A$1:$I$89,5,0)</f>
        <v>285.91679999999963</v>
      </c>
      <c r="P153" s="14">
        <f t="shared" si="141"/>
        <v>68.215872977287475</v>
      </c>
      <c r="Q153" s="22">
        <f t="shared" si="108"/>
        <v>616.78107210210828</v>
      </c>
      <c r="R153" s="62">
        <f t="shared" si="109"/>
        <v>910.11440543544154</v>
      </c>
      <c r="S153" s="62">
        <f ca="1">AVERAGE(OFFSET($R$3,0,0,'Données projet'!$E$9+1,1))-AVERAGE(OFFSET($H$3,0,0,'Données projet'!$E$9+1,1))</f>
        <v>415.89259563928869</v>
      </c>
      <c r="T153" s="62">
        <f t="shared" si="142"/>
        <v>240.19413322685813</v>
      </c>
      <c r="U153" s="16">
        <f>IF(ISNA(VLOOKUP(A153,'Données projet'!$A$35:$I$55,3,0)),0,VLOOKUP(A153,'Données projet'!$A$35:$I$55,3,0))</f>
        <v>14</v>
      </c>
      <c r="V153" s="16">
        <f>IF(ISNA(VLOOKUP(A153,'Données projet'!$A$35:$I$55,4,0)),0,VLOOKUP(A153,'Données projet'!$A$35:$I$55,4,0))</f>
        <v>316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-3.7243808037601412E-14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214.08705070588002</v>
      </c>
      <c r="AO153" s="62">
        <f t="shared" si="144"/>
        <v>251.33527585147152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-3.2514435588382188E-14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239.41486198585676</v>
      </c>
      <c r="BJ153" s="62">
        <f t="shared" si="146"/>
        <v>224.9174498508774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2.6811468600915727E-18</v>
      </c>
      <c r="BS153" s="24">
        <f t="shared" si="117"/>
        <v>2.6811468600915727E-18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-5.6843418860808015E-13</v>
      </c>
      <c r="BZ153" s="14">
        <f>BY153*VLOOKUP('Données projet'!$B$12,Paramètres!$A$1:$I$89,3,0)*VLOOKUP('Données projet'!$B$12,Paramètres!$A$1:$I$89,5,0)</f>
        <v>-3.39923644787632E-13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288.65195492450403</v>
      </c>
      <c r="CE153" s="62">
        <f t="shared" si="148"/>
        <v>310.66800441693891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2.6702381618630668E-17</v>
      </c>
      <c r="CN153" s="24">
        <f t="shared" si="120"/>
        <v>2.6702381618630668E-17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-6.8212102632969618E-13</v>
      </c>
      <c r="CU153" s="18">
        <f>CT153*VLOOKUP('Données projet'!$B$13,Paramètres!$A$1:$I$89,3,0)*VLOOKUP('Données projet'!$B$13,Paramètres!$A$1:$I$89,5,0)</f>
        <v>-3.0149749363772573E-13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572.6451446653349</v>
      </c>
      <c r="CZ153" s="62">
        <f t="shared" si="150"/>
        <v>389.15977992931374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316</v>
      </c>
      <c r="DM153" s="13">
        <f>VLOOKUP(A153,'Données projet'!$A$165:$I$185,9,0)</f>
        <v>3.4</v>
      </c>
      <c r="DN153" s="13">
        <f t="array" ref="DN153">INDEX(DM:DM,MIN(IF(ISNUMBER(DM153:DM349),ROW(DM153:DM349),"")))</f>
        <v>3.4</v>
      </c>
      <c r="DO153" s="13">
        <f>IF('Données projet'!$A$166&gt;35,DO152+DN153-DW152,IF(A153&lt;'Données projet'!$A$166,$DL$205^A153,IF(A153='Données projet'!$A$166,'Données projet'!$B$166,DO152+DN153-DW152)))</f>
        <v>315.9999999999996</v>
      </c>
      <c r="DP153" s="18">
        <f>DO153*VLOOKUP('Données projet'!$B$14,Paramètres!$A$1:$I$89,3,0)*VLOOKUP('Données projet'!$B$14,Paramètres!$A$1:$I$89,5,0)</f>
        <v>266.19839999999965</v>
      </c>
      <c r="DQ153" s="14">
        <f t="shared" si="151"/>
        <v>64.041809198373159</v>
      </c>
      <c r="DR153" s="22">
        <f t="shared" si="124"/>
        <v>575.16836435383254</v>
      </c>
      <c r="DS153" s="62">
        <f t="shared" si="125"/>
        <v>868.50169768716592</v>
      </c>
      <c r="DT153" s="62">
        <f ca="1">AVERAGE(OFFSET($DS$3,0,0,'Données projet'!$E$14+1,1))-AVERAGE(OFFSET($H$3,0,0,'Données projet'!$E$14+1,1))</f>
        <v>383.83934938682984</v>
      </c>
      <c r="DU153" s="62">
        <f t="shared" si="152"/>
        <v>223.93106361972281</v>
      </c>
      <c r="DV153" s="16">
        <f>IF(ISNA(VLOOKUP(A153,'Données projet'!$A$165:$I$185,3,0)),0,VLOOKUP(A153,'Données projet'!$A$165:$I$185,3,0))</f>
        <v>14</v>
      </c>
      <c r="DW153" s="16">
        <f>IF(ISNA(VLOOKUP(A153,'Données projet'!$A$165:$I$185,4,0)),0,VLOOKUP(A153,'Données projet'!$A$165:$I$185,4,0))</f>
        <v>316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439.85550025655579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-3.979039320256561E-13</v>
      </c>
      <c r="O154" s="14">
        <f>N154*VLOOKUP('Données projet'!$B$9,Paramètres!$A$1:$I$89,3,0)*VLOOKUP('Données projet'!$B$9,Paramètres!$A$1:$I$89,5,0)</f>
        <v>-3.6002347769681362E-13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415.89259563928869</v>
      </c>
      <c r="T154" s="62">
        <f t="shared" si="142"/>
        <v>240.19413322685813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-3.7243808037601412E-14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214.08705070588002</v>
      </c>
      <c r="AO154" s="62">
        <f t="shared" si="144"/>
        <v>251.33527585147152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-3.2514435588382188E-14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239.41486198585676</v>
      </c>
      <c r="BJ154" s="62">
        <f t="shared" si="146"/>
        <v>224.9174498508774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1.8958571261277706E-18</v>
      </c>
      <c r="BS154" s="24">
        <f t="shared" ref="BS154:BS203" si="169">SUM(BP154:BR154)</f>
        <v>1.8958571261277706E-18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-5.6843418860808015E-13</v>
      </c>
      <c r="BZ154" s="14">
        <f>BY154*VLOOKUP('Données projet'!$B$12,Paramètres!$A$1:$I$89,3,0)*VLOOKUP('Données projet'!$B$12,Paramètres!$A$1:$I$89,5,0)</f>
        <v>-3.39923644787632E-13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288.65195492450403</v>
      </c>
      <c r="CE154" s="62">
        <f t="shared" si="148"/>
        <v>310.66800441693891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1.8881435116364766E-17</v>
      </c>
      <c r="CN154" s="24">
        <f t="shared" ref="CN154:CN203" si="172">SUM(CK154:CM154)</f>
        <v>1.8881435116364766E-17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-6.8212102632969618E-13</v>
      </c>
      <c r="CU154" s="18">
        <f>CT154*VLOOKUP('Données projet'!$B$13,Paramètres!$A$1:$I$89,3,0)*VLOOKUP('Données projet'!$B$13,Paramètres!$A$1:$I$89,5,0)</f>
        <v>-3.0149749363772573E-13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572.6451446653349</v>
      </c>
      <c r="CZ154" s="62">
        <f t="shared" si="150"/>
        <v>389.15977992931374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-3.979039320256561E-13</v>
      </c>
      <c r="DP154" s="18">
        <f>DO154*VLOOKUP('Données projet'!$B$14,Paramètres!$A$1:$I$89,3,0)*VLOOKUP('Données projet'!$B$14,Paramètres!$A$1:$I$89,5,0)</f>
        <v>-3.3519427233841274E-13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383.83934938682984</v>
      </c>
      <c r="DU154" s="62">
        <f t="shared" si="152"/>
        <v>223.93106361972281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441.03805972146552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-3.979039320256561E-13</v>
      </c>
      <c r="O155" s="14">
        <f>N155*VLOOKUP('Données projet'!$B$9,Paramètres!$A$1:$I$89,3,0)*VLOOKUP('Données projet'!$B$9,Paramètres!$A$1:$I$89,5,0)</f>
        <v>-3.6002347769681362E-13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415.89259563928869</v>
      </c>
      <c r="T155" s="62">
        <f t="shared" si="142"/>
        <v>240.19413322685813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-3.7243808037601412E-14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214.08705070588002</v>
      </c>
      <c r="AO155" s="62">
        <f t="shared" si="144"/>
        <v>251.33527585147152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-3.2514435588382188E-14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239.41486198585676</v>
      </c>
      <c r="BJ155" s="62">
        <f t="shared" si="146"/>
        <v>224.9174498508774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1.3405734300457864E-18</v>
      </c>
      <c r="BS155" s="24">
        <f t="shared" si="169"/>
        <v>1.3405734300457864E-18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-5.6843418860808015E-13</v>
      </c>
      <c r="BZ155" s="14">
        <f>BY155*VLOOKUP('Données projet'!$B$12,Paramètres!$A$1:$I$89,3,0)*VLOOKUP('Données projet'!$B$12,Paramètres!$A$1:$I$89,5,0)</f>
        <v>-3.39923644787632E-13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288.65195492450403</v>
      </c>
      <c r="CE155" s="62">
        <f t="shared" si="148"/>
        <v>310.66800441693891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1.3351190809315336E-17</v>
      </c>
      <c r="CN155" s="24">
        <f t="shared" si="172"/>
        <v>1.3351190809315336E-17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-6.8212102632969618E-13</v>
      </c>
      <c r="CU155" s="18">
        <f>CT155*VLOOKUP('Données projet'!$B$13,Paramètres!$A$1:$I$89,3,0)*VLOOKUP('Données projet'!$B$13,Paramètres!$A$1:$I$89,5,0)</f>
        <v>-3.0149749363772573E-13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572.6451446653349</v>
      </c>
      <c r="CZ155" s="62">
        <f t="shared" si="150"/>
        <v>389.15977992931374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-3.979039320256561E-13</v>
      </c>
      <c r="DP155" s="18">
        <f>DO155*VLOOKUP('Données projet'!$B$14,Paramètres!$A$1:$I$89,3,0)*VLOOKUP('Données projet'!$B$14,Paramètres!$A$1:$I$89,5,0)</f>
        <v>-3.3519427233841274E-13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383.83934938682984</v>
      </c>
      <c r="DU155" s="62">
        <f t="shared" si="152"/>
        <v>223.93106361972281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442.22044188882654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-3.979039320256561E-13</v>
      </c>
      <c r="O156" s="14">
        <f>N156*VLOOKUP('Données projet'!$B$9,Paramètres!$A$1:$I$89,3,0)*VLOOKUP('Données projet'!$B$9,Paramètres!$A$1:$I$89,5,0)</f>
        <v>-3.6002347769681362E-13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415.89259563928869</v>
      </c>
      <c r="T156" s="62">
        <f t="shared" si="142"/>
        <v>240.19413322685813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-3.7243808037601412E-14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214.08705070588002</v>
      </c>
      <c r="AO156" s="62">
        <f t="shared" si="144"/>
        <v>251.33527585147152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-3.2514435588382188E-14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239.41486198585676</v>
      </c>
      <c r="BJ156" s="62">
        <f t="shared" si="146"/>
        <v>224.9174498508774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9.4792856306388532E-19</v>
      </c>
      <c r="BS156" s="24">
        <f t="shared" si="169"/>
        <v>9.4792856306388532E-19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-5.6843418860808015E-13</v>
      </c>
      <c r="BZ156" s="14">
        <f>BY156*VLOOKUP('Données projet'!$B$12,Paramètres!$A$1:$I$89,3,0)*VLOOKUP('Données projet'!$B$12,Paramètres!$A$1:$I$89,5,0)</f>
        <v>-3.39923644787632E-13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288.65195492450403</v>
      </c>
      <c r="CE156" s="62">
        <f t="shared" si="148"/>
        <v>310.66800441693891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9.4407175581823845E-18</v>
      </c>
      <c r="CN156" s="24">
        <f t="shared" si="172"/>
        <v>9.4407175581823845E-18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-6.8212102632969618E-13</v>
      </c>
      <c r="CU156" s="18">
        <f>CT156*VLOOKUP('Données projet'!$B$13,Paramètres!$A$1:$I$89,3,0)*VLOOKUP('Données projet'!$B$13,Paramètres!$A$1:$I$89,5,0)</f>
        <v>-3.0149749363772573E-13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572.6451446653349</v>
      </c>
      <c r="CZ156" s="62">
        <f t="shared" si="150"/>
        <v>389.15977992931374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-3.979039320256561E-13</v>
      </c>
      <c r="DP156" s="18">
        <f>DO156*VLOOKUP('Données projet'!$B$14,Paramètres!$A$1:$I$89,3,0)*VLOOKUP('Données projet'!$B$14,Paramètres!$A$1:$I$89,5,0)</f>
        <v>-3.3519427233841274E-13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383.83934938682984</v>
      </c>
      <c r="DU156" s="62">
        <f t="shared" si="152"/>
        <v>223.93106361972281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443.40264805185802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-3.979039320256561E-13</v>
      </c>
      <c r="O157" s="14">
        <f>N157*VLOOKUP('Données projet'!$B$9,Paramètres!$A$1:$I$89,3,0)*VLOOKUP('Données projet'!$B$9,Paramètres!$A$1:$I$89,5,0)</f>
        <v>-3.6002347769681362E-13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415.89259563928869</v>
      </c>
      <c r="T157" s="62">
        <f t="shared" si="142"/>
        <v>240.19413322685813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-3.7243808037601412E-14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214.08705070588002</v>
      </c>
      <c r="AO157" s="62">
        <f t="shared" si="144"/>
        <v>251.33527585147152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-3.2514435588382188E-14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239.41486198585676</v>
      </c>
      <c r="BJ157" s="62">
        <f t="shared" si="146"/>
        <v>224.9174498508774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6.7028671502289318E-19</v>
      </c>
      <c r="BS157" s="24">
        <f t="shared" si="169"/>
        <v>6.7028671502289318E-19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-5.6843418860808015E-13</v>
      </c>
      <c r="BZ157" s="14">
        <f>BY157*VLOOKUP('Données projet'!$B$12,Paramètres!$A$1:$I$89,3,0)*VLOOKUP('Données projet'!$B$12,Paramètres!$A$1:$I$89,5,0)</f>
        <v>-3.39923644787632E-13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288.65195492450403</v>
      </c>
      <c r="CE157" s="62">
        <f t="shared" si="148"/>
        <v>310.66800441693891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6.6755954046576694E-18</v>
      </c>
      <c r="CN157" s="24">
        <f t="shared" si="172"/>
        <v>6.6755954046576694E-18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-6.8212102632969618E-13</v>
      </c>
      <c r="CU157" s="18">
        <f>CT157*VLOOKUP('Données projet'!$B$13,Paramètres!$A$1:$I$89,3,0)*VLOOKUP('Données projet'!$B$13,Paramètres!$A$1:$I$89,5,0)</f>
        <v>-3.0149749363772573E-13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572.6451446653349</v>
      </c>
      <c r="CZ157" s="62">
        <f t="shared" si="150"/>
        <v>389.15977992931374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-3.979039320256561E-13</v>
      </c>
      <c r="DP157" s="18">
        <f>DO157*VLOOKUP('Données projet'!$B$14,Paramètres!$A$1:$I$89,3,0)*VLOOKUP('Données projet'!$B$14,Paramètres!$A$1:$I$89,5,0)</f>
        <v>-3.3519427233841274E-13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383.83934938682984</v>
      </c>
      <c r="DU157" s="62">
        <f t="shared" si="152"/>
        <v>223.93106361972281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444.58467948601304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-3.979039320256561E-13</v>
      </c>
      <c r="O158" s="14">
        <f>N158*VLOOKUP('Données projet'!$B$9,Paramètres!$A$1:$I$89,3,0)*VLOOKUP('Données projet'!$B$9,Paramètres!$A$1:$I$89,5,0)</f>
        <v>-3.6002347769681362E-13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415.89259563928869</v>
      </c>
      <c r="T158" s="62">
        <f t="shared" si="142"/>
        <v>240.19413322685813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-3.7243808037601412E-14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214.08705070588002</v>
      </c>
      <c r="AO158" s="62">
        <f t="shared" si="144"/>
        <v>251.33527585147152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-3.2514435588382188E-14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239.41486198585676</v>
      </c>
      <c r="BJ158" s="62">
        <f t="shared" si="146"/>
        <v>224.9174498508774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4.7396428153194266E-19</v>
      </c>
      <c r="BS158" s="24">
        <f t="shared" si="169"/>
        <v>4.7396428153194266E-19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-5.6843418860808015E-13</v>
      </c>
      <c r="BZ158" s="14">
        <f>BY158*VLOOKUP('Données projet'!$B$12,Paramètres!$A$1:$I$89,3,0)*VLOOKUP('Données projet'!$B$12,Paramètres!$A$1:$I$89,5,0)</f>
        <v>-3.39923644787632E-13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288.65195492450403</v>
      </c>
      <c r="CE158" s="62">
        <f t="shared" si="148"/>
        <v>310.66800441693891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4.720358779091193E-18</v>
      </c>
      <c r="CN158" s="24">
        <f t="shared" si="172"/>
        <v>4.720358779091193E-18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-6.8212102632969618E-13</v>
      </c>
      <c r="CU158" s="18">
        <f>CT158*VLOOKUP('Données projet'!$B$13,Paramètres!$A$1:$I$89,3,0)*VLOOKUP('Données projet'!$B$13,Paramètres!$A$1:$I$89,5,0)</f>
        <v>-3.0149749363772573E-13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572.6451446653349</v>
      </c>
      <c r="CZ158" s="62">
        <f t="shared" si="150"/>
        <v>389.15977992931374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-3.979039320256561E-13</v>
      </c>
      <c r="DP158" s="18">
        <f>DO158*VLOOKUP('Données projet'!$B$14,Paramètres!$A$1:$I$89,3,0)*VLOOKUP('Données projet'!$B$14,Paramètres!$A$1:$I$89,5,0)</f>
        <v>-3.3519427233841274E-13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383.83934938682984</v>
      </c>
      <c r="DU158" s="62">
        <f t="shared" si="152"/>
        <v>223.93106361972281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445.76653744933537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-3.979039320256561E-13</v>
      </c>
      <c r="O159" s="14">
        <f>N159*VLOOKUP('Données projet'!$B$9,Paramètres!$A$1:$I$89,3,0)*VLOOKUP('Données projet'!$B$9,Paramètres!$A$1:$I$89,5,0)</f>
        <v>-3.6002347769681362E-13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415.89259563928869</v>
      </c>
      <c r="T159" s="62">
        <f t="shared" si="142"/>
        <v>240.19413322685813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-3.7243808037601412E-14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214.08705070588002</v>
      </c>
      <c r="AO159" s="62">
        <f t="shared" si="144"/>
        <v>251.33527585147152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-3.2514435588382188E-14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239.41486198585676</v>
      </c>
      <c r="BJ159" s="62">
        <f t="shared" si="146"/>
        <v>224.9174498508774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3.3514335751144659E-19</v>
      </c>
      <c r="BS159" s="24">
        <f t="shared" si="169"/>
        <v>3.3514335751144659E-19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-5.6843418860808015E-13</v>
      </c>
      <c r="BZ159" s="14">
        <f>BY159*VLOOKUP('Données projet'!$B$12,Paramètres!$A$1:$I$89,3,0)*VLOOKUP('Données projet'!$B$12,Paramètres!$A$1:$I$89,5,0)</f>
        <v>-3.39923644787632E-13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288.65195492450403</v>
      </c>
      <c r="CE159" s="62">
        <f t="shared" si="148"/>
        <v>310.66800441693891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3.3377977023288351E-18</v>
      </c>
      <c r="CN159" s="24">
        <f t="shared" si="172"/>
        <v>3.3377977023288351E-18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-6.8212102632969618E-13</v>
      </c>
      <c r="CU159" s="18">
        <f>CT159*VLOOKUP('Données projet'!$B$13,Paramètres!$A$1:$I$89,3,0)*VLOOKUP('Données projet'!$B$13,Paramètres!$A$1:$I$89,5,0)</f>
        <v>-3.0149749363772573E-13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572.6451446653349</v>
      </c>
      <c r="CZ159" s="62">
        <f t="shared" si="150"/>
        <v>389.15977992931374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-3.979039320256561E-13</v>
      </c>
      <c r="DP159" s="18">
        <f>DO159*VLOOKUP('Données projet'!$B$14,Paramètres!$A$1:$I$89,3,0)*VLOOKUP('Données projet'!$B$14,Paramètres!$A$1:$I$89,5,0)</f>
        <v>-3.3519427233841274E-13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383.83934938682984</v>
      </c>
      <c r="DU159" s="62">
        <f t="shared" si="152"/>
        <v>223.93106361972281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446.94822318280762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-3.979039320256561E-13</v>
      </c>
      <c r="O160" s="14">
        <f>N160*VLOOKUP('Données projet'!$B$9,Paramètres!$A$1:$I$89,3,0)*VLOOKUP('Données projet'!$B$9,Paramètres!$A$1:$I$89,5,0)</f>
        <v>-3.6002347769681362E-13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415.89259563928869</v>
      </c>
      <c r="T160" s="62">
        <f t="shared" si="142"/>
        <v>240.19413322685813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-3.7243808037601412E-14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214.08705070588002</v>
      </c>
      <c r="AO160" s="62">
        <f t="shared" si="144"/>
        <v>251.33527585147152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-3.2514435588382188E-14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239.41486198585676</v>
      </c>
      <c r="BJ160" s="62">
        <f t="shared" si="146"/>
        <v>224.9174498508774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2.3698214076597133E-19</v>
      </c>
      <c r="BS160" s="24">
        <f t="shared" si="169"/>
        <v>2.3698214076597133E-19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-5.6843418860808015E-13</v>
      </c>
      <c r="BZ160" s="14">
        <f>BY160*VLOOKUP('Données projet'!$B$12,Paramètres!$A$1:$I$89,3,0)*VLOOKUP('Données projet'!$B$12,Paramètres!$A$1:$I$89,5,0)</f>
        <v>-3.39923644787632E-13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288.65195492450403</v>
      </c>
      <c r="CE160" s="62">
        <f t="shared" si="148"/>
        <v>310.66800441693891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2.3601793895455969E-18</v>
      </c>
      <c r="CN160" s="24">
        <f t="shared" si="172"/>
        <v>2.3601793895455969E-18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-6.8212102632969618E-13</v>
      </c>
      <c r="CU160" s="18">
        <f>CT160*VLOOKUP('Données projet'!$B$13,Paramètres!$A$1:$I$89,3,0)*VLOOKUP('Données projet'!$B$13,Paramètres!$A$1:$I$89,5,0)</f>
        <v>-3.0149749363772573E-13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572.6451446653349</v>
      </c>
      <c r="CZ160" s="62">
        <f t="shared" si="150"/>
        <v>389.15977992931374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-3.979039320256561E-13</v>
      </c>
      <c r="DP160" s="18">
        <f>DO160*VLOOKUP('Données projet'!$B$14,Paramètres!$A$1:$I$89,3,0)*VLOOKUP('Données projet'!$B$14,Paramètres!$A$1:$I$89,5,0)</f>
        <v>-3.3519427233841274E-13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383.83934938682984</v>
      </c>
      <c r="DU160" s="62">
        <f t="shared" si="152"/>
        <v>223.93106361972281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448.12973791068919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-3.979039320256561E-13</v>
      </c>
      <c r="O161" s="14">
        <f>N161*VLOOKUP('Données projet'!$B$9,Paramètres!$A$1:$I$89,3,0)*VLOOKUP('Données projet'!$B$9,Paramètres!$A$1:$I$89,5,0)</f>
        <v>-3.6002347769681362E-13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415.89259563928869</v>
      </c>
      <c r="T161" s="62">
        <f t="shared" si="142"/>
        <v>240.19413322685813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-3.7243808037601412E-14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214.08705070588002</v>
      </c>
      <c r="AO161" s="62">
        <f t="shared" si="144"/>
        <v>251.33527585147152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-3.2514435588382188E-14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239.41486198585676</v>
      </c>
      <c r="BJ161" s="62">
        <f t="shared" si="146"/>
        <v>224.9174498508774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1.6757167875572329E-19</v>
      </c>
      <c r="BS161" s="24">
        <f t="shared" si="169"/>
        <v>1.6757167875572329E-19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-5.6843418860808015E-13</v>
      </c>
      <c r="BZ161" s="14">
        <f>BY161*VLOOKUP('Données projet'!$B$12,Paramètres!$A$1:$I$89,3,0)*VLOOKUP('Données projet'!$B$12,Paramètres!$A$1:$I$89,5,0)</f>
        <v>-3.39923644787632E-13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288.65195492450403</v>
      </c>
      <c r="CE161" s="62">
        <f t="shared" si="148"/>
        <v>310.66800441693891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1.6688988511644177E-18</v>
      </c>
      <c r="CN161" s="24">
        <f t="shared" si="172"/>
        <v>1.6688988511644177E-18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-6.8212102632969618E-13</v>
      </c>
      <c r="CU161" s="18">
        <f>CT161*VLOOKUP('Données projet'!$B$13,Paramètres!$A$1:$I$89,3,0)*VLOOKUP('Données projet'!$B$13,Paramètres!$A$1:$I$89,5,0)</f>
        <v>-3.0149749363772573E-13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572.6451446653349</v>
      </c>
      <c r="CZ161" s="62">
        <f t="shared" si="150"/>
        <v>389.15977992931374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-3.979039320256561E-13</v>
      </c>
      <c r="DP161" s="18">
        <f>DO161*VLOOKUP('Données projet'!$B$14,Paramètres!$A$1:$I$89,3,0)*VLOOKUP('Données projet'!$B$14,Paramètres!$A$1:$I$89,5,0)</f>
        <v>-3.3519427233841274E-13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383.83934938682984</v>
      </c>
      <c r="DU161" s="62">
        <f t="shared" si="152"/>
        <v>223.93106361972281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449.31108284084667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-3.979039320256561E-13</v>
      </c>
      <c r="O162" s="14">
        <f>N162*VLOOKUP('Données projet'!$B$9,Paramètres!$A$1:$I$89,3,0)*VLOOKUP('Données projet'!$B$9,Paramètres!$A$1:$I$89,5,0)</f>
        <v>-3.6002347769681362E-13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415.89259563928869</v>
      </c>
      <c r="T162" s="62">
        <f t="shared" si="142"/>
        <v>240.19413322685813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-3.7243808037601412E-14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214.08705070588002</v>
      </c>
      <c r="AO162" s="62">
        <f t="shared" si="144"/>
        <v>251.33527585147152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-3.2514435588382188E-14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239.41486198585676</v>
      </c>
      <c r="BJ162" s="62">
        <f t="shared" si="146"/>
        <v>224.9174498508774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1.1849107038298567E-19</v>
      </c>
      <c r="BS162" s="24">
        <f t="shared" si="169"/>
        <v>1.1849107038298567E-19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-5.6843418860808015E-13</v>
      </c>
      <c r="BZ162" s="14">
        <f>BY162*VLOOKUP('Données projet'!$B$12,Paramètres!$A$1:$I$89,3,0)*VLOOKUP('Données projet'!$B$12,Paramètres!$A$1:$I$89,5,0)</f>
        <v>-3.39923644787632E-13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288.65195492450403</v>
      </c>
      <c r="CE162" s="62">
        <f t="shared" si="148"/>
        <v>310.66800441693891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1.1800896947727985E-18</v>
      </c>
      <c r="CN162" s="24">
        <f t="shared" si="172"/>
        <v>1.1800896947727985E-18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-6.8212102632969618E-13</v>
      </c>
      <c r="CU162" s="18">
        <f>CT162*VLOOKUP('Données projet'!$B$13,Paramètres!$A$1:$I$89,3,0)*VLOOKUP('Données projet'!$B$13,Paramètres!$A$1:$I$89,5,0)</f>
        <v>-3.0149749363772573E-13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572.6451446653349</v>
      </c>
      <c r="CZ162" s="62">
        <f t="shared" si="150"/>
        <v>389.15977992931374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-3.979039320256561E-13</v>
      </c>
      <c r="DP162" s="18">
        <f>DO162*VLOOKUP('Données projet'!$B$14,Paramètres!$A$1:$I$89,3,0)*VLOOKUP('Données projet'!$B$14,Paramètres!$A$1:$I$89,5,0)</f>
        <v>-3.3519427233841274E-13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383.83934938682984</v>
      </c>
      <c r="DU162" s="62">
        <f t="shared" si="152"/>
        <v>223.93106361972281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450.4922591650743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-3.979039320256561E-13</v>
      </c>
      <c r="O163" s="14">
        <f>N163*VLOOKUP('Données projet'!$B$9,Paramètres!$A$1:$I$89,3,0)*VLOOKUP('Données projet'!$B$9,Paramètres!$A$1:$I$89,5,0)</f>
        <v>-3.6002347769681362E-13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415.89259563928869</v>
      </c>
      <c r="T163" s="62">
        <f t="shared" si="142"/>
        <v>240.19413322685813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-3.7243808037601412E-14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214.08705070588002</v>
      </c>
      <c r="AO163" s="62">
        <f t="shared" si="144"/>
        <v>251.33527585147152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-3.2514435588382188E-14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239.41486198585676</v>
      </c>
      <c r="BJ163" s="62">
        <f t="shared" si="146"/>
        <v>224.9174498508774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8.3785839377861647E-20</v>
      </c>
      <c r="BS163" s="24">
        <f t="shared" si="169"/>
        <v>8.3785839377861647E-20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-5.6843418860808015E-13</v>
      </c>
      <c r="BZ163" s="14">
        <f>BY163*VLOOKUP('Données projet'!$B$12,Paramètres!$A$1:$I$89,3,0)*VLOOKUP('Données projet'!$B$12,Paramètres!$A$1:$I$89,5,0)</f>
        <v>-3.39923644787632E-13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288.65195492450403</v>
      </c>
      <c r="CE163" s="62">
        <f t="shared" si="148"/>
        <v>310.66800441693891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8.3444942558220886E-19</v>
      </c>
      <c r="CN163" s="24">
        <f t="shared" si="172"/>
        <v>8.3444942558220886E-19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-6.8212102632969618E-13</v>
      </c>
      <c r="CU163" s="18">
        <f>CT163*VLOOKUP('Données projet'!$B$13,Paramètres!$A$1:$I$89,3,0)*VLOOKUP('Données projet'!$B$13,Paramètres!$A$1:$I$89,5,0)</f>
        <v>-3.0149749363772573E-13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572.6451446653349</v>
      </c>
      <c r="CZ163" s="62">
        <f t="shared" si="150"/>
        <v>389.15977992931374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-3.979039320256561E-13</v>
      </c>
      <c r="DP163" s="18">
        <f>DO163*VLOOKUP('Données projet'!$B$14,Paramètres!$A$1:$I$89,3,0)*VLOOKUP('Données projet'!$B$14,Paramètres!$A$1:$I$89,5,0)</f>
        <v>-3.3519427233841274E-13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383.83934938682984</v>
      </c>
      <c r="DU163" s="62">
        <f t="shared" si="152"/>
        <v>223.93106361972281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451.67326805940763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-3.979039320256561E-13</v>
      </c>
      <c r="O164" s="14">
        <f>N164*VLOOKUP('Données projet'!$B$9,Paramètres!$A$1:$I$89,3,0)*VLOOKUP('Données projet'!$B$9,Paramètres!$A$1:$I$89,5,0)</f>
        <v>-3.6002347769681362E-13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415.89259563928869</v>
      </c>
      <c r="T164" s="62">
        <f t="shared" si="142"/>
        <v>240.19413322685813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-3.7243808037601412E-14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214.08705070588002</v>
      </c>
      <c r="AO164" s="62">
        <f t="shared" si="144"/>
        <v>251.33527585147152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-3.2514435588382188E-14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239.41486198585676</v>
      </c>
      <c r="BJ164" s="62">
        <f t="shared" si="146"/>
        <v>224.9174498508774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5.9245535191492833E-20</v>
      </c>
      <c r="BS164" s="24">
        <f t="shared" si="169"/>
        <v>5.9245535191492833E-20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-5.6843418860808015E-13</v>
      </c>
      <c r="BZ164" s="14">
        <f>BY164*VLOOKUP('Données projet'!$B$12,Paramètres!$A$1:$I$89,3,0)*VLOOKUP('Données projet'!$B$12,Paramètres!$A$1:$I$89,5,0)</f>
        <v>-3.39923644787632E-13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288.65195492450403</v>
      </c>
      <c r="CE164" s="62">
        <f t="shared" si="148"/>
        <v>310.66800441693891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5.9004484738639923E-19</v>
      </c>
      <c r="CN164" s="24">
        <f t="shared" si="172"/>
        <v>5.9004484738639923E-19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-6.8212102632969618E-13</v>
      </c>
      <c r="CU164" s="18">
        <f>CT164*VLOOKUP('Données projet'!$B$13,Paramètres!$A$1:$I$89,3,0)*VLOOKUP('Données projet'!$B$13,Paramètres!$A$1:$I$89,5,0)</f>
        <v>-3.0149749363772573E-13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572.6451446653349</v>
      </c>
      <c r="CZ164" s="62">
        <f t="shared" si="150"/>
        <v>389.15977992931374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-3.979039320256561E-13</v>
      </c>
      <c r="DP164" s="18">
        <f>DO164*VLOOKUP('Données projet'!$B$14,Paramètres!$A$1:$I$89,3,0)*VLOOKUP('Données projet'!$B$14,Paramètres!$A$1:$I$89,5,0)</f>
        <v>-3.3519427233841274E-13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383.83934938682984</v>
      </c>
      <c r="DU164" s="62">
        <f t="shared" si="152"/>
        <v>223.93106361972281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452.85411068442789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-3.979039320256561E-13</v>
      </c>
      <c r="O165" s="14">
        <f>N165*VLOOKUP('Données projet'!$B$9,Paramètres!$A$1:$I$89,3,0)*VLOOKUP('Données projet'!$B$9,Paramètres!$A$1:$I$89,5,0)</f>
        <v>-3.6002347769681362E-13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415.89259563928869</v>
      </c>
      <c r="T165" s="62">
        <f t="shared" si="142"/>
        <v>240.19413322685813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-3.7243808037601412E-14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214.08705070588002</v>
      </c>
      <c r="AO165" s="62">
        <f t="shared" si="144"/>
        <v>251.33527585147152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-3.2514435588382188E-14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239.41486198585676</v>
      </c>
      <c r="BJ165" s="62">
        <f t="shared" si="146"/>
        <v>224.9174498508774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4.1892919688930824E-20</v>
      </c>
      <c r="BS165" s="24">
        <f t="shared" si="169"/>
        <v>4.1892919688930824E-20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-5.6843418860808015E-13</v>
      </c>
      <c r="BZ165" s="14">
        <f>BY165*VLOOKUP('Données projet'!$B$12,Paramètres!$A$1:$I$89,3,0)*VLOOKUP('Données projet'!$B$12,Paramètres!$A$1:$I$89,5,0)</f>
        <v>-3.39923644787632E-13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288.65195492450403</v>
      </c>
      <c r="CE165" s="62">
        <f t="shared" si="148"/>
        <v>310.66800441693891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4.1722471279110443E-19</v>
      </c>
      <c r="CN165" s="24">
        <f t="shared" si="172"/>
        <v>4.1722471279110443E-19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-6.8212102632969618E-13</v>
      </c>
      <c r="CU165" s="18">
        <f>CT165*VLOOKUP('Données projet'!$B$13,Paramètres!$A$1:$I$89,3,0)*VLOOKUP('Données projet'!$B$13,Paramètres!$A$1:$I$89,5,0)</f>
        <v>-3.0149749363772573E-13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572.6451446653349</v>
      </c>
      <c r="CZ165" s="62">
        <f t="shared" si="150"/>
        <v>389.15977992931374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-3.979039320256561E-13</v>
      </c>
      <c r="DP165" s="18">
        <f>DO165*VLOOKUP('Données projet'!$B$14,Paramètres!$A$1:$I$89,3,0)*VLOOKUP('Données projet'!$B$14,Paramètres!$A$1:$I$89,5,0)</f>
        <v>-3.3519427233841274E-13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383.83934938682984</v>
      </c>
      <c r="DU165" s="62">
        <f t="shared" si="152"/>
        <v>223.93106361972281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454.03478818555948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-3.979039320256561E-13</v>
      </c>
      <c r="O166" s="14">
        <f>N166*VLOOKUP('Données projet'!$B$9,Paramètres!$A$1:$I$89,3,0)*VLOOKUP('Données projet'!$B$9,Paramètres!$A$1:$I$89,5,0)</f>
        <v>-3.6002347769681362E-13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415.89259563928869</v>
      </c>
      <c r="T166" s="62">
        <f t="shared" si="142"/>
        <v>240.19413322685813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-3.7243808037601412E-14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214.08705070588002</v>
      </c>
      <c r="AO166" s="62">
        <f t="shared" si="144"/>
        <v>251.33527585147152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-3.2514435588382188E-14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239.41486198585676</v>
      </c>
      <c r="BJ166" s="62">
        <f t="shared" si="146"/>
        <v>224.9174498508774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2.9622767595746416E-20</v>
      </c>
      <c r="BS166" s="24">
        <f t="shared" si="169"/>
        <v>2.9622767595746416E-20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-5.6843418860808015E-13</v>
      </c>
      <c r="BZ166" s="14">
        <f>BY166*VLOOKUP('Données projet'!$B$12,Paramètres!$A$1:$I$89,3,0)*VLOOKUP('Données projet'!$B$12,Paramètres!$A$1:$I$89,5,0)</f>
        <v>-3.39923644787632E-13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288.65195492450403</v>
      </c>
      <c r="CE166" s="62">
        <f t="shared" si="148"/>
        <v>310.66800441693891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2.9502242369319961E-19</v>
      </c>
      <c r="CN166" s="24">
        <f t="shared" si="172"/>
        <v>2.9502242369319961E-19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-6.8212102632969618E-13</v>
      </c>
      <c r="CU166" s="18">
        <f>CT166*VLOOKUP('Données projet'!$B$13,Paramètres!$A$1:$I$89,3,0)*VLOOKUP('Données projet'!$B$13,Paramètres!$A$1:$I$89,5,0)</f>
        <v>-3.0149749363772573E-13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572.6451446653349</v>
      </c>
      <c r="CZ166" s="62">
        <f t="shared" si="150"/>
        <v>389.15977992931374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-3.979039320256561E-13</v>
      </c>
      <c r="DP166" s="18">
        <f>DO166*VLOOKUP('Données projet'!$B$14,Paramètres!$A$1:$I$89,3,0)*VLOOKUP('Données projet'!$B$14,Paramètres!$A$1:$I$89,5,0)</f>
        <v>-3.3519427233841274E-13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383.83934938682984</v>
      </c>
      <c r="DU166" s="62">
        <f t="shared" si="152"/>
        <v>223.93106361972281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455.21530169335966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-3.979039320256561E-13</v>
      </c>
      <c r="O167" s="14">
        <f>N167*VLOOKUP('Données projet'!$B$9,Paramètres!$A$1:$I$89,3,0)*VLOOKUP('Données projet'!$B$9,Paramètres!$A$1:$I$89,5,0)</f>
        <v>-3.6002347769681362E-13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415.89259563928869</v>
      </c>
      <c r="T167" s="62">
        <f t="shared" si="142"/>
        <v>240.19413322685813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-3.7243808037601412E-14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214.08705070588002</v>
      </c>
      <c r="AO167" s="62">
        <f t="shared" si="144"/>
        <v>251.33527585147152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-3.2514435588382188E-14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239.41486198585676</v>
      </c>
      <c r="BJ167" s="62">
        <f t="shared" si="146"/>
        <v>224.9174498508774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2.0946459844465412E-20</v>
      </c>
      <c r="BS167" s="24">
        <f t="shared" si="169"/>
        <v>2.0946459844465412E-20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-5.6843418860808015E-13</v>
      </c>
      <c r="BZ167" s="14">
        <f>BY167*VLOOKUP('Données projet'!$B$12,Paramètres!$A$1:$I$89,3,0)*VLOOKUP('Données projet'!$B$12,Paramètres!$A$1:$I$89,5,0)</f>
        <v>-3.39923644787632E-13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288.65195492450403</v>
      </c>
      <c r="CE167" s="62">
        <f t="shared" si="148"/>
        <v>310.66800441693891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2.0861235639555222E-19</v>
      </c>
      <c r="CN167" s="24">
        <f t="shared" si="172"/>
        <v>2.0861235639555222E-19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-6.8212102632969618E-13</v>
      </c>
      <c r="CU167" s="18">
        <f>CT167*VLOOKUP('Données projet'!$B$13,Paramètres!$A$1:$I$89,3,0)*VLOOKUP('Données projet'!$B$13,Paramètres!$A$1:$I$89,5,0)</f>
        <v>-3.0149749363772573E-13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572.6451446653349</v>
      </c>
      <c r="CZ167" s="62">
        <f t="shared" si="150"/>
        <v>389.15977992931374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-3.979039320256561E-13</v>
      </c>
      <c r="DP167" s="18">
        <f>DO167*VLOOKUP('Données projet'!$B$14,Paramètres!$A$1:$I$89,3,0)*VLOOKUP('Données projet'!$B$14,Paramètres!$A$1:$I$89,5,0)</f>
        <v>-3.3519427233841274E-13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383.83934938682984</v>
      </c>
      <c r="DU167" s="62">
        <f t="shared" si="152"/>
        <v>223.93106361972281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456.39565232380079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-3.979039320256561E-13</v>
      </c>
      <c r="O168" s="14">
        <f>N168*VLOOKUP('Données projet'!$B$9,Paramètres!$A$1:$I$89,3,0)*VLOOKUP('Données projet'!$B$9,Paramètres!$A$1:$I$89,5,0)</f>
        <v>-3.6002347769681362E-13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415.89259563928869</v>
      </c>
      <c r="T168" s="62">
        <f t="shared" si="142"/>
        <v>240.19413322685813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-3.7243808037601412E-14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214.08705070588002</v>
      </c>
      <c r="AO168" s="62">
        <f t="shared" si="144"/>
        <v>251.33527585147152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-3.2514435588382188E-14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239.41486198585676</v>
      </c>
      <c r="BJ168" s="62">
        <f t="shared" si="146"/>
        <v>224.9174498508774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1.4811383797873208E-20</v>
      </c>
      <c r="BS168" s="24">
        <f t="shared" si="169"/>
        <v>1.4811383797873208E-20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-5.6843418860808015E-13</v>
      </c>
      <c r="BZ168" s="14">
        <f>BY168*VLOOKUP('Données projet'!$B$12,Paramètres!$A$1:$I$89,3,0)*VLOOKUP('Données projet'!$B$12,Paramètres!$A$1:$I$89,5,0)</f>
        <v>-3.39923644787632E-13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288.65195492450403</v>
      </c>
      <c r="CE168" s="62">
        <f t="shared" si="148"/>
        <v>310.66800441693891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1.4751121184659981E-19</v>
      </c>
      <c r="CN168" s="24">
        <f t="shared" si="172"/>
        <v>1.4751121184659981E-19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-6.8212102632969618E-13</v>
      </c>
      <c r="CU168" s="18">
        <f>CT168*VLOOKUP('Données projet'!$B$13,Paramètres!$A$1:$I$89,3,0)*VLOOKUP('Données projet'!$B$13,Paramètres!$A$1:$I$89,5,0)</f>
        <v>-3.0149749363772573E-13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572.6451446653349</v>
      </c>
      <c r="CZ168" s="62">
        <f t="shared" si="150"/>
        <v>389.15977992931374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-3.979039320256561E-13</v>
      </c>
      <c r="DP168" s="18">
        <f>DO168*VLOOKUP('Données projet'!$B$14,Paramètres!$A$1:$I$89,3,0)*VLOOKUP('Données projet'!$B$14,Paramètres!$A$1:$I$89,5,0)</f>
        <v>-3.3519427233841274E-13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383.83934938682984</v>
      </c>
      <c r="DU168" s="62">
        <f t="shared" si="152"/>
        <v>223.93106361972281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457.57584117854583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-3.979039320256561E-13</v>
      </c>
      <c r="O169" s="14">
        <f>N169*VLOOKUP('Données projet'!$B$9,Paramètres!$A$1:$I$89,3,0)*VLOOKUP('Données projet'!$B$9,Paramètres!$A$1:$I$89,5,0)</f>
        <v>-3.6002347769681362E-13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415.89259563928869</v>
      </c>
      <c r="T169" s="62">
        <f t="shared" si="142"/>
        <v>240.19413322685813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-3.7243808037601412E-14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214.08705070588002</v>
      </c>
      <c r="AO169" s="62">
        <f t="shared" si="144"/>
        <v>251.33527585147152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-3.2514435588382188E-14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239.41486198585676</v>
      </c>
      <c r="BJ169" s="62">
        <f t="shared" si="146"/>
        <v>224.9174498508774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1.0473229922232706E-20</v>
      </c>
      <c r="BS169" s="24">
        <f t="shared" si="169"/>
        <v>1.0473229922232706E-20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-5.6843418860808015E-13</v>
      </c>
      <c r="BZ169" s="14">
        <f>BY169*VLOOKUP('Données projet'!$B$12,Paramètres!$A$1:$I$89,3,0)*VLOOKUP('Données projet'!$B$12,Paramètres!$A$1:$I$89,5,0)</f>
        <v>-3.39923644787632E-13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288.65195492450403</v>
      </c>
      <c r="CE169" s="62">
        <f t="shared" si="148"/>
        <v>310.66800441693891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1.0430617819777611E-19</v>
      </c>
      <c r="CN169" s="24">
        <f t="shared" si="172"/>
        <v>1.0430617819777611E-19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-6.8212102632969618E-13</v>
      </c>
      <c r="CU169" s="18">
        <f>CT169*VLOOKUP('Données projet'!$B$13,Paramètres!$A$1:$I$89,3,0)*VLOOKUP('Données projet'!$B$13,Paramètres!$A$1:$I$89,5,0)</f>
        <v>-3.0149749363772573E-13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572.6451446653349</v>
      </c>
      <c r="CZ169" s="62">
        <f t="shared" si="150"/>
        <v>389.15977992931374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-3.979039320256561E-13</v>
      </c>
      <c r="DP169" s="18">
        <f>DO169*VLOOKUP('Données projet'!$B$14,Paramètres!$A$1:$I$89,3,0)*VLOOKUP('Données projet'!$B$14,Paramètres!$A$1:$I$89,5,0)</f>
        <v>-3.3519427233841274E-13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383.83934938682984</v>
      </c>
      <c r="DU169" s="62">
        <f t="shared" si="152"/>
        <v>223.93106361972281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458.75586934521687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-3.979039320256561E-13</v>
      </c>
      <c r="O170" s="14">
        <f>N170*VLOOKUP('Données projet'!$B$9,Paramètres!$A$1:$I$89,3,0)*VLOOKUP('Données projet'!$B$9,Paramètres!$A$1:$I$89,5,0)</f>
        <v>-3.6002347769681362E-13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415.89259563928869</v>
      </c>
      <c r="T170" s="62">
        <f t="shared" si="142"/>
        <v>240.19413322685813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-3.7243808037601412E-14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214.08705070588002</v>
      </c>
      <c r="AO170" s="62">
        <f t="shared" si="144"/>
        <v>251.33527585147152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-3.2514435588382188E-14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239.41486198585676</v>
      </c>
      <c r="BJ170" s="62">
        <f t="shared" si="146"/>
        <v>224.9174498508774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7.4056918989366041E-21</v>
      </c>
      <c r="BS170" s="24">
        <f t="shared" si="169"/>
        <v>7.4056918989366041E-21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-5.6843418860808015E-13</v>
      </c>
      <c r="BZ170" s="14">
        <f>BY170*VLOOKUP('Données projet'!$B$12,Paramètres!$A$1:$I$89,3,0)*VLOOKUP('Données projet'!$B$12,Paramètres!$A$1:$I$89,5,0)</f>
        <v>-3.39923644787632E-13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288.65195492450403</v>
      </c>
      <c r="CE170" s="62">
        <f t="shared" si="148"/>
        <v>310.66800441693891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7.3755605923299903E-20</v>
      </c>
      <c r="CN170" s="24">
        <f t="shared" si="172"/>
        <v>7.3755605923299903E-20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-6.8212102632969618E-13</v>
      </c>
      <c r="CU170" s="18">
        <f>CT170*VLOOKUP('Données projet'!$B$13,Paramètres!$A$1:$I$89,3,0)*VLOOKUP('Données projet'!$B$13,Paramètres!$A$1:$I$89,5,0)</f>
        <v>-3.0149749363772573E-13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572.6451446653349</v>
      </c>
      <c r="CZ170" s="62">
        <f t="shared" si="150"/>
        <v>389.15977992931374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-3.979039320256561E-13</v>
      </c>
      <c r="DP170" s="18">
        <f>DO170*VLOOKUP('Données projet'!$B$14,Paramètres!$A$1:$I$89,3,0)*VLOOKUP('Données projet'!$B$14,Paramètres!$A$1:$I$89,5,0)</f>
        <v>-3.3519427233841274E-13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383.83934938682984</v>
      </c>
      <c r="DU170" s="62">
        <f t="shared" si="152"/>
        <v>223.93106361972281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459.93573789765719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-3.979039320256561E-13</v>
      </c>
      <c r="O171" s="14">
        <f>N171*VLOOKUP('Données projet'!$B$9,Paramètres!$A$1:$I$89,3,0)*VLOOKUP('Données projet'!$B$9,Paramètres!$A$1:$I$89,5,0)</f>
        <v>-3.6002347769681362E-13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415.89259563928869</v>
      </c>
      <c r="T171" s="62">
        <f t="shared" si="142"/>
        <v>240.19413322685813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-3.7243808037601412E-14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214.08705070588002</v>
      </c>
      <c r="AO171" s="62">
        <f t="shared" si="144"/>
        <v>251.33527585147152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-3.2514435588382188E-14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239.41486198585676</v>
      </c>
      <c r="BJ171" s="62">
        <f t="shared" si="146"/>
        <v>224.9174498508774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5.236614961116353E-21</v>
      </c>
      <c r="BS171" s="24">
        <f t="shared" si="169"/>
        <v>5.236614961116353E-21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-5.6843418860808015E-13</v>
      </c>
      <c r="BZ171" s="14">
        <f>BY171*VLOOKUP('Données projet'!$B$12,Paramètres!$A$1:$I$89,3,0)*VLOOKUP('Données projet'!$B$12,Paramètres!$A$1:$I$89,5,0)</f>
        <v>-3.39923644787632E-13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288.65195492450403</v>
      </c>
      <c r="CE171" s="62">
        <f t="shared" si="148"/>
        <v>310.66800441693891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5.2153089098888054E-20</v>
      </c>
      <c r="CN171" s="24">
        <f t="shared" si="172"/>
        <v>5.2153089098888054E-20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-6.8212102632969618E-13</v>
      </c>
      <c r="CU171" s="18">
        <f>CT171*VLOOKUP('Données projet'!$B$13,Paramètres!$A$1:$I$89,3,0)*VLOOKUP('Données projet'!$B$13,Paramètres!$A$1:$I$89,5,0)</f>
        <v>-3.0149749363772573E-13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572.6451446653349</v>
      </c>
      <c r="CZ171" s="62">
        <f t="shared" si="150"/>
        <v>389.15977992931374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-3.979039320256561E-13</v>
      </c>
      <c r="DP171" s="18">
        <f>DO171*VLOOKUP('Données projet'!$B$14,Paramètres!$A$1:$I$89,3,0)*VLOOKUP('Données projet'!$B$14,Paramètres!$A$1:$I$89,5,0)</f>
        <v>-3.3519427233841274E-13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383.83934938682984</v>
      </c>
      <c r="DU171" s="62">
        <f t="shared" si="152"/>
        <v>223.93106361972281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461.11544789618642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-3.979039320256561E-13</v>
      </c>
      <c r="O172" s="14">
        <f>N172*VLOOKUP('Données projet'!$B$9,Paramètres!$A$1:$I$89,3,0)*VLOOKUP('Données projet'!$B$9,Paramètres!$A$1:$I$89,5,0)</f>
        <v>-3.6002347769681362E-13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415.89259563928869</v>
      </c>
      <c r="T172" s="62">
        <f t="shared" si="142"/>
        <v>240.19413322685813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-3.7243808037601412E-14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214.08705070588002</v>
      </c>
      <c r="AO172" s="62">
        <f t="shared" si="144"/>
        <v>251.33527585147152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-3.2514435588382188E-14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239.41486198585676</v>
      </c>
      <c r="BJ172" s="62">
        <f t="shared" si="146"/>
        <v>224.9174498508774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3.702845949468302E-21</v>
      </c>
      <c r="BS172" s="24">
        <f t="shared" si="169"/>
        <v>3.702845949468302E-21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-5.6843418860808015E-13</v>
      </c>
      <c r="BZ172" s="14">
        <f>BY172*VLOOKUP('Données projet'!$B$12,Paramètres!$A$1:$I$89,3,0)*VLOOKUP('Données projet'!$B$12,Paramètres!$A$1:$I$89,5,0)</f>
        <v>-3.39923644787632E-13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288.65195492450403</v>
      </c>
      <c r="CE172" s="62">
        <f t="shared" si="148"/>
        <v>310.66800441693891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3.6877802961649952E-20</v>
      </c>
      <c r="CN172" s="24">
        <f t="shared" si="172"/>
        <v>3.6877802961649952E-20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-6.8212102632969618E-13</v>
      </c>
      <c r="CU172" s="18">
        <f>CT172*VLOOKUP('Données projet'!$B$13,Paramètres!$A$1:$I$89,3,0)*VLOOKUP('Données projet'!$B$13,Paramètres!$A$1:$I$89,5,0)</f>
        <v>-3.0149749363772573E-13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572.6451446653349</v>
      </c>
      <c r="CZ172" s="62">
        <f t="shared" si="150"/>
        <v>389.15977992931374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-3.979039320256561E-13</v>
      </c>
      <c r="DP172" s="18">
        <f>DO172*VLOOKUP('Données projet'!$B$14,Paramètres!$A$1:$I$89,3,0)*VLOOKUP('Données projet'!$B$14,Paramètres!$A$1:$I$89,5,0)</f>
        <v>-3.3519427233841274E-13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383.83934938682984</v>
      </c>
      <c r="DU172" s="62">
        <f t="shared" si="152"/>
        <v>223.93106361972281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462.29500038785034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-3.979039320256561E-13</v>
      </c>
      <c r="O173" s="14">
        <f>N173*VLOOKUP('Données projet'!$B$9,Paramètres!$A$1:$I$89,3,0)*VLOOKUP('Données projet'!$B$9,Paramètres!$A$1:$I$89,5,0)</f>
        <v>-3.6002347769681362E-13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415.89259563928869</v>
      </c>
      <c r="T173" s="62">
        <f t="shared" si="142"/>
        <v>240.19413322685813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-3.7243808037601412E-14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214.08705070588002</v>
      </c>
      <c r="AO173" s="62">
        <f t="shared" si="144"/>
        <v>251.33527585147152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-3.2514435588382188E-14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239.41486198585676</v>
      </c>
      <c r="BJ173" s="62">
        <f t="shared" si="146"/>
        <v>224.9174498508774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2.6183074805581765E-21</v>
      </c>
      <c r="BS173" s="24">
        <f t="shared" si="169"/>
        <v>2.6183074805581765E-21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-5.6843418860808015E-13</v>
      </c>
      <c r="BZ173" s="14">
        <f>BY173*VLOOKUP('Données projet'!$B$12,Paramètres!$A$1:$I$89,3,0)*VLOOKUP('Données projet'!$B$12,Paramètres!$A$1:$I$89,5,0)</f>
        <v>-3.39923644787632E-13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288.65195492450403</v>
      </c>
      <c r="CE173" s="62">
        <f t="shared" si="148"/>
        <v>310.66800441693891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2.6076544549444027E-20</v>
      </c>
      <c r="CN173" s="24">
        <f t="shared" si="172"/>
        <v>2.6076544549444027E-20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-6.8212102632969618E-13</v>
      </c>
      <c r="CU173" s="18">
        <f>CT173*VLOOKUP('Données projet'!$B$13,Paramètres!$A$1:$I$89,3,0)*VLOOKUP('Données projet'!$B$13,Paramètres!$A$1:$I$89,5,0)</f>
        <v>-3.0149749363772573E-13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572.6451446653349</v>
      </c>
      <c r="CZ173" s="62">
        <f t="shared" si="150"/>
        <v>389.15977992931374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-3.979039320256561E-13</v>
      </c>
      <c r="DP173" s="18">
        <f>DO173*VLOOKUP('Données projet'!$B$14,Paramètres!$A$1:$I$89,3,0)*VLOOKUP('Données projet'!$B$14,Paramètres!$A$1:$I$89,5,0)</f>
        <v>-3.3519427233841274E-13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383.83934938682984</v>
      </c>
      <c r="DU173" s="62">
        <f t="shared" si="152"/>
        <v>223.93106361972281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463.47439640666357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-3.979039320256561E-13</v>
      </c>
      <c r="O174" s="14">
        <f>N174*VLOOKUP('Données projet'!$B$9,Paramètres!$A$1:$I$89,3,0)*VLOOKUP('Données projet'!$B$9,Paramètres!$A$1:$I$89,5,0)</f>
        <v>-3.6002347769681362E-13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415.89259563928869</v>
      </c>
      <c r="T174" s="62">
        <f t="shared" si="142"/>
        <v>240.19413322685813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-3.7243808037601412E-14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214.08705070588002</v>
      </c>
      <c r="AO174" s="62">
        <f t="shared" si="144"/>
        <v>251.33527585147152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-3.2514435588382188E-14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239.41486198585676</v>
      </c>
      <c r="BJ174" s="62">
        <f t="shared" si="146"/>
        <v>224.9174498508774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1.851422974734151E-21</v>
      </c>
      <c r="BS174" s="24">
        <f t="shared" si="169"/>
        <v>1.851422974734151E-21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-5.6843418860808015E-13</v>
      </c>
      <c r="BZ174" s="14">
        <f>BY174*VLOOKUP('Données projet'!$B$12,Paramètres!$A$1:$I$89,3,0)*VLOOKUP('Données projet'!$B$12,Paramètres!$A$1:$I$89,5,0)</f>
        <v>-3.39923644787632E-13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288.65195492450403</v>
      </c>
      <c r="CE174" s="62">
        <f t="shared" si="148"/>
        <v>310.66800441693891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1.8438901480824976E-20</v>
      </c>
      <c r="CN174" s="24">
        <f t="shared" si="172"/>
        <v>1.8438901480824976E-20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-6.8212102632969618E-13</v>
      </c>
      <c r="CU174" s="18">
        <f>CT174*VLOOKUP('Données projet'!$B$13,Paramètres!$A$1:$I$89,3,0)*VLOOKUP('Données projet'!$B$13,Paramètres!$A$1:$I$89,5,0)</f>
        <v>-3.0149749363772573E-13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572.6451446653349</v>
      </c>
      <c r="CZ174" s="62">
        <f t="shared" si="150"/>
        <v>389.15977992931374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-3.979039320256561E-13</v>
      </c>
      <c r="DP174" s="18">
        <f>DO174*VLOOKUP('Données projet'!$B$14,Paramètres!$A$1:$I$89,3,0)*VLOOKUP('Données projet'!$B$14,Paramètres!$A$1:$I$89,5,0)</f>
        <v>-3.3519427233841274E-13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383.83934938682984</v>
      </c>
      <c r="DU174" s="62">
        <f t="shared" si="152"/>
        <v>223.93106361972281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464.65363697384748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-3.979039320256561E-13</v>
      </c>
      <c r="O175" s="14">
        <f>N175*VLOOKUP('Données projet'!$B$9,Paramètres!$A$1:$I$89,3,0)*VLOOKUP('Données projet'!$B$9,Paramètres!$A$1:$I$89,5,0)</f>
        <v>-3.6002347769681362E-13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415.89259563928869</v>
      </c>
      <c r="T175" s="62">
        <f t="shared" si="142"/>
        <v>240.19413322685813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-3.7243808037601412E-14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214.08705070588002</v>
      </c>
      <c r="AO175" s="62">
        <f t="shared" si="144"/>
        <v>251.33527585147152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-3.2514435588382188E-14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239.41486198585676</v>
      </c>
      <c r="BJ175" s="62">
        <f t="shared" si="146"/>
        <v>224.9174498508774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1.3091537402790882E-21</v>
      </c>
      <c r="BS175" s="24">
        <f t="shared" si="169"/>
        <v>1.3091537402790882E-21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-5.6843418860808015E-13</v>
      </c>
      <c r="BZ175" s="14">
        <f>BY175*VLOOKUP('Données projet'!$B$12,Paramètres!$A$1:$I$89,3,0)*VLOOKUP('Données projet'!$B$12,Paramètres!$A$1:$I$89,5,0)</f>
        <v>-3.39923644787632E-13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288.65195492450403</v>
      </c>
      <c r="CE175" s="62">
        <f t="shared" si="148"/>
        <v>310.66800441693891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1.3038272274722013E-20</v>
      </c>
      <c r="CN175" s="24">
        <f t="shared" si="172"/>
        <v>1.3038272274722013E-20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-6.8212102632969618E-13</v>
      </c>
      <c r="CU175" s="18">
        <f>CT175*VLOOKUP('Données projet'!$B$13,Paramètres!$A$1:$I$89,3,0)*VLOOKUP('Données projet'!$B$13,Paramètres!$A$1:$I$89,5,0)</f>
        <v>-3.0149749363772573E-13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572.6451446653349</v>
      </c>
      <c r="CZ175" s="62">
        <f t="shared" si="150"/>
        <v>389.15977992931374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-3.979039320256561E-13</v>
      </c>
      <c r="DP175" s="18">
        <f>DO175*VLOOKUP('Données projet'!$B$14,Paramètres!$A$1:$I$89,3,0)*VLOOKUP('Données projet'!$B$14,Paramètres!$A$1:$I$89,5,0)</f>
        <v>-3.3519427233841274E-13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383.83934938682984</v>
      </c>
      <c r="DU175" s="62">
        <f t="shared" si="152"/>
        <v>223.93106361972281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465.83272309806171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-3.979039320256561E-13</v>
      </c>
      <c r="O176" s="14">
        <f>N176*VLOOKUP('Données projet'!$B$9,Paramètres!$A$1:$I$89,3,0)*VLOOKUP('Données projet'!$B$9,Paramètres!$A$1:$I$89,5,0)</f>
        <v>-3.6002347769681362E-13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415.89259563928869</v>
      </c>
      <c r="T176" s="62">
        <f t="shared" si="142"/>
        <v>240.19413322685813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-3.7243808037601412E-14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214.08705070588002</v>
      </c>
      <c r="AO176" s="62">
        <f t="shared" si="144"/>
        <v>251.33527585147152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-3.2514435588382188E-14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239.41486198585676</v>
      </c>
      <c r="BJ176" s="62">
        <f t="shared" si="146"/>
        <v>224.9174498508774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9.2571148736707551E-22</v>
      </c>
      <c r="BS176" s="24">
        <f t="shared" si="169"/>
        <v>9.2571148736707551E-22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-5.6843418860808015E-13</v>
      </c>
      <c r="BZ176" s="14">
        <f>BY176*VLOOKUP('Données projet'!$B$12,Paramètres!$A$1:$I$89,3,0)*VLOOKUP('Données projet'!$B$12,Paramètres!$A$1:$I$89,5,0)</f>
        <v>-3.39923644787632E-13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288.65195492450403</v>
      </c>
      <c r="CE176" s="62">
        <f t="shared" si="148"/>
        <v>310.66800441693891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9.2194507404124879E-21</v>
      </c>
      <c r="CN176" s="24">
        <f t="shared" si="172"/>
        <v>9.2194507404124879E-21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-6.8212102632969618E-13</v>
      </c>
      <c r="CU176" s="18">
        <f>CT176*VLOOKUP('Données projet'!$B$13,Paramètres!$A$1:$I$89,3,0)*VLOOKUP('Données projet'!$B$13,Paramètres!$A$1:$I$89,5,0)</f>
        <v>-3.0149749363772573E-13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572.6451446653349</v>
      </c>
      <c r="CZ176" s="62">
        <f t="shared" si="150"/>
        <v>389.15977992931374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-3.979039320256561E-13</v>
      </c>
      <c r="DP176" s="18">
        <f>DO176*VLOOKUP('Données projet'!$B$14,Paramètres!$A$1:$I$89,3,0)*VLOOKUP('Données projet'!$B$14,Paramètres!$A$1:$I$89,5,0)</f>
        <v>-3.3519427233841274E-13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383.83934938682984</v>
      </c>
      <c r="DU176" s="62">
        <f t="shared" si="152"/>
        <v>223.93106361972281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467.01165577563029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-3.979039320256561E-13</v>
      </c>
      <c r="O177" s="14">
        <f>N177*VLOOKUP('Données projet'!$B$9,Paramètres!$A$1:$I$89,3,0)*VLOOKUP('Données projet'!$B$9,Paramètres!$A$1:$I$89,5,0)</f>
        <v>-3.6002347769681362E-13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415.89259563928869</v>
      </c>
      <c r="T177" s="62">
        <f t="shared" si="142"/>
        <v>240.19413322685813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-3.7243808037601412E-14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214.08705070588002</v>
      </c>
      <c r="AO177" s="62">
        <f t="shared" si="144"/>
        <v>251.33527585147152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-3.2514435588382188E-14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239.41486198585676</v>
      </c>
      <c r="BJ177" s="62">
        <f t="shared" si="146"/>
        <v>224.9174498508774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6.5457687013954412E-22</v>
      </c>
      <c r="BS177" s="24">
        <f t="shared" si="169"/>
        <v>6.5457687013954412E-22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-5.6843418860808015E-13</v>
      </c>
      <c r="BZ177" s="14">
        <f>BY177*VLOOKUP('Données projet'!$B$12,Paramètres!$A$1:$I$89,3,0)*VLOOKUP('Données projet'!$B$12,Paramètres!$A$1:$I$89,5,0)</f>
        <v>-3.39923644787632E-13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288.65195492450403</v>
      </c>
      <c r="CE177" s="62">
        <f t="shared" si="148"/>
        <v>310.66800441693891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6.5191361373610067E-21</v>
      </c>
      <c r="CN177" s="24">
        <f t="shared" si="172"/>
        <v>6.5191361373610067E-21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-6.8212102632969618E-13</v>
      </c>
      <c r="CU177" s="18">
        <f>CT177*VLOOKUP('Données projet'!$B$13,Paramètres!$A$1:$I$89,3,0)*VLOOKUP('Données projet'!$B$13,Paramètres!$A$1:$I$89,5,0)</f>
        <v>-3.0149749363772573E-13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572.6451446653349</v>
      </c>
      <c r="CZ177" s="62">
        <f t="shared" si="150"/>
        <v>389.15977992931374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-3.979039320256561E-13</v>
      </c>
      <c r="DP177" s="18">
        <f>DO177*VLOOKUP('Données projet'!$B$14,Paramètres!$A$1:$I$89,3,0)*VLOOKUP('Données projet'!$B$14,Paramètres!$A$1:$I$89,5,0)</f>
        <v>-3.3519427233841274E-13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383.83934938682984</v>
      </c>
      <c r="DU177" s="62">
        <f t="shared" si="152"/>
        <v>223.93106361972281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468.19043599076269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-3.979039320256561E-13</v>
      </c>
      <c r="O178" s="14">
        <f>N178*VLOOKUP('Données projet'!$B$9,Paramètres!$A$1:$I$89,3,0)*VLOOKUP('Données projet'!$B$9,Paramètres!$A$1:$I$89,5,0)</f>
        <v>-3.6002347769681362E-13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415.89259563928869</v>
      </c>
      <c r="T178" s="62">
        <f t="shared" si="142"/>
        <v>240.19413322685813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-3.7243808037601412E-14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214.08705070588002</v>
      </c>
      <c r="AO178" s="62">
        <f t="shared" si="144"/>
        <v>251.33527585147152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-3.2514435588382188E-14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239.41486198585676</v>
      </c>
      <c r="BJ178" s="62">
        <f t="shared" si="146"/>
        <v>224.9174498508774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4.6285574368353776E-22</v>
      </c>
      <c r="BS178" s="24">
        <f t="shared" si="169"/>
        <v>4.6285574368353776E-22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-5.6843418860808015E-13</v>
      </c>
      <c r="BZ178" s="14">
        <f>BY178*VLOOKUP('Données projet'!$B$12,Paramètres!$A$1:$I$89,3,0)*VLOOKUP('Données projet'!$B$12,Paramètres!$A$1:$I$89,5,0)</f>
        <v>-3.39923644787632E-13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288.65195492450403</v>
      </c>
      <c r="CE178" s="62">
        <f t="shared" si="148"/>
        <v>310.66800441693891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4.609725370206244E-21</v>
      </c>
      <c r="CN178" s="24">
        <f t="shared" si="172"/>
        <v>4.609725370206244E-21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-6.8212102632969618E-13</v>
      </c>
      <c r="CU178" s="18">
        <f>CT178*VLOOKUP('Données projet'!$B$13,Paramètres!$A$1:$I$89,3,0)*VLOOKUP('Données projet'!$B$13,Paramètres!$A$1:$I$89,5,0)</f>
        <v>-3.0149749363772573E-13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572.6451446653349</v>
      </c>
      <c r="CZ178" s="62">
        <f t="shared" si="150"/>
        <v>389.15977992931374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-3.979039320256561E-13</v>
      </c>
      <c r="DP178" s="18">
        <f>DO178*VLOOKUP('Données projet'!$B$14,Paramètres!$A$1:$I$89,3,0)*VLOOKUP('Données projet'!$B$14,Paramètres!$A$1:$I$89,5,0)</f>
        <v>-3.3519427233841274E-13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383.83934938682984</v>
      </c>
      <c r="DU178" s="62">
        <f t="shared" si="152"/>
        <v>223.93106361972281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469.3690647157693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-3.979039320256561E-13</v>
      </c>
      <c r="O179" s="14">
        <f>N179*VLOOKUP('Données projet'!$B$9,Paramètres!$A$1:$I$89,3,0)*VLOOKUP('Données projet'!$B$9,Paramètres!$A$1:$I$89,5,0)</f>
        <v>-3.6002347769681362E-13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415.89259563928869</v>
      </c>
      <c r="T179" s="62">
        <f t="shared" si="142"/>
        <v>240.19413322685813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-3.7243808037601412E-14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214.08705070588002</v>
      </c>
      <c r="AO179" s="62">
        <f t="shared" si="144"/>
        <v>251.33527585147152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-3.2514435588382188E-14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239.41486198585676</v>
      </c>
      <c r="BJ179" s="62">
        <f t="shared" si="146"/>
        <v>224.9174498508774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3.2728843506977206E-22</v>
      </c>
      <c r="BS179" s="24">
        <f t="shared" si="169"/>
        <v>3.2728843506977206E-22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-5.6843418860808015E-13</v>
      </c>
      <c r="BZ179" s="14">
        <f>BY179*VLOOKUP('Données projet'!$B$12,Paramètres!$A$1:$I$89,3,0)*VLOOKUP('Données projet'!$B$12,Paramètres!$A$1:$I$89,5,0)</f>
        <v>-3.39923644787632E-13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288.65195492450403</v>
      </c>
      <c r="CE179" s="62">
        <f t="shared" si="148"/>
        <v>310.66800441693891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3.2595680686805034E-21</v>
      </c>
      <c r="CN179" s="24">
        <f t="shared" si="172"/>
        <v>3.2595680686805034E-21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-6.8212102632969618E-13</v>
      </c>
      <c r="CU179" s="18">
        <f>CT179*VLOOKUP('Données projet'!$B$13,Paramètres!$A$1:$I$89,3,0)*VLOOKUP('Données projet'!$B$13,Paramètres!$A$1:$I$89,5,0)</f>
        <v>-3.0149749363772573E-13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572.6451446653349</v>
      </c>
      <c r="CZ179" s="62">
        <f t="shared" si="150"/>
        <v>389.15977992931374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-3.979039320256561E-13</v>
      </c>
      <c r="DP179" s="18">
        <f>DO179*VLOOKUP('Données projet'!$B$14,Paramètres!$A$1:$I$89,3,0)*VLOOKUP('Données projet'!$B$14,Paramètres!$A$1:$I$89,5,0)</f>
        <v>-3.3519427233841274E-13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383.83934938682984</v>
      </c>
      <c r="DU179" s="62">
        <f t="shared" si="152"/>
        <v>223.93106361972281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470.54754291127216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-3.979039320256561E-13</v>
      </c>
      <c r="O180" s="14">
        <f>N180*VLOOKUP('Données projet'!$B$9,Paramètres!$A$1:$I$89,3,0)*VLOOKUP('Données projet'!$B$9,Paramètres!$A$1:$I$89,5,0)</f>
        <v>-3.6002347769681362E-13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415.89259563928869</v>
      </c>
      <c r="T180" s="62">
        <f t="shared" si="142"/>
        <v>240.19413322685813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-3.7243808037601412E-14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214.08705070588002</v>
      </c>
      <c r="AO180" s="62">
        <f t="shared" si="144"/>
        <v>251.33527585147152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-3.2514435588382188E-14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239.41486198585676</v>
      </c>
      <c r="BJ180" s="62">
        <f t="shared" si="146"/>
        <v>224.9174498508774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2.3142787184176888E-22</v>
      </c>
      <c r="BS180" s="24">
        <f t="shared" si="169"/>
        <v>2.3142787184176888E-22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-5.6843418860808015E-13</v>
      </c>
      <c r="BZ180" s="14">
        <f>BY180*VLOOKUP('Données projet'!$B$12,Paramètres!$A$1:$I$89,3,0)*VLOOKUP('Données projet'!$B$12,Paramètres!$A$1:$I$89,5,0)</f>
        <v>-3.39923644787632E-13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288.65195492450403</v>
      </c>
      <c r="CE180" s="62">
        <f t="shared" si="148"/>
        <v>310.66800441693891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2.304862685103122E-21</v>
      </c>
      <c r="CN180" s="24">
        <f t="shared" si="172"/>
        <v>2.304862685103122E-21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-6.8212102632969618E-13</v>
      </c>
      <c r="CU180" s="18">
        <f>CT180*VLOOKUP('Données projet'!$B$13,Paramètres!$A$1:$I$89,3,0)*VLOOKUP('Données projet'!$B$13,Paramètres!$A$1:$I$89,5,0)</f>
        <v>-3.0149749363772573E-13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572.6451446653349</v>
      </c>
      <c r="CZ180" s="62">
        <f t="shared" si="150"/>
        <v>389.15977992931374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-3.979039320256561E-13</v>
      </c>
      <c r="DP180" s="18">
        <f>DO180*VLOOKUP('Données projet'!$B$14,Paramètres!$A$1:$I$89,3,0)*VLOOKUP('Données projet'!$B$14,Paramètres!$A$1:$I$89,5,0)</f>
        <v>-3.3519427233841274E-13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383.83934938682984</v>
      </c>
      <c r="DU180" s="62">
        <f t="shared" si="152"/>
        <v>223.93106361972281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471.7258715264108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-3.979039320256561E-13</v>
      </c>
      <c r="O181" s="14">
        <f>N181*VLOOKUP('Données projet'!$B$9,Paramètres!$A$1:$I$89,3,0)*VLOOKUP('Données projet'!$B$9,Paramètres!$A$1:$I$89,5,0)</f>
        <v>-3.6002347769681362E-13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415.89259563928869</v>
      </c>
      <c r="T181" s="62">
        <f t="shared" si="142"/>
        <v>240.19413322685813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-3.7243808037601412E-14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214.08705070588002</v>
      </c>
      <c r="AO181" s="62">
        <f t="shared" si="144"/>
        <v>251.33527585147152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-3.2514435588382188E-14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239.41486198585676</v>
      </c>
      <c r="BJ181" s="62">
        <f t="shared" si="146"/>
        <v>224.9174498508774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1.6364421753488603E-22</v>
      </c>
      <c r="BS181" s="24">
        <f t="shared" si="169"/>
        <v>1.6364421753488603E-22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-5.6843418860808015E-13</v>
      </c>
      <c r="BZ181" s="14">
        <f>BY181*VLOOKUP('Données projet'!$B$12,Paramètres!$A$1:$I$89,3,0)*VLOOKUP('Données projet'!$B$12,Paramètres!$A$1:$I$89,5,0)</f>
        <v>-3.39923644787632E-13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288.65195492450403</v>
      </c>
      <c r="CE181" s="62">
        <f t="shared" si="148"/>
        <v>310.66800441693891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1.6297840343402517E-21</v>
      </c>
      <c r="CN181" s="24">
        <f t="shared" si="172"/>
        <v>1.6297840343402517E-21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-6.8212102632969618E-13</v>
      </c>
      <c r="CU181" s="18">
        <f>CT181*VLOOKUP('Données projet'!$B$13,Paramètres!$A$1:$I$89,3,0)*VLOOKUP('Données projet'!$B$13,Paramètres!$A$1:$I$89,5,0)</f>
        <v>-3.0149749363772573E-13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572.6451446653349</v>
      </c>
      <c r="CZ181" s="62">
        <f t="shared" si="150"/>
        <v>389.15977992931374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-3.979039320256561E-13</v>
      </c>
      <c r="DP181" s="18">
        <f>DO181*VLOOKUP('Données projet'!$B$14,Paramètres!$A$1:$I$89,3,0)*VLOOKUP('Données projet'!$B$14,Paramètres!$A$1:$I$89,5,0)</f>
        <v>-3.3519427233841274E-13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383.83934938682984</v>
      </c>
      <c r="DU181" s="62">
        <f t="shared" si="152"/>
        <v>223.93106361972281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472.90405149904302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-3.979039320256561E-13</v>
      </c>
      <c r="O182" s="14">
        <f>N182*VLOOKUP('Données projet'!$B$9,Paramètres!$A$1:$I$89,3,0)*VLOOKUP('Données projet'!$B$9,Paramètres!$A$1:$I$89,5,0)</f>
        <v>-3.6002347769681362E-13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415.89259563928869</v>
      </c>
      <c r="T182" s="62">
        <f t="shared" si="142"/>
        <v>240.19413322685813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-3.7243808037601412E-14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214.08705070588002</v>
      </c>
      <c r="AO182" s="62">
        <f t="shared" si="144"/>
        <v>251.33527585147152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-3.2514435588382188E-14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239.41486198585676</v>
      </c>
      <c r="BJ182" s="62">
        <f t="shared" si="146"/>
        <v>224.9174498508774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1.1571393592088444E-22</v>
      </c>
      <c r="BS182" s="24">
        <f t="shared" si="169"/>
        <v>1.1571393592088444E-22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-5.6843418860808015E-13</v>
      </c>
      <c r="BZ182" s="14">
        <f>BY182*VLOOKUP('Données projet'!$B$12,Paramètres!$A$1:$I$89,3,0)*VLOOKUP('Données projet'!$B$12,Paramètres!$A$1:$I$89,5,0)</f>
        <v>-3.39923644787632E-13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288.65195492450403</v>
      </c>
      <c r="CE182" s="62">
        <f t="shared" si="148"/>
        <v>310.66800441693891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1.152431342551561E-21</v>
      </c>
      <c r="CN182" s="24">
        <f t="shared" si="172"/>
        <v>1.152431342551561E-21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-6.8212102632969618E-13</v>
      </c>
      <c r="CU182" s="18">
        <f>CT182*VLOOKUP('Données projet'!$B$13,Paramètres!$A$1:$I$89,3,0)*VLOOKUP('Données projet'!$B$13,Paramètres!$A$1:$I$89,5,0)</f>
        <v>-3.0149749363772573E-13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572.6451446653349</v>
      </c>
      <c r="CZ182" s="62">
        <f t="shared" si="150"/>
        <v>389.15977992931374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-3.979039320256561E-13</v>
      </c>
      <c r="DP182" s="18">
        <f>DO182*VLOOKUP('Données projet'!$B$14,Paramètres!$A$1:$I$89,3,0)*VLOOKUP('Données projet'!$B$14,Paramètres!$A$1:$I$89,5,0)</f>
        <v>-3.3519427233841274E-13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383.83934938682984</v>
      </c>
      <c r="DU182" s="62">
        <f t="shared" si="152"/>
        <v>223.93106361972281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474.08208375594126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-3.979039320256561E-13</v>
      </c>
      <c r="O183" s="14">
        <f>N183*VLOOKUP('Données projet'!$B$9,Paramètres!$A$1:$I$89,3,0)*VLOOKUP('Données projet'!$B$9,Paramètres!$A$1:$I$89,5,0)</f>
        <v>-3.6002347769681362E-13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415.89259563928869</v>
      </c>
      <c r="T183" s="62">
        <f t="shared" si="142"/>
        <v>240.19413322685813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-3.7243808037601412E-14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214.08705070588002</v>
      </c>
      <c r="AO183" s="62">
        <f t="shared" si="144"/>
        <v>251.33527585147152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-3.2514435588382188E-14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239.41486198585676</v>
      </c>
      <c r="BJ183" s="62">
        <f t="shared" si="146"/>
        <v>224.9174498508774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8.1822108767443015E-23</v>
      </c>
      <c r="BS183" s="24">
        <f t="shared" si="169"/>
        <v>8.1822108767443015E-23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-5.6843418860808015E-13</v>
      </c>
      <c r="BZ183" s="14">
        <f>BY183*VLOOKUP('Données projet'!$B$12,Paramètres!$A$1:$I$89,3,0)*VLOOKUP('Données projet'!$B$12,Paramètres!$A$1:$I$89,5,0)</f>
        <v>-3.39923644787632E-13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288.65195492450403</v>
      </c>
      <c r="CE183" s="62">
        <f t="shared" si="148"/>
        <v>310.66800441693891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8.1489201717012584E-22</v>
      </c>
      <c r="CN183" s="24">
        <f t="shared" si="172"/>
        <v>8.1489201717012584E-22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-6.8212102632969618E-13</v>
      </c>
      <c r="CU183" s="18">
        <f>CT183*VLOOKUP('Données projet'!$B$13,Paramètres!$A$1:$I$89,3,0)*VLOOKUP('Données projet'!$B$13,Paramètres!$A$1:$I$89,5,0)</f>
        <v>-3.0149749363772573E-13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572.6451446653349</v>
      </c>
      <c r="CZ183" s="62">
        <f t="shared" si="150"/>
        <v>389.15977992931374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-3.979039320256561E-13</v>
      </c>
      <c r="DP183" s="18">
        <f>DO183*VLOOKUP('Données projet'!$B$14,Paramètres!$A$1:$I$89,3,0)*VLOOKUP('Données projet'!$B$14,Paramètres!$A$1:$I$89,5,0)</f>
        <v>-3.3519427233841274E-13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383.83934938682984</v>
      </c>
      <c r="DU183" s="62">
        <f t="shared" si="152"/>
        <v>223.93106361972281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475.25996921298474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-3.979039320256561E-13</v>
      </c>
      <c r="O184" s="14">
        <f>N184*VLOOKUP('Données projet'!$B$9,Paramètres!$A$1:$I$89,3,0)*VLOOKUP('Données projet'!$B$9,Paramètres!$A$1:$I$89,5,0)</f>
        <v>-3.6002347769681362E-13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415.89259563928869</v>
      </c>
      <c r="T184" s="62">
        <f t="shared" si="142"/>
        <v>240.19413322685813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-3.7243808037601412E-14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214.08705070588002</v>
      </c>
      <c r="AO184" s="62">
        <f t="shared" si="144"/>
        <v>251.33527585147152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-3.2514435588382188E-14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239.41486198585676</v>
      </c>
      <c r="BJ184" s="62">
        <f t="shared" si="146"/>
        <v>224.9174498508774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5.7856967960442219E-23</v>
      </c>
      <c r="BS184" s="24">
        <f t="shared" si="169"/>
        <v>5.7856967960442219E-23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-5.6843418860808015E-13</v>
      </c>
      <c r="BZ184" s="14">
        <f>BY184*VLOOKUP('Données projet'!$B$12,Paramètres!$A$1:$I$89,3,0)*VLOOKUP('Données projet'!$B$12,Paramètres!$A$1:$I$89,5,0)</f>
        <v>-3.39923644787632E-13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288.65195492450403</v>
      </c>
      <c r="CE184" s="62">
        <f t="shared" si="148"/>
        <v>310.66800441693891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5.7621567127578049E-22</v>
      </c>
      <c r="CN184" s="24">
        <f t="shared" si="172"/>
        <v>5.7621567127578049E-22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-6.8212102632969618E-13</v>
      </c>
      <c r="CU184" s="18">
        <f>CT184*VLOOKUP('Données projet'!$B$13,Paramètres!$A$1:$I$89,3,0)*VLOOKUP('Données projet'!$B$13,Paramètres!$A$1:$I$89,5,0)</f>
        <v>-3.0149749363772573E-13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572.6451446653349</v>
      </c>
      <c r="CZ184" s="62">
        <f t="shared" si="150"/>
        <v>389.15977992931374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-3.979039320256561E-13</v>
      </c>
      <c r="DP184" s="18">
        <f>DO184*VLOOKUP('Données projet'!$B$14,Paramètres!$A$1:$I$89,3,0)*VLOOKUP('Données projet'!$B$14,Paramètres!$A$1:$I$89,5,0)</f>
        <v>-3.3519427233841274E-13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383.83934938682984</v>
      </c>
      <c r="DU184" s="62">
        <f t="shared" si="152"/>
        <v>223.93106361972281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476.43770877534655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-3.979039320256561E-13</v>
      </c>
      <c r="O185" s="14">
        <f>N185*VLOOKUP('Données projet'!$B$9,Paramètres!$A$1:$I$89,3,0)*VLOOKUP('Données projet'!$B$9,Paramètres!$A$1:$I$89,5,0)</f>
        <v>-3.6002347769681362E-13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415.89259563928869</v>
      </c>
      <c r="T185" s="62">
        <f t="shared" si="142"/>
        <v>240.19413322685813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-3.7243808037601412E-14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214.08705070588002</v>
      </c>
      <c r="AO185" s="62">
        <f t="shared" si="144"/>
        <v>251.33527585147152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-3.2514435588382188E-14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239.41486198585676</v>
      </c>
      <c r="BJ185" s="62">
        <f t="shared" si="146"/>
        <v>224.9174498508774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4.0911054383721507E-23</v>
      </c>
      <c r="BS185" s="24">
        <f t="shared" si="169"/>
        <v>4.0911054383721507E-23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-5.6843418860808015E-13</v>
      </c>
      <c r="BZ185" s="14">
        <f>BY185*VLOOKUP('Données projet'!$B$12,Paramètres!$A$1:$I$89,3,0)*VLOOKUP('Données projet'!$B$12,Paramètres!$A$1:$I$89,5,0)</f>
        <v>-3.39923644787632E-13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288.65195492450403</v>
      </c>
      <c r="CE185" s="62">
        <f t="shared" si="148"/>
        <v>310.66800441693891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4.0744600858506292E-22</v>
      </c>
      <c r="CN185" s="24">
        <f t="shared" si="172"/>
        <v>4.0744600858506292E-22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-6.8212102632969618E-13</v>
      </c>
      <c r="CU185" s="18">
        <f>CT185*VLOOKUP('Données projet'!$B$13,Paramètres!$A$1:$I$89,3,0)*VLOOKUP('Données projet'!$B$13,Paramètres!$A$1:$I$89,5,0)</f>
        <v>-3.0149749363772573E-13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572.6451446653349</v>
      </c>
      <c r="CZ185" s="62">
        <f t="shared" si="150"/>
        <v>389.15977992931374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-3.979039320256561E-13</v>
      </c>
      <c r="DP185" s="18">
        <f>DO185*VLOOKUP('Données projet'!$B$14,Paramètres!$A$1:$I$89,3,0)*VLOOKUP('Données projet'!$B$14,Paramètres!$A$1:$I$89,5,0)</f>
        <v>-3.3519427233841274E-13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383.83934938682984</v>
      </c>
      <c r="DU185" s="62">
        <f t="shared" si="152"/>
        <v>223.93106361972281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477.61530333767718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-3.979039320256561E-13</v>
      </c>
      <c r="O186" s="14">
        <f>N186*VLOOKUP('Données projet'!$B$9,Paramètres!$A$1:$I$89,3,0)*VLOOKUP('Données projet'!$B$9,Paramètres!$A$1:$I$89,5,0)</f>
        <v>-3.6002347769681362E-13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415.89259563928869</v>
      </c>
      <c r="T186" s="62">
        <f t="shared" si="142"/>
        <v>240.19413322685813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-3.7243808037601412E-14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214.08705070588002</v>
      </c>
      <c r="AO186" s="62">
        <f t="shared" si="144"/>
        <v>251.33527585147152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-3.2514435588382188E-14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239.41486198585676</v>
      </c>
      <c r="BJ186" s="62">
        <f t="shared" si="146"/>
        <v>224.9174498508774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2.892848398022111E-23</v>
      </c>
      <c r="BS186" s="24">
        <f t="shared" si="169"/>
        <v>2.892848398022111E-23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-5.6843418860808015E-13</v>
      </c>
      <c r="BZ186" s="14">
        <f>BY186*VLOOKUP('Données projet'!$B$12,Paramètres!$A$1:$I$89,3,0)*VLOOKUP('Données projet'!$B$12,Paramètres!$A$1:$I$89,5,0)</f>
        <v>-3.39923644787632E-13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288.65195492450403</v>
      </c>
      <c r="CE186" s="62">
        <f t="shared" si="148"/>
        <v>310.66800441693891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2.8810783563789025E-22</v>
      </c>
      <c r="CN186" s="24">
        <f t="shared" si="172"/>
        <v>2.8810783563789025E-22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-6.8212102632969618E-13</v>
      </c>
      <c r="CU186" s="18">
        <f>CT186*VLOOKUP('Données projet'!$B$13,Paramètres!$A$1:$I$89,3,0)*VLOOKUP('Données projet'!$B$13,Paramètres!$A$1:$I$89,5,0)</f>
        <v>-3.0149749363772573E-13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572.6451446653349</v>
      </c>
      <c r="CZ186" s="62">
        <f t="shared" si="150"/>
        <v>389.15977992931374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-3.979039320256561E-13</v>
      </c>
      <c r="DP186" s="18">
        <f>DO186*VLOOKUP('Données projet'!$B$14,Paramètres!$A$1:$I$89,3,0)*VLOOKUP('Données projet'!$B$14,Paramètres!$A$1:$I$89,5,0)</f>
        <v>-3.3519427233841274E-13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383.83934938682984</v>
      </c>
      <c r="DU186" s="62">
        <f t="shared" si="152"/>
        <v>223.93106361972281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478.79275378428366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-3.979039320256561E-13</v>
      </c>
      <c r="O187" s="14">
        <f>N187*VLOOKUP('Données projet'!$B$9,Paramètres!$A$1:$I$89,3,0)*VLOOKUP('Données projet'!$B$9,Paramètres!$A$1:$I$89,5,0)</f>
        <v>-3.6002347769681362E-13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415.89259563928869</v>
      </c>
      <c r="T187" s="62">
        <f t="shared" si="142"/>
        <v>240.19413322685813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-3.7243808037601412E-14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214.08705070588002</v>
      </c>
      <c r="AO187" s="62">
        <f t="shared" si="144"/>
        <v>251.33527585147152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-3.2514435588382188E-14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239.41486198585676</v>
      </c>
      <c r="BJ187" s="62">
        <f t="shared" si="146"/>
        <v>224.9174498508774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2.0455527191860754E-23</v>
      </c>
      <c r="BS187" s="24">
        <f t="shared" si="169"/>
        <v>2.0455527191860754E-23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-5.6843418860808015E-13</v>
      </c>
      <c r="BZ187" s="14">
        <f>BY187*VLOOKUP('Données projet'!$B$12,Paramètres!$A$1:$I$89,3,0)*VLOOKUP('Données projet'!$B$12,Paramètres!$A$1:$I$89,5,0)</f>
        <v>-3.39923644787632E-13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288.65195492450403</v>
      </c>
      <c r="CE187" s="62">
        <f t="shared" si="148"/>
        <v>310.66800441693891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2.0372300429253146E-22</v>
      </c>
      <c r="CN187" s="24">
        <f t="shared" si="172"/>
        <v>2.0372300429253146E-22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-6.8212102632969618E-13</v>
      </c>
      <c r="CU187" s="18">
        <f>CT187*VLOOKUP('Données projet'!$B$13,Paramètres!$A$1:$I$89,3,0)*VLOOKUP('Données projet'!$B$13,Paramètres!$A$1:$I$89,5,0)</f>
        <v>-3.0149749363772573E-13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572.6451446653349</v>
      </c>
      <c r="CZ187" s="62">
        <f t="shared" si="150"/>
        <v>389.15977992931374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-3.979039320256561E-13</v>
      </c>
      <c r="DP187" s="18">
        <f>DO187*VLOOKUP('Données projet'!$B$14,Paramètres!$A$1:$I$89,3,0)*VLOOKUP('Données projet'!$B$14,Paramètres!$A$1:$I$89,5,0)</f>
        <v>-3.3519427233841274E-13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383.83934938682984</v>
      </c>
      <c r="DU187" s="62">
        <f t="shared" si="152"/>
        <v>223.93106361972281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479.97006098930456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-3.979039320256561E-13</v>
      </c>
      <c r="O188" s="14">
        <f>N188*VLOOKUP('Données projet'!$B$9,Paramètres!$A$1:$I$89,3,0)*VLOOKUP('Données projet'!$B$9,Paramètres!$A$1:$I$89,5,0)</f>
        <v>-3.6002347769681362E-13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415.89259563928869</v>
      </c>
      <c r="T188" s="62">
        <f t="shared" si="142"/>
        <v>240.19413322685813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-3.7243808037601412E-14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214.08705070588002</v>
      </c>
      <c r="AO188" s="62">
        <f t="shared" si="144"/>
        <v>251.33527585147152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-3.2514435588382188E-14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239.41486198585676</v>
      </c>
      <c r="BJ188" s="62">
        <f t="shared" si="146"/>
        <v>224.9174498508774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1.4464241990110555E-23</v>
      </c>
      <c r="BS188" s="24">
        <f t="shared" si="169"/>
        <v>1.4464241990110555E-23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-5.6843418860808015E-13</v>
      </c>
      <c r="BZ188" s="14">
        <f>BY188*VLOOKUP('Données projet'!$B$12,Paramètres!$A$1:$I$89,3,0)*VLOOKUP('Données projet'!$B$12,Paramètres!$A$1:$I$89,5,0)</f>
        <v>-3.39923644787632E-13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288.65195492450403</v>
      </c>
      <c r="CE188" s="62">
        <f t="shared" si="148"/>
        <v>310.66800441693891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1.4405391781894512E-22</v>
      </c>
      <c r="CN188" s="24">
        <f t="shared" si="172"/>
        <v>1.4405391781894512E-22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-6.8212102632969618E-13</v>
      </c>
      <c r="CU188" s="18">
        <f>CT188*VLOOKUP('Données projet'!$B$13,Paramètres!$A$1:$I$89,3,0)*VLOOKUP('Données projet'!$B$13,Paramètres!$A$1:$I$89,5,0)</f>
        <v>-3.0149749363772573E-13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572.6451446653349</v>
      </c>
      <c r="CZ188" s="62">
        <f t="shared" si="150"/>
        <v>389.15977992931374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-3.979039320256561E-13</v>
      </c>
      <c r="DP188" s="18">
        <f>DO188*VLOOKUP('Données projet'!$B$14,Paramètres!$A$1:$I$89,3,0)*VLOOKUP('Données projet'!$B$14,Paramètres!$A$1:$I$89,5,0)</f>
        <v>-3.3519427233841274E-13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383.83934938682984</v>
      </c>
      <c r="DU188" s="62">
        <f t="shared" si="152"/>
        <v>223.93106361972281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481.1472258168813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-3.979039320256561E-13</v>
      </c>
      <c r="O189" s="14">
        <f>N189*VLOOKUP('Données projet'!$B$9,Paramètres!$A$1:$I$89,3,0)*VLOOKUP('Données projet'!$B$9,Paramètres!$A$1:$I$89,5,0)</f>
        <v>-3.6002347769681362E-13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415.89259563928869</v>
      </c>
      <c r="T189" s="62">
        <f t="shared" si="142"/>
        <v>240.19413322685813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-3.7243808037601412E-14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214.08705070588002</v>
      </c>
      <c r="AO189" s="62">
        <f t="shared" si="144"/>
        <v>251.33527585147152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-3.2514435588382188E-14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239.41486198585676</v>
      </c>
      <c r="BJ189" s="62">
        <f t="shared" si="146"/>
        <v>224.9174498508774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1.0227763595930377E-23</v>
      </c>
      <c r="BS189" s="24">
        <f t="shared" si="169"/>
        <v>1.0227763595930377E-23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-5.6843418860808015E-13</v>
      </c>
      <c r="BZ189" s="14">
        <f>BY189*VLOOKUP('Données projet'!$B$12,Paramètres!$A$1:$I$89,3,0)*VLOOKUP('Données projet'!$B$12,Paramètres!$A$1:$I$89,5,0)</f>
        <v>-3.39923644787632E-13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288.65195492450403</v>
      </c>
      <c r="CE189" s="62">
        <f t="shared" si="148"/>
        <v>310.66800441693891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1.0186150214626573E-22</v>
      </c>
      <c r="CN189" s="24">
        <f t="shared" si="172"/>
        <v>1.0186150214626573E-22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-6.8212102632969618E-13</v>
      </c>
      <c r="CU189" s="18">
        <f>CT189*VLOOKUP('Données projet'!$B$13,Paramètres!$A$1:$I$89,3,0)*VLOOKUP('Données projet'!$B$13,Paramètres!$A$1:$I$89,5,0)</f>
        <v>-3.0149749363772573E-13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572.6451446653349</v>
      </c>
      <c r="CZ189" s="62">
        <f t="shared" si="150"/>
        <v>389.15977992931374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-3.979039320256561E-13</v>
      </c>
      <c r="DP189" s="18">
        <f>DO189*VLOOKUP('Données projet'!$B$14,Paramètres!$A$1:$I$89,3,0)*VLOOKUP('Données projet'!$B$14,Paramètres!$A$1:$I$89,5,0)</f>
        <v>-3.3519427233841274E-13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383.83934938682984</v>
      </c>
      <c r="DU189" s="62">
        <f t="shared" si="152"/>
        <v>223.93106361972281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482.32424912132575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-3.979039320256561E-13</v>
      </c>
      <c r="O190" s="14">
        <f>N190*VLOOKUP('Données projet'!$B$9,Paramètres!$A$1:$I$89,3,0)*VLOOKUP('Données projet'!$B$9,Paramètres!$A$1:$I$89,5,0)</f>
        <v>-3.6002347769681362E-13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415.89259563928869</v>
      </c>
      <c r="T190" s="62">
        <f t="shared" si="142"/>
        <v>240.19413322685813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-3.7243808037601412E-14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214.08705070588002</v>
      </c>
      <c r="AO190" s="62">
        <f t="shared" si="144"/>
        <v>251.33527585147152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-3.2514435588382188E-14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239.41486198585676</v>
      </c>
      <c r="BJ190" s="62">
        <f t="shared" si="146"/>
        <v>224.9174498508774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7.2321209950552774E-24</v>
      </c>
      <c r="BS190" s="24">
        <f t="shared" si="169"/>
        <v>7.2321209950552774E-24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-5.6843418860808015E-13</v>
      </c>
      <c r="BZ190" s="14">
        <f>BY190*VLOOKUP('Données projet'!$B$12,Paramètres!$A$1:$I$89,3,0)*VLOOKUP('Données projet'!$B$12,Paramètres!$A$1:$I$89,5,0)</f>
        <v>-3.39923644787632E-13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288.65195492450403</v>
      </c>
      <c r="CE190" s="62">
        <f t="shared" si="148"/>
        <v>310.66800441693891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7.2026958909472562E-23</v>
      </c>
      <c r="CN190" s="24">
        <f t="shared" si="172"/>
        <v>7.2026958909472562E-23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-6.8212102632969618E-13</v>
      </c>
      <c r="CU190" s="18">
        <f>CT190*VLOOKUP('Données projet'!$B$13,Paramètres!$A$1:$I$89,3,0)*VLOOKUP('Données projet'!$B$13,Paramètres!$A$1:$I$89,5,0)</f>
        <v>-3.0149749363772573E-13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572.6451446653349</v>
      </c>
      <c r="CZ190" s="62">
        <f t="shared" si="150"/>
        <v>389.15977992931374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-3.979039320256561E-13</v>
      </c>
      <c r="DP190" s="18">
        <f>DO190*VLOOKUP('Données projet'!$B$14,Paramètres!$A$1:$I$89,3,0)*VLOOKUP('Données projet'!$B$14,Paramètres!$A$1:$I$89,5,0)</f>
        <v>-3.3519427233841274E-13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383.83934938682984</v>
      </c>
      <c r="DU190" s="62">
        <f t="shared" si="152"/>
        <v>223.93106361972281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483.50113174728358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-3.979039320256561E-13</v>
      </c>
      <c r="O191" s="14">
        <f>N191*VLOOKUP('Données projet'!$B$9,Paramètres!$A$1:$I$89,3,0)*VLOOKUP('Données projet'!$B$9,Paramètres!$A$1:$I$89,5,0)</f>
        <v>-3.6002347769681362E-13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415.89259563928869</v>
      </c>
      <c r="T191" s="62">
        <f t="shared" si="142"/>
        <v>240.19413322685813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-3.7243808037601412E-14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214.08705070588002</v>
      </c>
      <c r="AO191" s="62">
        <f t="shared" si="144"/>
        <v>251.33527585147152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-3.2514435588382188E-14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239.41486198585676</v>
      </c>
      <c r="BJ191" s="62">
        <f t="shared" si="146"/>
        <v>224.9174498508774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5.1138817979651884E-24</v>
      </c>
      <c r="BS191" s="24">
        <f t="shared" si="169"/>
        <v>5.1138817979651884E-24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-5.6843418860808015E-13</v>
      </c>
      <c r="BZ191" s="14">
        <f>BY191*VLOOKUP('Données projet'!$B$12,Paramètres!$A$1:$I$89,3,0)*VLOOKUP('Données projet'!$B$12,Paramètres!$A$1:$I$89,5,0)</f>
        <v>-3.39923644787632E-13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288.65195492450403</v>
      </c>
      <c r="CE191" s="62">
        <f t="shared" si="148"/>
        <v>310.66800441693891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5.0930751073132865E-23</v>
      </c>
      <c r="CN191" s="24">
        <f t="shared" si="172"/>
        <v>5.0930751073132865E-23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-6.8212102632969618E-13</v>
      </c>
      <c r="CU191" s="18">
        <f>CT191*VLOOKUP('Données projet'!$B$13,Paramètres!$A$1:$I$89,3,0)*VLOOKUP('Données projet'!$B$13,Paramètres!$A$1:$I$89,5,0)</f>
        <v>-3.0149749363772573E-13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572.6451446653349</v>
      </c>
      <c r="CZ191" s="62">
        <f t="shared" si="150"/>
        <v>389.15977992931374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-3.979039320256561E-13</v>
      </c>
      <c r="DP191" s="18">
        <f>DO191*VLOOKUP('Données projet'!$B$14,Paramètres!$A$1:$I$89,3,0)*VLOOKUP('Données projet'!$B$14,Paramètres!$A$1:$I$89,5,0)</f>
        <v>-3.3519427233841274E-13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383.83934938682984</v>
      </c>
      <c r="DU191" s="62">
        <f t="shared" si="152"/>
        <v>223.93106361972281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484.67787452989506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-3.979039320256561E-13</v>
      </c>
      <c r="O192" s="14">
        <f>N192*VLOOKUP('Données projet'!$B$9,Paramètres!$A$1:$I$89,3,0)*VLOOKUP('Données projet'!$B$9,Paramètres!$A$1:$I$89,5,0)</f>
        <v>-3.6002347769681362E-13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415.89259563928869</v>
      </c>
      <c r="T192" s="62">
        <f t="shared" si="142"/>
        <v>240.19413322685813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-3.7243808037601412E-14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214.08705070588002</v>
      </c>
      <c r="AO192" s="62">
        <f t="shared" si="144"/>
        <v>251.33527585147152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-3.2514435588382188E-14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239.41486198585676</v>
      </c>
      <c r="BJ192" s="62">
        <f t="shared" si="146"/>
        <v>224.9174498508774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3.6160604975276387E-24</v>
      </c>
      <c r="BS192" s="24">
        <f t="shared" si="169"/>
        <v>3.6160604975276387E-24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-5.6843418860808015E-13</v>
      </c>
      <c r="BZ192" s="14">
        <f>BY192*VLOOKUP('Données projet'!$B$12,Paramètres!$A$1:$I$89,3,0)*VLOOKUP('Données projet'!$B$12,Paramètres!$A$1:$I$89,5,0)</f>
        <v>-3.39923644787632E-13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288.65195492450403</v>
      </c>
      <c r="CE192" s="62">
        <f t="shared" si="148"/>
        <v>310.66800441693891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3.6013479454736281E-23</v>
      </c>
      <c r="CN192" s="24">
        <f t="shared" si="172"/>
        <v>3.6013479454736281E-23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-6.8212102632969618E-13</v>
      </c>
      <c r="CU192" s="18">
        <f>CT192*VLOOKUP('Données projet'!$B$13,Paramètres!$A$1:$I$89,3,0)*VLOOKUP('Données projet'!$B$13,Paramètres!$A$1:$I$89,5,0)</f>
        <v>-3.0149749363772573E-13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572.6451446653349</v>
      </c>
      <c r="CZ192" s="62">
        <f t="shared" si="150"/>
        <v>389.15977992931374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-3.979039320256561E-13</v>
      </c>
      <c r="DP192" s="18">
        <f>DO192*VLOOKUP('Données projet'!$B$14,Paramètres!$A$1:$I$89,3,0)*VLOOKUP('Données projet'!$B$14,Paramètres!$A$1:$I$89,5,0)</f>
        <v>-3.3519427233841274E-13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383.83934938682984</v>
      </c>
      <c r="DU192" s="62">
        <f t="shared" si="152"/>
        <v>223.93106361972281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485.85447829495109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-3.979039320256561E-13</v>
      </c>
      <c r="O193" s="14">
        <f>N193*VLOOKUP('Données projet'!$B$9,Paramètres!$A$1:$I$89,3,0)*VLOOKUP('Données projet'!$B$9,Paramètres!$A$1:$I$89,5,0)</f>
        <v>-3.6002347769681362E-13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415.89259563928869</v>
      </c>
      <c r="T193" s="62">
        <f t="shared" si="142"/>
        <v>240.19413322685813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-3.7243808037601412E-14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214.08705070588002</v>
      </c>
      <c r="AO193" s="62">
        <f t="shared" si="144"/>
        <v>251.33527585147152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-3.2514435588382188E-14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239.41486198585676</v>
      </c>
      <c r="BJ193" s="62">
        <f t="shared" si="146"/>
        <v>224.9174498508774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2.5569408989825942E-24</v>
      </c>
      <c r="BS193" s="24">
        <f t="shared" si="169"/>
        <v>2.5569408989825942E-24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-5.6843418860808015E-13</v>
      </c>
      <c r="BZ193" s="14">
        <f>BY193*VLOOKUP('Données projet'!$B$12,Paramètres!$A$1:$I$89,3,0)*VLOOKUP('Données projet'!$B$12,Paramètres!$A$1:$I$89,5,0)</f>
        <v>-3.39923644787632E-13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288.65195492450403</v>
      </c>
      <c r="CE193" s="62">
        <f t="shared" si="148"/>
        <v>310.66800441693891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2.5465375536566433E-23</v>
      </c>
      <c r="CN193" s="24">
        <f t="shared" si="172"/>
        <v>2.5465375536566433E-23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-6.8212102632969618E-13</v>
      </c>
      <c r="CU193" s="18">
        <f>CT193*VLOOKUP('Données projet'!$B$13,Paramètres!$A$1:$I$89,3,0)*VLOOKUP('Données projet'!$B$13,Paramètres!$A$1:$I$89,5,0)</f>
        <v>-3.0149749363772573E-13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572.6451446653349</v>
      </c>
      <c r="CZ193" s="62">
        <f t="shared" si="150"/>
        <v>389.15977992931374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-3.979039320256561E-13</v>
      </c>
      <c r="DP193" s="18">
        <f>DO193*VLOOKUP('Données projet'!$B$14,Paramètres!$A$1:$I$89,3,0)*VLOOKUP('Données projet'!$B$14,Paramètres!$A$1:$I$89,5,0)</f>
        <v>-3.3519427233841274E-13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383.83934938682984</v>
      </c>
      <c r="DU193" s="62">
        <f t="shared" si="152"/>
        <v>223.93106361972281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487.03094385904706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-3.979039320256561E-13</v>
      </c>
      <c r="O194" s="14">
        <f>N194*VLOOKUP('Données projet'!$B$9,Paramètres!$A$1:$I$89,3,0)*VLOOKUP('Données projet'!$B$9,Paramètres!$A$1:$I$89,5,0)</f>
        <v>-3.6002347769681362E-13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415.89259563928869</v>
      </c>
      <c r="T194" s="62">
        <f t="shared" si="142"/>
        <v>240.19413322685813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-3.7243808037601412E-14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214.08705070588002</v>
      </c>
      <c r="AO194" s="62">
        <f t="shared" si="144"/>
        <v>251.33527585147152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-3.2514435588382188E-14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239.41486198585676</v>
      </c>
      <c r="BJ194" s="62">
        <f t="shared" si="146"/>
        <v>224.9174498508774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1.8080302487638194E-24</v>
      </c>
      <c r="BS194" s="24">
        <f t="shared" si="169"/>
        <v>1.8080302487638194E-24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-5.6843418860808015E-13</v>
      </c>
      <c r="BZ194" s="14">
        <f>BY194*VLOOKUP('Données projet'!$B$12,Paramètres!$A$1:$I$89,3,0)*VLOOKUP('Données projet'!$B$12,Paramètres!$A$1:$I$89,5,0)</f>
        <v>-3.39923644787632E-13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288.65195492450403</v>
      </c>
      <c r="CE194" s="62">
        <f t="shared" si="148"/>
        <v>310.66800441693891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1.800673972736814E-23</v>
      </c>
      <c r="CN194" s="24">
        <f t="shared" si="172"/>
        <v>1.800673972736814E-23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-6.8212102632969618E-13</v>
      </c>
      <c r="CU194" s="18">
        <f>CT194*VLOOKUP('Données projet'!$B$13,Paramètres!$A$1:$I$89,3,0)*VLOOKUP('Données projet'!$B$13,Paramètres!$A$1:$I$89,5,0)</f>
        <v>-3.0149749363772573E-13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572.6451446653349</v>
      </c>
      <c r="CZ194" s="62">
        <f t="shared" si="150"/>
        <v>389.15977992931374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-3.979039320256561E-13</v>
      </c>
      <c r="DP194" s="18">
        <f>DO194*VLOOKUP('Données projet'!$B$14,Paramètres!$A$1:$I$89,3,0)*VLOOKUP('Données projet'!$B$14,Paramètres!$A$1:$I$89,5,0)</f>
        <v>-3.3519427233841274E-13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383.83934938682984</v>
      </c>
      <c r="DU194" s="62">
        <f t="shared" si="152"/>
        <v>223.93106361972281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488.20727202973239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-3.979039320256561E-13</v>
      </c>
      <c r="O195" s="14">
        <f>N195*VLOOKUP('Données projet'!$B$9,Paramètres!$A$1:$I$89,3,0)*VLOOKUP('Données projet'!$B$9,Paramètres!$A$1:$I$89,5,0)</f>
        <v>-3.6002347769681362E-13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415.89259563928869</v>
      </c>
      <c r="T195" s="62">
        <f t="shared" si="142"/>
        <v>240.19413322685813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-3.7243808037601412E-14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214.08705070588002</v>
      </c>
      <c r="AO195" s="62">
        <f t="shared" si="144"/>
        <v>251.33527585147152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-3.2514435588382188E-14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239.41486198585676</v>
      </c>
      <c r="BJ195" s="62">
        <f t="shared" si="146"/>
        <v>224.9174498508774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1.2784704494912971E-24</v>
      </c>
      <c r="BS195" s="24">
        <f t="shared" si="169"/>
        <v>1.2784704494912971E-24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-5.6843418860808015E-13</v>
      </c>
      <c r="BZ195" s="14">
        <f>BY195*VLOOKUP('Données projet'!$B$12,Paramètres!$A$1:$I$89,3,0)*VLOOKUP('Données projet'!$B$12,Paramètres!$A$1:$I$89,5,0)</f>
        <v>-3.39923644787632E-13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288.65195492450403</v>
      </c>
      <c r="CE195" s="62">
        <f t="shared" si="148"/>
        <v>310.66800441693891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1.2732687768283216E-23</v>
      </c>
      <c r="CN195" s="24">
        <f t="shared" si="172"/>
        <v>1.2732687768283216E-23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-6.8212102632969618E-13</v>
      </c>
      <c r="CU195" s="18">
        <f>CT195*VLOOKUP('Données projet'!$B$13,Paramètres!$A$1:$I$89,3,0)*VLOOKUP('Données projet'!$B$13,Paramètres!$A$1:$I$89,5,0)</f>
        <v>-3.0149749363772573E-13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572.6451446653349</v>
      </c>
      <c r="CZ195" s="62">
        <f t="shared" si="150"/>
        <v>389.15977992931374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-3.979039320256561E-13</v>
      </c>
      <c r="DP195" s="18">
        <f>DO195*VLOOKUP('Données projet'!$B$14,Paramètres!$A$1:$I$89,3,0)*VLOOKUP('Données projet'!$B$14,Paramètres!$A$1:$I$89,5,0)</f>
        <v>-3.3519427233841274E-13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383.83934938682984</v>
      </c>
      <c r="DU195" s="62">
        <f t="shared" si="152"/>
        <v>223.93106361972281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489.38346360565777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-3.979039320256561E-13</v>
      </c>
      <c r="O196" s="14">
        <f>N196*VLOOKUP('Données projet'!$B$9,Paramètres!$A$1:$I$89,3,0)*VLOOKUP('Données projet'!$B$9,Paramètres!$A$1:$I$89,5,0)</f>
        <v>-3.6002347769681362E-13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415.89259563928869</v>
      </c>
      <c r="T196" s="62">
        <f t="shared" si="142"/>
        <v>240.19413322685813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-3.7243808037601412E-14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214.08705070588002</v>
      </c>
      <c r="AO196" s="62">
        <f t="shared" si="144"/>
        <v>251.33527585147152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-3.2514435588382188E-14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239.41486198585676</v>
      </c>
      <c r="BJ196" s="62">
        <f t="shared" si="146"/>
        <v>224.9174498508774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9.0401512438190968E-25</v>
      </c>
      <c r="BS196" s="24">
        <f t="shared" si="169"/>
        <v>9.0401512438190968E-25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-5.6843418860808015E-13</v>
      </c>
      <c r="BZ196" s="14">
        <f>BY196*VLOOKUP('Données projet'!$B$12,Paramètres!$A$1:$I$89,3,0)*VLOOKUP('Données projet'!$B$12,Paramètres!$A$1:$I$89,5,0)</f>
        <v>-3.39923644787632E-13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288.65195492450403</v>
      </c>
      <c r="CE196" s="62">
        <f t="shared" si="148"/>
        <v>310.66800441693891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9.0033698636840702E-24</v>
      </c>
      <c r="CN196" s="24">
        <f t="shared" si="172"/>
        <v>9.0033698636840702E-24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-6.8212102632969618E-13</v>
      </c>
      <c r="CU196" s="18">
        <f>CT196*VLOOKUP('Données projet'!$B$13,Paramètres!$A$1:$I$89,3,0)*VLOOKUP('Données projet'!$B$13,Paramètres!$A$1:$I$89,5,0)</f>
        <v>-3.0149749363772573E-13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572.6451446653349</v>
      </c>
      <c r="CZ196" s="62">
        <f t="shared" si="150"/>
        <v>389.15977992931374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-3.979039320256561E-13</v>
      </c>
      <c r="DP196" s="18">
        <f>DO196*VLOOKUP('Données projet'!$B$14,Paramètres!$A$1:$I$89,3,0)*VLOOKUP('Données projet'!$B$14,Paramètres!$A$1:$I$89,5,0)</f>
        <v>-3.3519427233841274E-13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383.83934938682984</v>
      </c>
      <c r="DU196" s="62">
        <f t="shared" si="152"/>
        <v>223.93106361972281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490.55951937671841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-3.979039320256561E-13</v>
      </c>
      <c r="O197" s="14">
        <f>N197*VLOOKUP('Données projet'!$B$9,Paramètres!$A$1:$I$89,3,0)*VLOOKUP('Données projet'!$B$9,Paramètres!$A$1:$I$89,5,0)</f>
        <v>-3.6002347769681362E-13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415.89259563928869</v>
      </c>
      <c r="T197" s="62">
        <f t="shared" ref="T197:T203" si="204">$T$3</f>
        <v>240.19413322685813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-3.7243808037601412E-14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214.08705070588002</v>
      </c>
      <c r="AO197" s="62">
        <f t="shared" ref="AO197:AO203" si="205">$AO$3</f>
        <v>251.33527585147152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-3.2514435588382188E-14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239.41486198585676</v>
      </c>
      <c r="BJ197" s="62">
        <f t="shared" ref="BJ197:BJ203" si="206">$BJ$3</f>
        <v>224.9174498508774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6.3923522474564855E-25</v>
      </c>
      <c r="BS197" s="24">
        <f t="shared" si="169"/>
        <v>6.3923522474564855E-25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-5.6843418860808015E-13</v>
      </c>
      <c r="BZ197" s="14">
        <f>BY197*VLOOKUP('Données projet'!$B$12,Paramètres!$A$1:$I$89,3,0)*VLOOKUP('Données projet'!$B$12,Paramètres!$A$1:$I$89,5,0)</f>
        <v>-3.39923644787632E-13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288.65195492450403</v>
      </c>
      <c r="CE197" s="62">
        <f t="shared" ref="CE197:CE203" si="207">$CE$3</f>
        <v>310.66800441693891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6.3663438841416081E-24</v>
      </c>
      <c r="CN197" s="24">
        <f t="shared" si="172"/>
        <v>6.3663438841416081E-24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-6.8212102632969618E-13</v>
      </c>
      <c r="CU197" s="18">
        <f>CT197*VLOOKUP('Données projet'!$B$13,Paramètres!$A$1:$I$89,3,0)*VLOOKUP('Données projet'!$B$13,Paramètres!$A$1:$I$89,5,0)</f>
        <v>-3.0149749363772573E-13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572.6451446653349</v>
      </c>
      <c r="CZ197" s="62">
        <f t="shared" ref="CZ197:CZ203" si="208">$CZ$3</f>
        <v>389.15977992931374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-3.979039320256561E-13</v>
      </c>
      <c r="DP197" s="18">
        <f>DO197*VLOOKUP('Données projet'!$B$14,Paramètres!$A$1:$I$89,3,0)*VLOOKUP('Données projet'!$B$14,Paramètres!$A$1:$I$89,5,0)</f>
        <v>-3.3519427233841274E-13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383.83934938682984</v>
      </c>
      <c r="DU197" s="62">
        <f t="shared" ref="DU197:DU203" si="209">$DU$3</f>
        <v>223.93106361972281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491.73544012419472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-3.979039320256561E-13</v>
      </c>
      <c r="O198" s="14">
        <f>N198*VLOOKUP('Données projet'!$B$9,Paramètres!$A$1:$I$89,3,0)*VLOOKUP('Données projet'!$B$9,Paramètres!$A$1:$I$89,5,0)</f>
        <v>-3.6002347769681362E-13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415.89259563928869</v>
      </c>
      <c r="T198" s="62">
        <f t="shared" si="204"/>
        <v>240.19413322685813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-3.7243808037601412E-14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214.08705070588002</v>
      </c>
      <c r="AO198" s="62">
        <f t="shared" si="205"/>
        <v>251.33527585147152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-3.2514435588382188E-14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239.41486198585676</v>
      </c>
      <c r="BJ198" s="62">
        <f t="shared" si="206"/>
        <v>224.9174498508774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4.5200756219095484E-25</v>
      </c>
      <c r="BS198" s="24">
        <f t="shared" si="169"/>
        <v>4.5200756219095484E-25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-5.6843418860808015E-13</v>
      </c>
      <c r="BZ198" s="14">
        <f>BY198*VLOOKUP('Données projet'!$B$12,Paramètres!$A$1:$I$89,3,0)*VLOOKUP('Données projet'!$B$12,Paramètres!$A$1:$I$89,5,0)</f>
        <v>-3.39923644787632E-13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288.65195492450403</v>
      </c>
      <c r="CE198" s="62">
        <f t="shared" si="207"/>
        <v>310.66800441693891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4.5016849318420351E-24</v>
      </c>
      <c r="CN198" s="24">
        <f t="shared" si="172"/>
        <v>4.5016849318420351E-24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-6.8212102632969618E-13</v>
      </c>
      <c r="CU198" s="18">
        <f>CT198*VLOOKUP('Données projet'!$B$13,Paramètres!$A$1:$I$89,3,0)*VLOOKUP('Données projet'!$B$13,Paramètres!$A$1:$I$89,5,0)</f>
        <v>-3.0149749363772573E-13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572.6451446653349</v>
      </c>
      <c r="CZ198" s="62">
        <f t="shared" si="208"/>
        <v>389.15977992931374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-3.979039320256561E-13</v>
      </c>
      <c r="DP198" s="18">
        <f>DO198*VLOOKUP('Données projet'!$B$14,Paramètres!$A$1:$I$89,3,0)*VLOOKUP('Données projet'!$B$14,Paramètres!$A$1:$I$89,5,0)</f>
        <v>-3.3519427233841274E-13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383.83934938682984</v>
      </c>
      <c r="DU198" s="62">
        <f t="shared" si="209"/>
        <v>223.93106361972281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492.91122662089026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-3.979039320256561E-13</v>
      </c>
      <c r="O199" s="14">
        <f>N199*VLOOKUP('Données projet'!$B$9,Paramètres!$A$1:$I$89,3,0)*VLOOKUP('Données projet'!$B$9,Paramètres!$A$1:$I$89,5,0)</f>
        <v>-3.6002347769681362E-13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415.89259563928869</v>
      </c>
      <c r="T199" s="62">
        <f t="shared" si="204"/>
        <v>240.19413322685813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-3.7243808037601412E-14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214.08705070588002</v>
      </c>
      <c r="AO199" s="62">
        <f t="shared" si="205"/>
        <v>251.33527585147152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-3.2514435588382188E-14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239.41486198585676</v>
      </c>
      <c r="BJ199" s="62">
        <f t="shared" si="206"/>
        <v>224.9174498508774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3.1961761237282428E-25</v>
      </c>
      <c r="BS199" s="24">
        <f t="shared" si="169"/>
        <v>3.1961761237282428E-25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-5.6843418860808015E-13</v>
      </c>
      <c r="BZ199" s="14">
        <f>BY199*VLOOKUP('Données projet'!$B$12,Paramètres!$A$1:$I$89,3,0)*VLOOKUP('Données projet'!$B$12,Paramètres!$A$1:$I$89,5,0)</f>
        <v>-3.39923644787632E-13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288.65195492450403</v>
      </c>
      <c r="CE199" s="62">
        <f t="shared" si="207"/>
        <v>310.66800441693891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3.1831719420708041E-24</v>
      </c>
      <c r="CN199" s="24">
        <f t="shared" si="172"/>
        <v>3.1831719420708041E-24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-6.8212102632969618E-13</v>
      </c>
      <c r="CU199" s="18">
        <f>CT199*VLOOKUP('Données projet'!$B$13,Paramètres!$A$1:$I$89,3,0)*VLOOKUP('Données projet'!$B$13,Paramètres!$A$1:$I$89,5,0)</f>
        <v>-3.0149749363772573E-13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572.6451446653349</v>
      </c>
      <c r="CZ199" s="62">
        <f t="shared" si="208"/>
        <v>389.15977992931374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-3.979039320256561E-13</v>
      </c>
      <c r="DP199" s="18">
        <f>DO199*VLOOKUP('Données projet'!$B$14,Paramètres!$A$1:$I$89,3,0)*VLOOKUP('Données projet'!$B$14,Paramètres!$A$1:$I$89,5,0)</f>
        <v>-3.3519427233841274E-13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383.83934938682984</v>
      </c>
      <c r="DU199" s="62">
        <f t="shared" si="209"/>
        <v>223.93106361972281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494.08687963126607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-3.979039320256561E-13</v>
      </c>
      <c r="O200" s="14">
        <f>N200*VLOOKUP('Données projet'!$B$9,Paramètres!$A$1:$I$89,3,0)*VLOOKUP('Données projet'!$B$9,Paramètres!$A$1:$I$89,5,0)</f>
        <v>-3.6002347769681362E-13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415.89259563928869</v>
      </c>
      <c r="T200" s="62">
        <f t="shared" si="204"/>
        <v>240.19413322685813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-3.7243808037601412E-14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214.08705070588002</v>
      </c>
      <c r="AO200" s="62">
        <f t="shared" si="205"/>
        <v>251.33527585147152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-3.2514435588382188E-14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239.41486198585676</v>
      </c>
      <c r="BJ200" s="62">
        <f t="shared" si="206"/>
        <v>224.9174498508774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2.2600378109547742E-25</v>
      </c>
      <c r="BS200" s="24">
        <f t="shared" si="169"/>
        <v>2.2600378109547742E-25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-5.6843418860808015E-13</v>
      </c>
      <c r="BZ200" s="14">
        <f>BY200*VLOOKUP('Données projet'!$B$12,Paramètres!$A$1:$I$89,3,0)*VLOOKUP('Données projet'!$B$12,Paramètres!$A$1:$I$89,5,0)</f>
        <v>-3.39923644787632E-13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288.65195492450403</v>
      </c>
      <c r="CE200" s="62">
        <f t="shared" si="207"/>
        <v>310.66800441693891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2.2508424659210176E-24</v>
      </c>
      <c r="CN200" s="24">
        <f t="shared" si="172"/>
        <v>2.2508424659210176E-24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-6.8212102632969618E-13</v>
      </c>
      <c r="CU200" s="18">
        <f>CT200*VLOOKUP('Données projet'!$B$13,Paramètres!$A$1:$I$89,3,0)*VLOOKUP('Données projet'!$B$13,Paramètres!$A$1:$I$89,5,0)</f>
        <v>-3.0149749363772573E-13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572.6451446653349</v>
      </c>
      <c r="CZ200" s="62">
        <f t="shared" si="208"/>
        <v>389.15977992931374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-3.979039320256561E-13</v>
      </c>
      <c r="DP200" s="18">
        <f>DO200*VLOOKUP('Données projet'!$B$14,Paramètres!$A$1:$I$89,3,0)*VLOOKUP('Données projet'!$B$14,Paramètres!$A$1:$I$89,5,0)</f>
        <v>-3.3519427233841274E-13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383.83934938682984</v>
      </c>
      <c r="DU200" s="62">
        <f t="shared" si="209"/>
        <v>223.93106361972281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495.26239991157297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-3.979039320256561E-13</v>
      </c>
      <c r="O201" s="14">
        <f>N201*VLOOKUP('Données projet'!$B$9,Paramètres!$A$1:$I$89,3,0)*VLOOKUP('Données projet'!$B$9,Paramètres!$A$1:$I$89,5,0)</f>
        <v>-3.6002347769681362E-13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415.89259563928869</v>
      </c>
      <c r="T201" s="62">
        <f t="shared" si="204"/>
        <v>240.19413322685813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-3.7243808037601412E-14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214.08705070588002</v>
      </c>
      <c r="AO201" s="62">
        <f t="shared" si="205"/>
        <v>251.33527585147152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-3.2514435588382188E-14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239.41486198585676</v>
      </c>
      <c r="BJ201" s="62">
        <f t="shared" si="206"/>
        <v>224.9174498508774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1.5980880618641214E-25</v>
      </c>
      <c r="BS201" s="24">
        <f t="shared" si="169"/>
        <v>1.5980880618641214E-25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-5.6843418860808015E-13</v>
      </c>
      <c r="BZ201" s="14">
        <f>BY201*VLOOKUP('Données projet'!$B$12,Paramètres!$A$1:$I$89,3,0)*VLOOKUP('Données projet'!$B$12,Paramètres!$A$1:$I$89,5,0)</f>
        <v>-3.39923644787632E-13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288.65195492450403</v>
      </c>
      <c r="CE201" s="62">
        <f t="shared" si="207"/>
        <v>310.66800441693891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1.591585971035402E-24</v>
      </c>
      <c r="CN201" s="24">
        <f t="shared" si="172"/>
        <v>1.591585971035402E-24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-6.8212102632969618E-13</v>
      </c>
      <c r="CU201" s="18">
        <f>CT201*VLOOKUP('Données projet'!$B$13,Paramètres!$A$1:$I$89,3,0)*VLOOKUP('Données projet'!$B$13,Paramètres!$A$1:$I$89,5,0)</f>
        <v>-3.0149749363772573E-13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572.6451446653349</v>
      </c>
      <c r="CZ201" s="62">
        <f t="shared" si="208"/>
        <v>389.15977992931374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-3.979039320256561E-13</v>
      </c>
      <c r="DP201" s="18">
        <f>DO201*VLOOKUP('Données projet'!$B$14,Paramètres!$A$1:$I$89,3,0)*VLOOKUP('Données projet'!$B$14,Paramètres!$A$1:$I$89,5,0)</f>
        <v>-3.3519427233841274E-13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383.83934938682984</v>
      </c>
      <c r="DU201" s="62">
        <f t="shared" si="209"/>
        <v>223.93106361972281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496.43778820998034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-3.979039320256561E-13</v>
      </c>
      <c r="O202" s="14">
        <f>N202*VLOOKUP('Données projet'!$B$9,Paramètres!$A$1:$I$89,3,0)*VLOOKUP('Données projet'!$B$9,Paramètres!$A$1:$I$89,5,0)</f>
        <v>-3.6002347769681362E-13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415.89259563928869</v>
      </c>
      <c r="T202" s="62">
        <f t="shared" si="204"/>
        <v>240.19413322685813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-3.7243808037601412E-14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214.08705070588002</v>
      </c>
      <c r="AO202" s="62">
        <f t="shared" si="205"/>
        <v>251.33527585147152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-3.2514435588382188E-14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239.41486198585676</v>
      </c>
      <c r="BJ202" s="62">
        <f t="shared" si="206"/>
        <v>224.9174498508774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1.1300189054773871E-25</v>
      </c>
      <c r="BS202" s="24">
        <f t="shared" si="169"/>
        <v>1.1300189054773871E-25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-5.6843418860808015E-13</v>
      </c>
      <c r="BZ202" s="14">
        <f>BY202*VLOOKUP('Données projet'!$B$12,Paramètres!$A$1:$I$89,3,0)*VLOOKUP('Données projet'!$B$12,Paramètres!$A$1:$I$89,5,0)</f>
        <v>-3.39923644787632E-13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288.65195492450403</v>
      </c>
      <c r="CE202" s="62">
        <f t="shared" si="207"/>
        <v>310.66800441693891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1.1254212329605088E-24</v>
      </c>
      <c r="CN202" s="24">
        <f t="shared" si="172"/>
        <v>1.1254212329605088E-24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-6.8212102632969618E-13</v>
      </c>
      <c r="CU202" s="18">
        <f>CT202*VLOOKUP('Données projet'!$B$13,Paramètres!$A$1:$I$89,3,0)*VLOOKUP('Données projet'!$B$13,Paramètres!$A$1:$I$89,5,0)</f>
        <v>-3.0149749363772573E-13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572.6451446653349</v>
      </c>
      <c r="CZ202" s="62">
        <f t="shared" si="208"/>
        <v>389.15977992931374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-3.979039320256561E-13</v>
      </c>
      <c r="DP202" s="18">
        <f>DO202*VLOOKUP('Données projet'!$B$14,Paramètres!$A$1:$I$89,3,0)*VLOOKUP('Données projet'!$B$14,Paramètres!$A$1:$I$89,5,0)</f>
        <v>-3.3519427233841274E-13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383.83934938682984</v>
      </c>
      <c r="DU202" s="62">
        <f t="shared" si="209"/>
        <v>223.93106361972281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497.61304526670318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-3.979039320256561E-13</v>
      </c>
      <c r="O203" s="14">
        <f>N203*VLOOKUP('Données projet'!$B$9,Paramètres!$A$1:$I$89,3,0)*VLOOKUP('Données projet'!$B$9,Paramètres!$A$1:$I$89,5,0)</f>
        <v>-3.6002347769681362E-13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415.89259563928869</v>
      </c>
      <c r="T203" s="62">
        <f t="shared" si="204"/>
        <v>240.19413322685813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-3.7243808037601412E-14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214.08705070588002</v>
      </c>
      <c r="AO203" s="62">
        <f t="shared" si="205"/>
        <v>251.33527585147152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-3.2514435588382188E-14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239.41486198585676</v>
      </c>
      <c r="BJ203" s="62">
        <f t="shared" si="206"/>
        <v>224.9174498508774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7.9904403093206069E-26</v>
      </c>
      <c r="BS203" s="24">
        <f t="shared" si="169"/>
        <v>7.9904403093206069E-26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-5.6843418860808015E-13</v>
      </c>
      <c r="BZ203" s="14">
        <f>BY203*VLOOKUP('Données projet'!$B$12,Paramètres!$A$1:$I$89,3,0)*VLOOKUP('Données projet'!$B$12,Paramètres!$A$1:$I$89,5,0)</f>
        <v>-3.39923644787632E-13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288.65195492450403</v>
      </c>
      <c r="CE203" s="62">
        <f t="shared" si="207"/>
        <v>310.66800441693891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7.9579298551770102E-25</v>
      </c>
      <c r="CN203" s="24">
        <f t="shared" si="172"/>
        <v>7.9579298551770102E-25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-6.8212102632969618E-13</v>
      </c>
      <c r="CU203" s="18">
        <f>CT203*VLOOKUP('Données projet'!$B$13,Paramètres!$A$1:$I$89,3,0)*VLOOKUP('Données projet'!$B$13,Paramètres!$A$1:$I$89,5,0)</f>
        <v>-3.0149749363772573E-13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572.6451446653349</v>
      </c>
      <c r="CZ203" s="62">
        <f t="shared" si="208"/>
        <v>389.15977992931374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-3.979039320256561E-13</v>
      </c>
      <c r="DP203" s="18">
        <f>DO203*VLOOKUP('Données projet'!$B$14,Paramètres!$A$1:$I$89,3,0)*VLOOKUP('Données projet'!$B$14,Paramètres!$A$1:$I$89,5,0)</f>
        <v>-3.3519427233841274E-13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383.83934938682984</v>
      </c>
      <c r="DU203" s="62">
        <f t="shared" si="209"/>
        <v>223.93106361972281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1.2721747796233518</v>
      </c>
      <c r="BA205" s="88">
        <f>EXP(LN('Données projet'!B88)/'Données projet'!A88)</f>
        <v>1.2501898326862695</v>
      </c>
      <c r="BV205" s="88">
        <f>EXP(LN('Données projet'!B114)/'Données projet'!A114)</f>
        <v>1.3134156586844881</v>
      </c>
      <c r="CQ205" s="88">
        <f>EXP(LN('Données projet'!B140)/'Données projet'!A140)</f>
        <v>1.3812444916919526</v>
      </c>
      <c r="DL205" s="88">
        <f>EXP(LN('Données projet'!B166)/'Données projet'!A166)</f>
        <v>1.2392705892426346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I9" sqref="I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1.9964999999999999</v>
      </c>
      <c r="C6" s="156">
        <f ca="1">IF(OR('Données projet'!B9="",'Données projet'!C9="",'Données projet'!C9=0%),0,Calculateur!S3)</f>
        <v>415.89259563928869</v>
      </c>
      <c r="D6" s="156">
        <f>IF(OR('Données projet'!B9="",'Données projet'!C9="",'Données projet'!C9=0%),0,Calculateur!T3)</f>
        <v>240.19413322685813</v>
      </c>
      <c r="E6" s="156">
        <f ca="1">MIN(C6,D6)</f>
        <v>240.19413322685813</v>
      </c>
      <c r="F6" s="156">
        <f ca="1">E6*B6</f>
        <v>479.54758698742222</v>
      </c>
      <c r="G6" s="156">
        <f ca="1">F6*(100%-'Données projet'!$C$24)*(100%-'Données projet'!$C$25)*(100%-'Données projet'!$C$26)*(100%-'Données projet'!$C$27)</f>
        <v>410.01318687424595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16.97025</v>
      </c>
      <c r="K6" s="160">
        <f>J6*(100%-'Données projet'!$C$24)*(100%-'Données projet'!$C$25)*(100%-'Données projet'!$C$26)*(100%-'Données projet'!$C$27)</f>
        <v>14.50956375</v>
      </c>
      <c r="L6" s="161">
        <f ca="1">G6+I6+K6</f>
        <v>424.52275062424593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Aulne glutineux</v>
      </c>
      <c r="B7" s="163">
        <f>'Données projet'!D10</f>
        <v>0.44</v>
      </c>
      <c r="C7" s="156">
        <f ca="1">IF(OR('Données projet'!B10="",'Données projet'!C10="",'Données projet'!C10=0%),0,Calculateur!AN3)</f>
        <v>214.08705070588002</v>
      </c>
      <c r="D7" s="156">
        <f>IF(OR('Données projet'!B10="",'Données projet'!C10="",'Données projet'!C10=0%),0,Calculateur!AO3)</f>
        <v>251.33527585147152</v>
      </c>
      <c r="E7" s="156">
        <f t="shared" ref="E7:E15" ca="1" si="0">MIN(C7,D7)</f>
        <v>214.08705070588002</v>
      </c>
      <c r="F7" s="156">
        <f t="shared" ref="F7:F15" ca="1" si="1">E7*B7</f>
        <v>94.198302310587209</v>
      </c>
      <c r="G7" s="156">
        <f ca="1">F7*(100%-'Données projet'!$C$24)*(100%-'Données projet'!$C$25)*(100%-'Données projet'!$C$26)*(100%-'Données projet'!$C$27)</f>
        <v>80.539548475552053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10.89</v>
      </c>
      <c r="K7" s="160">
        <f>J7*(100%-'Données projet'!$C$24)*(100%-'Données projet'!$C$25)*(100%-'Données projet'!$C$26)*(100%-'Données projet'!$C$27)</f>
        <v>9.3109500000000001</v>
      </c>
      <c r="L7" s="161">
        <f t="shared" ref="L7:L15" ca="1" si="2">G7+I7+K7</f>
        <v>89.850498475552058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Pin sylvestre</v>
      </c>
      <c r="B8" s="163">
        <f>'Données projet'!D11</f>
        <v>1.111</v>
      </c>
      <c r="C8" s="156">
        <f ca="1">IF(OR('Données projet'!B11="",'Données projet'!C11="",'Données projet'!C11=0%),0,Calculateur!BI3)</f>
        <v>239.41486198585676</v>
      </c>
      <c r="D8" s="156">
        <f>IF(OR('Données projet'!B11="",'Données projet'!C11="",'Données projet'!C11=0%),0,Calculateur!BJ3)</f>
        <v>224.9174498508774</v>
      </c>
      <c r="E8" s="156">
        <f t="shared" ca="1" si="0"/>
        <v>224.9174498508774</v>
      </c>
      <c r="F8" s="156">
        <f t="shared" ca="1" si="1"/>
        <v>249.88328678432478</v>
      </c>
      <c r="G8" s="156">
        <f ca="1">F8*(100%-'Données projet'!$C$24)*(100%-'Données projet'!$C$25)*(100%-'Données projet'!$C$26)*(100%-'Données projet'!$C$27)</f>
        <v>213.65021020059768</v>
      </c>
      <c r="H8" s="164">
        <f>IF(OR('Données projet'!B11="",'Données projet'!C11="",'Données projet'!C11=0%),0,AVERAGE(Calculateur!$BS$3:$BS$33)*B8)</f>
        <v>1.8721749648303856</v>
      </c>
      <c r="I8" s="158">
        <f>H8*(100%-'Données projet'!$C$24)*(100%-'Données projet'!$C$25)*(100%-'Données projet'!$C$26)*(100%-'Données projet'!$C$27)</f>
        <v>1.6007095949299797</v>
      </c>
      <c r="J8" s="159">
        <f>IF(OR('Données projet'!B11="",'Données projet'!C11="",'Données projet'!C11=0%),0,SUM(Calculateur!$BL$3:$BL$33)*VLOOKUP('Données projet'!$B$11,Paramètres!$A$1:$I$89,9,0)*B8)</f>
        <v>25.797419999999999</v>
      </c>
      <c r="K8" s="160">
        <f>J8*(100%-'Données projet'!$C$24)*(100%-'Données projet'!$C$25)*(100%-'Données projet'!$C$26)*(100%-'Données projet'!$C$27)</f>
        <v>22.056794099999998</v>
      </c>
      <c r="L8" s="161">
        <f t="shared" ca="1" si="2"/>
        <v>237.30771389552766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Pin laricio</v>
      </c>
      <c r="B9" s="163">
        <f>'Données projet'!D12</f>
        <v>1.111</v>
      </c>
      <c r="C9" s="156">
        <f ca="1">IF(OR('Données projet'!B12="",'Données projet'!C12="",'Données projet'!C12=0%),0,Calculateur!CD3)</f>
        <v>288.65195492450403</v>
      </c>
      <c r="D9" s="156">
        <f>IF(OR('Données projet'!B12="",'Données projet'!C12="",'Données projet'!C12=0%),0,Calculateur!CE3)</f>
        <v>310.66800441693891</v>
      </c>
      <c r="E9" s="156">
        <f t="shared" ca="1" si="0"/>
        <v>288.65195492450403</v>
      </c>
      <c r="F9" s="156">
        <f t="shared" ca="1" si="1"/>
        <v>320.69232192112395</v>
      </c>
      <c r="G9" s="156">
        <f ca="1">F9*(100%-'Données projet'!$C$24)*(100%-'Données projet'!$C$25)*(100%-'Données projet'!$C$26)*(100%-'Données projet'!$C$27)</f>
        <v>274.19193524256099</v>
      </c>
      <c r="H9" s="164">
        <f>IF(OR('Données projet'!B12="",'Données projet'!C12="",'Données projet'!C12=0%),0,AVERAGE(Calculateur!$CN$3:$CN$33)*B9)</f>
        <v>2.3072002988935107</v>
      </c>
      <c r="I9" s="158">
        <f>H9*(100%-'Données projet'!$C$24)*(100%-'Données projet'!$C$25)*(100%-'Données projet'!$C$26)*(100%-'Données projet'!$C$27)</f>
        <v>1.9726562555539517</v>
      </c>
      <c r="J9" s="159">
        <f>IF(OR('Données projet'!B12="",'Données projet'!C12="",'Données projet'!C12=0%),0,SUM(Calculateur!$CG$3:$CG$33)*VLOOKUP('Données projet'!$B$12,Paramètres!$A$1:$I$89,9,0)*B9)</f>
        <v>57.327600000000004</v>
      </c>
      <c r="K9" s="160">
        <f>J9*(100%-'Données projet'!$C$24)*(100%-'Données projet'!$C$25)*(100%-'Données projet'!$C$26)*(100%-'Données projet'!$C$27)</f>
        <v>49.015098000000002</v>
      </c>
      <c r="L9" s="161">
        <f t="shared" ca="1" si="2"/>
        <v>325.17968949811495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Séquoia toujours vert</v>
      </c>
      <c r="B10" s="163">
        <f>'Données projet'!D13</f>
        <v>0.17599999999999999</v>
      </c>
      <c r="C10" s="156">
        <f ca="1">IF(OR('Données projet'!B13="",'Données projet'!C13="",'Données projet'!C13=0%),0,Calculateur!CY3)</f>
        <v>572.6451446653349</v>
      </c>
      <c r="D10" s="156">
        <f>IF(OR('Données projet'!B13="",'Données projet'!C13="",'Données projet'!C13=0%),0,Calculateur!CZ3)</f>
        <v>389.15977992931374</v>
      </c>
      <c r="E10" s="156">
        <f t="shared" ca="1" si="0"/>
        <v>389.15977992931374</v>
      </c>
      <c r="F10" s="156">
        <f t="shared" ca="1" si="1"/>
        <v>68.492121267559213</v>
      </c>
      <c r="G10" s="156">
        <f ca="1">F10*(100%-'Données projet'!$C$24)*(100%-'Données projet'!$C$25)*(100%-'Données projet'!$C$26)*(100%-'Données projet'!$C$27)</f>
        <v>58.56076368376312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23.839199999999998</v>
      </c>
      <c r="K10" s="160">
        <f>J10*(100%-'Données projet'!$C$24)*(100%-'Données projet'!$C$25)*(100%-'Données projet'!$C$26)*(100%-'Données projet'!$C$27)</f>
        <v>20.382515999999999</v>
      </c>
      <c r="L10" s="161">
        <f t="shared" ca="1" si="2"/>
        <v>78.943279683763123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Chêne pédonculé</v>
      </c>
      <c r="B11" s="163">
        <f>'Données projet'!D14</f>
        <v>0.66549999999999998</v>
      </c>
      <c r="C11" s="156">
        <f ca="1">IF(OR('Données projet'!B14="",'Données projet'!C14="",'Données projet'!C14=0%),0,Calculateur!DT3)</f>
        <v>383.83934938682984</v>
      </c>
      <c r="D11" s="156">
        <f>IF(OR('Données projet'!B14="",'Données projet'!C14="",'Données projet'!C14=0%),0,Calculateur!DU3)</f>
        <v>223.93106361972281</v>
      </c>
      <c r="E11" s="156">
        <f t="shared" ca="1" si="0"/>
        <v>223.93106361972281</v>
      </c>
      <c r="F11" s="156">
        <f t="shared" ca="1" si="1"/>
        <v>149.02612283892552</v>
      </c>
      <c r="G11" s="156">
        <f ca="1">F11*(100%-'Données projet'!$C$24)*(100%-'Données projet'!$C$25)*(100%-'Données projet'!$C$26)*(100%-'Données projet'!$C$27)</f>
        <v>127.41733502728131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5.6567499999999997</v>
      </c>
      <c r="K11" s="160">
        <f>J11*(100%-'Données projet'!$C$24)*(100%-'Données projet'!$C$25)*(100%-'Données projet'!$C$26)*(100%-'Données projet'!$C$27)</f>
        <v>4.8365212499999997</v>
      </c>
      <c r="L11" s="161">
        <f t="shared" ca="1" si="2"/>
        <v>132.2538562772813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1361.839742109943</v>
      </c>
      <c r="G16" s="175">
        <f t="shared" ca="1" si="3"/>
        <v>1164.372979504001</v>
      </c>
      <c r="H16" s="176">
        <f t="shared" si="3"/>
        <v>4.1793752637238963</v>
      </c>
      <c r="I16" s="176">
        <f t="shared" si="3"/>
        <v>3.5733658504839312</v>
      </c>
      <c r="J16" s="177">
        <f t="shared" si="3"/>
        <v>140.48121999999998</v>
      </c>
      <c r="K16" s="177">
        <f t="shared" si="3"/>
        <v>120.11144309999999</v>
      </c>
      <c r="L16" s="178">
        <f t="shared" ca="1" si="3"/>
        <v>1288.057788454485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Aulne glutineux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Pin sylvestre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Pin laricio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Séquoia toujours vert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Chêne pédonculé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H1" zoomScale="90" zoomScaleNormal="90" workbookViewId="0">
      <selection activeCell="T11" sqref="T1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-501.98758602496503</v>
      </c>
      <c r="U10" s="190">
        <f>'Données projet'!D9</f>
        <v>1.9964999999999999</v>
      </c>
      <c r="V10" s="189">
        <f>U10*T10</f>
        <v>-1002.2182154988426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Aulne glutineux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-718.45394521965511</v>
      </c>
      <c r="U11" s="190">
        <f>'Données projet'!D10</f>
        <v>0.44</v>
      </c>
      <c r="V11" s="189">
        <f t="shared" ref="V11" si="0">U11*T11</f>
        <v>-316.11973589664825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sylvestre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1319.9661078691549</v>
      </c>
      <c r="U12" s="190">
        <f>'Données projet'!D11</f>
        <v>1.111</v>
      </c>
      <c r="V12" s="189">
        <f t="shared" ref="V12:V19" si="1">U12*T12</f>
        <v>1466.482345842631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laricio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2237.6984631584623</v>
      </c>
      <c r="U13" s="190">
        <f>'Données projet'!D12</f>
        <v>1.111</v>
      </c>
      <c r="V13" s="189">
        <f t="shared" si="1"/>
        <v>2486.0829925690518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Séquoia toujours vert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2897.5701121537313</v>
      </c>
      <c r="U14" s="190">
        <f>'Données projet'!D13</f>
        <v>0.17599999999999999</v>
      </c>
      <c r="V14" s="189">
        <f t="shared" si="1"/>
        <v>509.97233973905668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0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Chêne pédonculé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-501.98758602496503</v>
      </c>
      <c r="U15" s="190">
        <f>'Données projet'!D14</f>
        <v>0.66549999999999998</v>
      </c>
      <c r="V15" s="189">
        <f t="shared" si="1"/>
        <v>-334.07273849961422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0"/>
      <c r="H16" s="203"/>
      <c r="I16" s="204"/>
      <c r="J16" s="216"/>
      <c r="K16" s="225"/>
      <c r="L16" s="336" t="s">
        <v>254</v>
      </c>
      <c r="M16" s="337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1375</v>
      </c>
      <c r="F17" s="261"/>
      <c r="G17" s="340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49.999999999999964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0"/>
      <c r="J18" s="216"/>
      <c r="K18" s="225"/>
      <c r="L18" s="294" t="s">
        <v>255</v>
      </c>
      <c r="M18" s="296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0"/>
      <c r="H19" s="232" t="s">
        <v>178</v>
      </c>
      <c r="I19" s="232" t="s">
        <v>287</v>
      </c>
      <c r="J19" s="260"/>
      <c r="K19" s="183"/>
      <c r="L19" s="336" t="s">
        <v>288</v>
      </c>
      <c r="M19" s="337"/>
      <c r="N19" s="191">
        <f>N17*N18</f>
        <v>499.99999999999966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0"/>
      <c r="H20" s="203">
        <v>1</v>
      </c>
      <c r="I20" s="204">
        <v>2823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575</v>
      </c>
      <c r="K23" s="225"/>
      <c r="L23" s="338" t="s">
        <v>260</v>
      </c>
      <c r="M23" s="338"/>
      <c r="N23" s="338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-17591.496791081216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34</v>
      </c>
      <c r="C24" s="206">
        <v>10</v>
      </c>
      <c r="D24" s="194">
        <f t="shared" ref="D24:D42" si="2">B24*C24</f>
        <v>340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304.45153740554321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5">
        <f ca="1">T23-T24</f>
        <v>-17895.94832848676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56</v>
      </c>
      <c r="C26" s="206">
        <v>10</v>
      </c>
      <c r="D26" s="194">
        <f t="shared" si="2"/>
        <v>560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56</v>
      </c>
      <c r="C28" s="206">
        <v>10</v>
      </c>
      <c r="D28" s="194">
        <f t="shared" si="2"/>
        <v>560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56</v>
      </c>
      <c r="C30" s="206">
        <v>20</v>
      </c>
      <c r="D30" s="194">
        <f t="shared" si="2"/>
        <v>1120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56</v>
      </c>
      <c r="C32" s="206">
        <v>30</v>
      </c>
      <c r="D32" s="194">
        <f t="shared" si="2"/>
        <v>1680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56</v>
      </c>
      <c r="C34" s="206">
        <v>40</v>
      </c>
      <c r="D34" s="194">
        <f t="shared" si="2"/>
        <v>2240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85</v>
      </c>
      <c r="B35" s="193">
        <f>'Données projet'!D48</f>
        <v>56</v>
      </c>
      <c r="C35" s="206">
        <v>50</v>
      </c>
      <c r="D35" s="194">
        <f t="shared" si="2"/>
        <v>2800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95</v>
      </c>
      <c r="B36" s="193">
        <f>'Données projet'!D49</f>
        <v>56</v>
      </c>
      <c r="C36" s="206">
        <v>50</v>
      </c>
      <c r="D36" s="194">
        <f t="shared" si="2"/>
        <v>2800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105</v>
      </c>
      <c r="B37" s="193">
        <f>'Données projet'!D50</f>
        <v>53</v>
      </c>
      <c r="C37" s="206">
        <v>50</v>
      </c>
      <c r="D37" s="194">
        <f t="shared" si="2"/>
        <v>2650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115</v>
      </c>
      <c r="B38" s="193">
        <f>'Données projet'!D51</f>
        <v>49</v>
      </c>
      <c r="C38" s="206">
        <v>70</v>
      </c>
      <c r="D38" s="194">
        <f t="shared" si="2"/>
        <v>3430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125</v>
      </c>
      <c r="B39" s="193">
        <f>'Données projet'!D52</f>
        <v>45</v>
      </c>
      <c r="C39" s="206">
        <v>100</v>
      </c>
      <c r="D39" s="194">
        <f t="shared" si="2"/>
        <v>4500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135</v>
      </c>
      <c r="B40" s="193">
        <f>'Données projet'!D53</f>
        <v>43</v>
      </c>
      <c r="C40" s="206">
        <v>120</v>
      </c>
      <c r="D40" s="194">
        <f t="shared" si="2"/>
        <v>5160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145</v>
      </c>
      <c r="B41" s="193">
        <f>'Données projet'!D54</f>
        <v>39</v>
      </c>
      <c r="C41" s="206">
        <v>150</v>
      </c>
      <c r="D41" s="194">
        <f t="shared" si="2"/>
        <v>5850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316</v>
      </c>
      <c r="C42" s="206">
        <v>200</v>
      </c>
      <c r="D42" s="194">
        <f t="shared" si="2"/>
        <v>63200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Aulne glutineux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1375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20</v>
      </c>
      <c r="B55" s="193">
        <f>'Données projet'!D63</f>
        <v>43</v>
      </c>
      <c r="C55" s="204">
        <v>10</v>
      </c>
      <c r="D55" s="191">
        <f t="shared" ref="D55:D73" si="4">B55*C55</f>
        <v>430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25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30</v>
      </c>
      <c r="B57" s="193">
        <f>'Données projet'!D65</f>
        <v>56</v>
      </c>
      <c r="C57" s="204">
        <v>10</v>
      </c>
      <c r="D57" s="191">
        <f t="shared" si="4"/>
        <v>560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35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40</v>
      </c>
      <c r="B59" s="193">
        <f>'Données projet'!D67</f>
        <v>56</v>
      </c>
      <c r="C59" s="204">
        <v>10</v>
      </c>
      <c r="D59" s="191">
        <f t="shared" si="4"/>
        <v>560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45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50</v>
      </c>
      <c r="B61" s="193">
        <f>'Données projet'!D69</f>
        <v>39</v>
      </c>
      <c r="C61" s="204">
        <v>20</v>
      </c>
      <c r="D61" s="191">
        <f t="shared" si="4"/>
        <v>780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55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60</v>
      </c>
      <c r="B63" s="193">
        <f>'Données projet'!D71</f>
        <v>25</v>
      </c>
      <c r="C63" s="204">
        <v>20</v>
      </c>
      <c r="D63" s="191">
        <f t="shared" si="4"/>
        <v>500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65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70</v>
      </c>
      <c r="B65" s="193">
        <f>'Données projet'!D73</f>
        <v>21</v>
      </c>
      <c r="C65" s="204">
        <v>30</v>
      </c>
      <c r="D65" s="191">
        <f t="shared" si="4"/>
        <v>630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75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80</v>
      </c>
      <c r="B67" s="193">
        <f>'Données projet'!D75</f>
        <v>293</v>
      </c>
      <c r="C67" s="204">
        <v>30</v>
      </c>
      <c r="D67" s="191">
        <f t="shared" si="4"/>
        <v>8790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Pin sylvestre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1375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54</v>
      </c>
      <c r="C86" s="204">
        <v>10</v>
      </c>
      <c r="D86" s="191">
        <f t="shared" ref="D86:D104" si="6">B86*C86</f>
        <v>540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35</v>
      </c>
      <c r="B88" s="193">
        <f>'Données projet'!D91</f>
        <v>113</v>
      </c>
      <c r="C88" s="204">
        <v>20</v>
      </c>
      <c r="D88" s="191">
        <f t="shared" si="6"/>
        <v>2260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45</v>
      </c>
      <c r="B90" s="193">
        <f>'Données projet'!D93</f>
        <v>96</v>
      </c>
      <c r="C90" s="204">
        <v>30</v>
      </c>
      <c r="D90" s="191">
        <f t="shared" si="6"/>
        <v>2880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55</v>
      </c>
      <c r="B92" s="193">
        <f>'Données projet'!D95</f>
        <v>75</v>
      </c>
      <c r="C92" s="204">
        <v>40</v>
      </c>
      <c r="D92" s="191">
        <f t="shared" si="6"/>
        <v>3000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65</v>
      </c>
      <c r="B94" s="193">
        <f>'Données projet'!D97</f>
        <v>478</v>
      </c>
      <c r="C94" s="204">
        <v>50</v>
      </c>
      <c r="D94" s="191">
        <f t="shared" si="6"/>
        <v>23900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Pin laricio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1375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17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20</v>
      </c>
      <c r="B117" s="193">
        <f>'Données projet'!D115</f>
        <v>30</v>
      </c>
      <c r="C117" s="204">
        <v>10</v>
      </c>
      <c r="D117" s="191">
        <f t="shared" ref="D117:D135" si="8">B117*C117</f>
        <v>300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25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30</v>
      </c>
      <c r="B119" s="193">
        <f>'Données projet'!D117</f>
        <v>90</v>
      </c>
      <c r="C119" s="204">
        <v>20</v>
      </c>
      <c r="D119" s="191">
        <f t="shared" si="8"/>
        <v>1800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35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40</v>
      </c>
      <c r="B121" s="193">
        <f>'Données projet'!D119</f>
        <v>100</v>
      </c>
      <c r="C121" s="204">
        <v>30</v>
      </c>
      <c r="D121" s="191">
        <f t="shared" si="8"/>
        <v>3000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45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50</v>
      </c>
      <c r="B123" s="193">
        <f>'Données projet'!D121</f>
        <v>104</v>
      </c>
      <c r="C123" s="204">
        <v>40</v>
      </c>
      <c r="D123" s="191">
        <f t="shared" si="8"/>
        <v>4160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55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60</v>
      </c>
      <c r="B125" s="193">
        <f>'Données projet'!D123</f>
        <v>80</v>
      </c>
      <c r="C125" s="204">
        <v>50</v>
      </c>
      <c r="D125" s="191">
        <f t="shared" si="8"/>
        <v>4000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65</v>
      </c>
      <c r="B126" s="193">
        <f>'Données projet'!D124</f>
        <v>555</v>
      </c>
      <c r="C126" s="204">
        <v>55</v>
      </c>
      <c r="D126" s="191">
        <f t="shared" si="8"/>
        <v>30525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Séquoia toujours vert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v>1375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14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19</v>
      </c>
      <c r="B148" s="187">
        <f>'Données projet'!D141</f>
        <v>105</v>
      </c>
      <c r="C148" s="204">
        <v>10</v>
      </c>
      <c r="D148" s="194">
        <f t="shared" ref="D148:D166" si="10">B148*C148</f>
        <v>1050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24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29</v>
      </c>
      <c r="B150" s="187">
        <f>'Données projet'!D143</f>
        <v>210</v>
      </c>
      <c r="C150" s="204">
        <v>20</v>
      </c>
      <c r="D150" s="194">
        <f t="shared" si="10"/>
        <v>4200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34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39</v>
      </c>
      <c r="B152" s="187">
        <f>'Données projet'!D145</f>
        <v>210</v>
      </c>
      <c r="C152" s="204">
        <v>20</v>
      </c>
      <c r="D152" s="194">
        <f t="shared" si="10"/>
        <v>4200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44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49</v>
      </c>
      <c r="B154" s="187">
        <f>'Données projet'!D147</f>
        <v>159</v>
      </c>
      <c r="C154" s="204">
        <v>20</v>
      </c>
      <c r="D154" s="194">
        <f t="shared" si="10"/>
        <v>3180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54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59</v>
      </c>
      <c r="B156" s="187">
        <f>'Données projet'!D149</f>
        <v>121</v>
      </c>
      <c r="C156" s="204">
        <v>30</v>
      </c>
      <c r="D156" s="194">
        <f t="shared" si="10"/>
        <v>3630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64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69</v>
      </c>
      <c r="B158" s="187">
        <f>'Données projet'!D151</f>
        <v>96</v>
      </c>
      <c r="C158" s="204">
        <v>30</v>
      </c>
      <c r="D158" s="194">
        <f t="shared" si="10"/>
        <v>2880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74</v>
      </c>
      <c r="B159" s="187">
        <f>'Données projet'!D152</f>
        <v>40</v>
      </c>
      <c r="C159" s="204">
        <v>30</v>
      </c>
      <c r="D159" s="194">
        <f t="shared" si="10"/>
        <v>1200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79</v>
      </c>
      <c r="B160" s="187">
        <f>'Données projet'!D153</f>
        <v>1153</v>
      </c>
      <c r="C160" s="204">
        <v>30</v>
      </c>
      <c r="D160" s="194">
        <f t="shared" si="10"/>
        <v>34590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Chêne pédonculé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>
        <v>1375</v>
      </c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20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25</v>
      </c>
      <c r="B179" s="193">
        <f>'Données projet'!D167</f>
        <v>34</v>
      </c>
      <c r="C179" s="206">
        <v>10</v>
      </c>
      <c r="D179" s="191">
        <f t="shared" ref="D179:D197" si="11">B179*C179</f>
        <v>340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30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35</v>
      </c>
      <c r="B181" s="193">
        <f>'Données projet'!D169</f>
        <v>56</v>
      </c>
      <c r="C181" s="206">
        <v>10</v>
      </c>
      <c r="D181" s="191">
        <f t="shared" si="11"/>
        <v>560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40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45</v>
      </c>
      <c r="B183" s="193">
        <f>'Données projet'!D171</f>
        <v>56</v>
      </c>
      <c r="C183" s="206">
        <v>10</v>
      </c>
      <c r="D183" s="191">
        <f t="shared" si="11"/>
        <v>560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50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55</v>
      </c>
      <c r="B185" s="193">
        <f>'Données projet'!D173</f>
        <v>56</v>
      </c>
      <c r="C185" s="206">
        <v>20</v>
      </c>
      <c r="D185" s="191">
        <f t="shared" si="11"/>
        <v>1120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60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65</v>
      </c>
      <c r="B187" s="193">
        <f>'Données projet'!D175</f>
        <v>56</v>
      </c>
      <c r="C187" s="206">
        <v>30</v>
      </c>
      <c r="D187" s="191">
        <f t="shared" si="11"/>
        <v>1680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70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75</v>
      </c>
      <c r="B189" s="193">
        <f>'Données projet'!D177</f>
        <v>56</v>
      </c>
      <c r="C189" s="206">
        <v>40</v>
      </c>
      <c r="D189" s="191">
        <f t="shared" si="11"/>
        <v>2240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85</v>
      </c>
      <c r="B190" s="193">
        <f>'Données projet'!D178</f>
        <v>56</v>
      </c>
      <c r="C190" s="206">
        <v>50</v>
      </c>
      <c r="D190" s="191">
        <f t="shared" si="11"/>
        <v>2800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95</v>
      </c>
      <c r="B191" s="193">
        <f>'Données projet'!D179</f>
        <v>56</v>
      </c>
      <c r="C191" s="206">
        <v>50</v>
      </c>
      <c r="D191" s="191">
        <f t="shared" si="11"/>
        <v>2800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105</v>
      </c>
      <c r="B192" s="193">
        <f>'Données projet'!D180</f>
        <v>53</v>
      </c>
      <c r="C192" s="206">
        <v>50</v>
      </c>
      <c r="D192" s="191">
        <f t="shared" si="11"/>
        <v>2650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115</v>
      </c>
      <c r="B193" s="193">
        <f>'Données projet'!D181</f>
        <v>49</v>
      </c>
      <c r="C193" s="206">
        <v>70</v>
      </c>
      <c r="D193" s="191">
        <f t="shared" si="11"/>
        <v>3430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125</v>
      </c>
      <c r="B194" s="193">
        <f>'Données projet'!D182</f>
        <v>45</v>
      </c>
      <c r="C194" s="206">
        <v>100</v>
      </c>
      <c r="D194" s="191">
        <f t="shared" si="11"/>
        <v>4500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135</v>
      </c>
      <c r="B195" s="193">
        <f>'Données projet'!D183</f>
        <v>43</v>
      </c>
      <c r="C195" s="206">
        <v>120</v>
      </c>
      <c r="D195" s="191">
        <f t="shared" si="11"/>
        <v>5160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145</v>
      </c>
      <c r="B196" s="193">
        <f>'Données projet'!D184</f>
        <v>39</v>
      </c>
      <c r="C196" s="206">
        <v>150</v>
      </c>
      <c r="D196" s="191">
        <f t="shared" si="11"/>
        <v>5850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150</v>
      </c>
      <c r="B197" s="193">
        <f>'Données projet'!D185</f>
        <v>316</v>
      </c>
      <c r="C197" s="206">
        <v>200</v>
      </c>
      <c r="D197" s="191">
        <f t="shared" si="11"/>
        <v>63200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Lucie RUPIL</cp:lastModifiedBy>
  <dcterms:created xsi:type="dcterms:W3CDTF">2021-02-01T08:22:39Z</dcterms:created>
  <dcterms:modified xsi:type="dcterms:W3CDTF">2021-11-23T15:59:12Z</dcterms:modified>
</cp:coreProperties>
</file>