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6" l="1"/>
  <c r="E73" i="6"/>
  <c r="E47" i="6"/>
  <c r="E21" i="6"/>
  <c r="J16" i="6"/>
  <c r="J15" i="6"/>
  <c r="J14" i="6"/>
  <c r="J13" i="6"/>
  <c r="J12" i="6"/>
  <c r="G118" i="1" l="1"/>
  <c r="F118" i="1"/>
  <c r="C153" i="6" l="1"/>
  <c r="C154" i="6"/>
  <c r="C155" i="6"/>
  <c r="C152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00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91" i="6"/>
  <c r="C92" i="6"/>
  <c r="C93" i="6"/>
  <c r="C49" i="6"/>
  <c r="C50" i="6"/>
  <c r="C51" i="6"/>
  <c r="C52" i="6"/>
  <c r="C53" i="6"/>
  <c r="C54" i="6"/>
  <c r="C55" i="6"/>
  <c r="C48" i="6"/>
  <c r="C90" i="6" l="1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23" i="6" l="1"/>
  <c r="C24" i="6"/>
  <c r="C25" i="6"/>
  <c r="C26" i="6"/>
  <c r="C27" i="6"/>
  <c r="C28" i="6"/>
  <c r="C29" i="6"/>
  <c r="C22" i="6"/>
  <c r="HI4" i="2" l="1"/>
  <c r="HI5" i="2" s="1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GN4" i="2"/>
  <c r="GN5" i="2" s="1"/>
  <c r="GN6" i="2" s="1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FS4" i="2"/>
  <c r="FS5" i="2" s="1"/>
  <c r="FS6" i="2" s="1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EX4" i="2"/>
  <c r="EX5" i="2" s="1"/>
  <c r="EX6" i="2" s="1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G4" i="2" s="1"/>
  <c r="HE4" i="2"/>
  <c r="HH4" i="2" s="1"/>
  <c r="GJ4" i="2"/>
  <c r="GM4" i="2" s="1"/>
  <c r="FO4" i="2"/>
  <c r="FR4" i="2" s="1"/>
  <c r="DY4" i="2"/>
  <c r="ES4" i="2"/>
  <c r="EV4" i="2" s="1"/>
  <c r="DX4" i="2"/>
  <c r="GI4" i="2"/>
  <c r="GL4" i="2" s="1"/>
  <c r="CI4" i="2"/>
  <c r="ET4" i="2"/>
  <c r="EW4" i="2" s="1"/>
  <c r="DC4" i="2"/>
  <c r="DF4" i="2" s="1"/>
  <c r="BM4" i="2"/>
  <c r="DD4" i="2"/>
  <c r="DG4" i="2" s="1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CM4" i="2"/>
  <c r="BR4" i="2"/>
  <c r="BQ4" i="2"/>
  <c r="HG5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HH5" i="2" s="1"/>
  <c r="GJ5" i="2"/>
  <c r="GM5" i="2" s="1"/>
  <c r="HD5" i="2"/>
  <c r="GI5" i="2"/>
  <c r="GL5" i="2" s="1"/>
  <c r="FO5" i="2"/>
  <c r="FR5" i="2" s="1"/>
  <c r="FN5" i="2"/>
  <c r="FQ5" i="2" s="1"/>
  <c r="DY5" i="2"/>
  <c r="ET5" i="2"/>
  <c r="EW5" i="2" s="1"/>
  <c r="ES5" i="2"/>
  <c r="EV5" i="2" s="1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G6" i="2" l="1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L6" i="2" s="1"/>
  <c r="GJ6" i="2"/>
  <c r="GM6" i="2" s="1"/>
  <c r="ET6" i="2"/>
  <c r="EW6" i="2" s="1"/>
  <c r="FO6" i="2"/>
  <c r="FR6" i="2" s="1"/>
  <c r="FN6" i="2"/>
  <c r="FQ6" i="2" s="1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B6" i="2"/>
  <c r="DH6" i="2"/>
  <c r="HH7" i="2"/>
  <c r="HG7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GM7" i="2" s="1"/>
  <c r="HD7" i="2"/>
  <c r="HE7" i="2"/>
  <c r="GI7" i="2"/>
  <c r="GL7" i="2" s="1"/>
  <c r="ES7" i="2"/>
  <c r="EV7" i="2" s="1"/>
  <c r="ET7" i="2"/>
  <c r="EW7" i="2" s="1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GM8" i="2" s="1"/>
  <c r="FO8" i="2"/>
  <c r="FR8" i="2" s="1"/>
  <c r="HE8" i="2"/>
  <c r="HH8" i="2" s="1"/>
  <c r="GI8" i="2"/>
  <c r="GL8" i="2" s="1"/>
  <c r="DY8" i="2"/>
  <c r="ES8" i="2"/>
  <c r="EV8" i="2" s="1"/>
  <c r="DX8" i="2"/>
  <c r="FN8" i="2"/>
  <c r="FQ8" i="2" s="1"/>
  <c r="ET8" i="2"/>
  <c r="EW8" i="2" s="1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B8" i="2" l="1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GM9" i="2" s="1"/>
  <c r="HD9" i="2"/>
  <c r="HG9" i="2" s="1"/>
  <c r="FO9" i="2"/>
  <c r="FR9" i="2" s="1"/>
  <c r="FN9" i="2"/>
  <c r="FQ9" i="2" s="1"/>
  <c r="DY9" i="2"/>
  <c r="DD9" i="2"/>
  <c r="GI9" i="2"/>
  <c r="GL9" i="2" s="1"/>
  <c r="ES9" i="2"/>
  <c r="EV9" i="2" s="1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R10" i="2" l="1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L10" i="2" s="1"/>
  <c r="GJ10" i="2"/>
  <c r="GM10" i="2" s="1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H10" i="2" l="1"/>
  <c r="FR11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M11" i="2" s="1"/>
  <c r="HD11" i="2"/>
  <c r="HG11" i="2" s="1"/>
  <c r="HE11" i="2"/>
  <c r="HH11" i="2" s="1"/>
  <c r="GI11" i="2"/>
  <c r="GL11" i="2" s="1"/>
  <c r="FO11" i="2"/>
  <c r="ES11" i="2"/>
  <c r="EV11" i="2" s="1"/>
  <c r="ET11" i="2"/>
  <c r="EW11" i="2" s="1"/>
  <c r="FN11" i="2"/>
  <c r="FQ11" i="2" s="1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FQ12" i="2"/>
  <c r="FR12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G12" i="2" s="1"/>
  <c r="HE12" i="2"/>
  <c r="HH12" i="2" s="1"/>
  <c r="FO12" i="2"/>
  <c r="GI12" i="2"/>
  <c r="GL12" i="2" s="1"/>
  <c r="DY12" i="2"/>
  <c r="GJ12" i="2"/>
  <c r="GM12" i="2" s="1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DH12" i="2" l="1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M13" i="2" s="1"/>
  <c r="GI13" i="2"/>
  <c r="GL13" i="2" s="1"/>
  <c r="FO13" i="2"/>
  <c r="FR13" i="2" s="1"/>
  <c r="FN13" i="2"/>
  <c r="FQ13" i="2" s="1"/>
  <c r="HD13" i="2"/>
  <c r="HG13" i="2" s="1"/>
  <c r="DY13" i="2"/>
  <c r="ET13" i="2"/>
  <c r="EW13" i="2" s="1"/>
  <c r="ES13" i="2"/>
  <c r="EV13" i="2" s="1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DH13" i="2" l="1"/>
  <c r="EW14" i="2"/>
  <c r="AU13" i="2"/>
  <c r="DG13" i="2"/>
  <c r="DF13" i="2"/>
  <c r="EC13" i="2"/>
  <c r="EA13" i="2"/>
  <c r="EB13" i="2"/>
  <c r="CM13" i="2"/>
  <c r="CK13" i="2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GL14" i="2" s="1"/>
  <c r="ET14" i="2"/>
  <c r="FO14" i="2"/>
  <c r="FR14" i="2" s="1"/>
  <c r="FN14" i="2"/>
  <c r="FQ14" i="2" s="1"/>
  <c r="GJ14" i="2"/>
  <c r="GM14" i="2" s="1"/>
  <c r="DY14" i="2"/>
  <c r="ES14" i="2"/>
  <c r="EV14" i="2" s="1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5" i="2" l="1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M15" i="2" s="1"/>
  <c r="HD15" i="2"/>
  <c r="HG15" i="2" s="1"/>
  <c r="HE15" i="2"/>
  <c r="GI15" i="2"/>
  <c r="GL15" i="2" s="1"/>
  <c r="ES15" i="2"/>
  <c r="EV15" i="2" s="1"/>
  <c r="ET15" i="2"/>
  <c r="EW15" i="2" s="1"/>
  <c r="FN15" i="2"/>
  <c r="FQ15" i="2" s="1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CM15" i="2" l="1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HG16" i="2" s="1"/>
  <c r="GJ16" i="2"/>
  <c r="GM16" i="2" s="1"/>
  <c r="HE16" i="2"/>
  <c r="HH16" i="2" s="1"/>
  <c r="FO16" i="2"/>
  <c r="FR16" i="2" s="1"/>
  <c r="GI16" i="2"/>
  <c r="GL16" i="2" s="1"/>
  <c r="DY16" i="2"/>
  <c r="ES16" i="2"/>
  <c r="EV16" i="2" s="1"/>
  <c r="DX16" i="2"/>
  <c r="FN16" i="2"/>
  <c r="FQ16" i="2" s="1"/>
  <c r="ET16" i="2"/>
  <c r="EW16" i="2" s="1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GM17" i="2" s="1"/>
  <c r="HD17" i="2"/>
  <c r="HG17" i="2" s="1"/>
  <c r="FO17" i="2"/>
  <c r="FR17" i="2" s="1"/>
  <c r="FN17" i="2"/>
  <c r="FQ17" i="2" s="1"/>
  <c r="GI17" i="2"/>
  <c r="GL17" i="2" s="1"/>
  <c r="DY17" i="2"/>
  <c r="DD17" i="2"/>
  <c r="ET17" i="2"/>
  <c r="EW17" i="2" s="1"/>
  <c r="CH17" i="2"/>
  <c r="AS17" i="2"/>
  <c r="CI17" i="2"/>
  <c r="X17" i="2"/>
  <c r="AR17" i="2"/>
  <c r="ES17" i="2"/>
  <c r="EV17" i="2" s="1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G17" i="2" l="1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HH18" i="2" s="1"/>
  <c r="GI18" i="2"/>
  <c r="GL18" i="2" s="1"/>
  <c r="GJ18" i="2"/>
  <c r="GM18" i="2" s="1"/>
  <c r="ET18" i="2"/>
  <c r="EW18" i="2" s="1"/>
  <c r="FN18" i="2"/>
  <c r="FQ18" i="2" s="1"/>
  <c r="DY18" i="2"/>
  <c r="DD18" i="2"/>
  <c r="BN18" i="2"/>
  <c r="FO18" i="2"/>
  <c r="FR18" i="2" s="1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GM19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G19" i="2" s="1"/>
  <c r="HE19" i="2"/>
  <c r="HH19" i="2" s="1"/>
  <c r="GI19" i="2"/>
  <c r="GL19" i="2" s="1"/>
  <c r="FO19" i="2"/>
  <c r="FR19" i="2" s="1"/>
  <c r="ES19" i="2"/>
  <c r="EV19" i="2" s="1"/>
  <c r="ET19" i="2"/>
  <c r="EW19" i="2" s="1"/>
  <c r="DX19" i="2"/>
  <c r="DC19" i="2"/>
  <c r="DY19" i="2"/>
  <c r="DD19" i="2"/>
  <c r="BN19" i="2"/>
  <c r="FN19" i="2"/>
  <c r="FQ19" i="2" s="1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EB19" i="2"/>
  <c r="DG19" i="2"/>
  <c r="GM20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FR20" i="2" s="1"/>
  <c r="DY20" i="2"/>
  <c r="ES20" i="2"/>
  <c r="EV20" i="2" s="1"/>
  <c r="DX20" i="2"/>
  <c r="CI20" i="2"/>
  <c r="BM20" i="2"/>
  <c r="GI20" i="2"/>
  <c r="GL20" i="2" s="1"/>
  <c r="ET20" i="2"/>
  <c r="EW20" i="2" s="1"/>
  <c r="DC20" i="2"/>
  <c r="CH20" i="2"/>
  <c r="BN20" i="2"/>
  <c r="AS20" i="2"/>
  <c r="AR20" i="2"/>
  <c r="FN20" i="2"/>
  <c r="FQ20" i="2" s="1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HG21" i="2"/>
  <c r="EW21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GM21" i="2" s="1"/>
  <c r="HD21" i="2"/>
  <c r="GI21" i="2"/>
  <c r="GL21" i="2" s="1"/>
  <c r="FO21" i="2"/>
  <c r="FR21" i="2" s="1"/>
  <c r="FN21" i="2"/>
  <c r="FQ21" i="2" s="1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C21" i="2" l="1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L22" i="2" s="1"/>
  <c r="GJ22" i="2"/>
  <c r="GM22" i="2" s="1"/>
  <c r="ET22" i="2"/>
  <c r="EW22" i="2" s="1"/>
  <c r="FO22" i="2"/>
  <c r="FR22" i="2" s="1"/>
  <c r="FN22" i="2"/>
  <c r="FQ22" i="2" s="1"/>
  <c r="DY22" i="2"/>
  <c r="ES22" i="2"/>
  <c r="EV22" i="2" s="1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M23" i="2" s="1"/>
  <c r="HD23" i="2"/>
  <c r="HG23" i="2" s="1"/>
  <c r="HE23" i="2"/>
  <c r="HH23" i="2" s="1"/>
  <c r="GI23" i="2"/>
  <c r="GL23" i="2" s="1"/>
  <c r="ES23" i="2"/>
  <c r="EV23" i="2" s="1"/>
  <c r="ET23" i="2"/>
  <c r="EW23" i="2" s="1"/>
  <c r="FO23" i="2"/>
  <c r="FR23" i="2" s="1"/>
  <c r="FN23" i="2"/>
  <c r="FQ23" i="2" s="1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4" i="2" l="1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GM24" i="2" s="1"/>
  <c r="FO24" i="2"/>
  <c r="FR24" i="2" s="1"/>
  <c r="GI24" i="2"/>
  <c r="GL24" i="2" s="1"/>
  <c r="DY24" i="2"/>
  <c r="ES24" i="2"/>
  <c r="EV24" i="2" s="1"/>
  <c r="DX24" i="2"/>
  <c r="FN24" i="2"/>
  <c r="FQ24" i="2" s="1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M24" i="2" l="1"/>
  <c r="HH25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GM25" i="2" s="1"/>
  <c r="FO25" i="2"/>
  <c r="FR25" i="2" s="1"/>
  <c r="FN25" i="2"/>
  <c r="FQ25" i="2" s="1"/>
  <c r="DY25" i="2"/>
  <c r="GI25" i="2"/>
  <c r="GL25" i="2" s="1"/>
  <c r="DD25" i="2"/>
  <c r="HD25" i="2"/>
  <c r="HG25" i="2" s="1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CM25" i="2"/>
  <c r="FR26" i="2"/>
  <c r="HH26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G26" i="2" s="1"/>
  <c r="HE26" i="2"/>
  <c r="GI26" i="2"/>
  <c r="GL26" i="2" s="1"/>
  <c r="GJ26" i="2"/>
  <c r="GM26" i="2" s="1"/>
  <c r="ET26" i="2"/>
  <c r="EW26" i="2" s="1"/>
  <c r="FN26" i="2"/>
  <c r="FQ26" i="2" s="1"/>
  <c r="FO26" i="2"/>
  <c r="BN26" i="2"/>
  <c r="ES26" i="2"/>
  <c r="EV26" i="2" s="1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M27" i="2" s="1"/>
  <c r="HD27" i="2"/>
  <c r="HG27" i="2" s="1"/>
  <c r="HE27" i="2"/>
  <c r="HH27" i="2" s="1"/>
  <c r="GI27" i="2"/>
  <c r="GL27" i="2" s="1"/>
  <c r="FO27" i="2"/>
  <c r="FR27" i="2" s="1"/>
  <c r="ES27" i="2"/>
  <c r="EV27" i="2" s="1"/>
  <c r="ET27" i="2"/>
  <c r="EW27" i="2" s="1"/>
  <c r="FN27" i="2"/>
  <c r="FQ27" i="2" s="1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CM27" i="2"/>
  <c r="GL28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HH28" i="2" s="1"/>
  <c r="FO28" i="2"/>
  <c r="FR28" i="2" s="1"/>
  <c r="GI28" i="2"/>
  <c r="DY28" i="2"/>
  <c r="ES28" i="2"/>
  <c r="EV28" i="2" s="1"/>
  <c r="DX28" i="2"/>
  <c r="GJ28" i="2"/>
  <c r="GM28" i="2" s="1"/>
  <c r="DD28" i="2"/>
  <c r="CI28" i="2"/>
  <c r="BM28" i="2"/>
  <c r="FN28" i="2"/>
  <c r="FQ28" i="2" s="1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HH29" i="2" s="1"/>
  <c r="GJ29" i="2"/>
  <c r="GM29" i="2" s="1"/>
  <c r="HD29" i="2"/>
  <c r="HG29" i="2" s="1"/>
  <c r="GI29" i="2"/>
  <c r="GL29" i="2" s="1"/>
  <c r="FO29" i="2"/>
  <c r="FR29" i="2" s="1"/>
  <c r="FN29" i="2"/>
  <c r="FQ29" i="2" s="1"/>
  <c r="DY29" i="2"/>
  <c r="ET29" i="2"/>
  <c r="EW29" i="2" s="1"/>
  <c r="ES29" i="2"/>
  <c r="EV29" i="2" s="1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G30" i="2" s="1"/>
  <c r="HE30" i="2"/>
  <c r="HH30" i="2" s="1"/>
  <c r="GI30" i="2"/>
  <c r="GL30" i="2" s="1"/>
  <c r="GJ30" i="2"/>
  <c r="GM30" i="2" s="1"/>
  <c r="ET30" i="2"/>
  <c r="EW30" i="2" s="1"/>
  <c r="FO30" i="2"/>
  <c r="FR30" i="2" s="1"/>
  <c r="FN30" i="2"/>
  <c r="FQ30" i="2" s="1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M30" i="2" l="1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G31" i="2" s="1"/>
  <c r="HE31" i="2"/>
  <c r="HH31" i="2" s="1"/>
  <c r="GI31" i="2"/>
  <c r="GL31" i="2" s="1"/>
  <c r="ES31" i="2"/>
  <c r="EV31" i="2" s="1"/>
  <c r="ET31" i="2"/>
  <c r="EW31" i="2" s="1"/>
  <c r="FN31" i="2"/>
  <c r="FQ31" i="2" s="1"/>
  <c r="DY31" i="2"/>
  <c r="DC31" i="2"/>
  <c r="DX31" i="2"/>
  <c r="BN31" i="2"/>
  <c r="CI31" i="2"/>
  <c r="CH31" i="2"/>
  <c r="AS31" i="2"/>
  <c r="W31" i="2"/>
  <c r="FO31" i="2"/>
  <c r="FR31" i="2" s="1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B31" i="2" l="1"/>
  <c r="EC31" i="2"/>
  <c r="EA31" i="2"/>
  <c r="CM31" i="2"/>
  <c r="HG32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HH32" i="2" s="1"/>
  <c r="FO32" i="2"/>
  <c r="FR32" i="2" s="1"/>
  <c r="GI32" i="2"/>
  <c r="GL32" i="2" s="1"/>
  <c r="DY32" i="2"/>
  <c r="ES32" i="2"/>
  <c r="EV32" i="2" s="1"/>
  <c r="DX32" i="2"/>
  <c r="FN32" i="2"/>
  <c r="FQ32" i="2" s="1"/>
  <c r="ET32" i="2"/>
  <c r="EW32" i="2" s="1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CM32" i="2" l="1"/>
  <c r="HG33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GM33" i="2" s="1"/>
  <c r="HD33" i="2"/>
  <c r="FO33" i="2"/>
  <c r="FR33" i="2" s="1"/>
  <c r="FN33" i="2"/>
  <c r="FQ33" i="2" s="1"/>
  <c r="GI33" i="2"/>
  <c r="GL33" i="2" s="1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4" i="2" l="1"/>
  <c r="EB33" i="2"/>
  <c r="EA33" i="2"/>
  <c r="EC33" i="2"/>
  <c r="DF33" i="2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L34" i="2" s="1"/>
  <c r="GJ34" i="2"/>
  <c r="GM34" i="2" s="1"/>
  <c r="ET34" i="2"/>
  <c r="EW34" i="2" s="1"/>
  <c r="FN34" i="2"/>
  <c r="FQ34" i="2" s="1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HG35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M35" i="2" s="1"/>
  <c r="HD35" i="2"/>
  <c r="HE35" i="2"/>
  <c r="HH35" i="2" s="1"/>
  <c r="GI35" i="2"/>
  <c r="GL35" i="2" s="1"/>
  <c r="FO35" i="2"/>
  <c r="FR35" i="2" s="1"/>
  <c r="ES35" i="2"/>
  <c r="EV35" i="2" s="1"/>
  <c r="ET35" i="2"/>
  <c r="EW35" i="2" s="1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G36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HH36" i="2" s="1"/>
  <c r="GJ36" i="2"/>
  <c r="GM36" i="2" s="1"/>
  <c r="FO36" i="2"/>
  <c r="FR36" i="2" s="1"/>
  <c r="DY36" i="2"/>
  <c r="ES36" i="2"/>
  <c r="EV36" i="2" s="1"/>
  <c r="DX36" i="2"/>
  <c r="GI36" i="2"/>
  <c r="GL36" i="2" s="1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A36" i="2" l="1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HH37" i="2" s="1"/>
  <c r="GJ37" i="2"/>
  <c r="GM37" i="2" s="1"/>
  <c r="HD37" i="2"/>
  <c r="HG37" i="2" s="1"/>
  <c r="GI37" i="2"/>
  <c r="GL37" i="2" s="1"/>
  <c r="FO37" i="2"/>
  <c r="FR37" i="2" s="1"/>
  <c r="FN37" i="2"/>
  <c r="FQ37" i="2" s="1"/>
  <c r="DY37" i="2"/>
  <c r="ET37" i="2"/>
  <c r="EW37" i="2" s="1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H37" i="2" l="1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L38" i="2" s="1"/>
  <c r="GJ38" i="2"/>
  <c r="GM38" i="2" s="1"/>
  <c r="ET38" i="2"/>
  <c r="EW38" i="2" s="1"/>
  <c r="FO38" i="2"/>
  <c r="FR38" i="2" s="1"/>
  <c r="FN38" i="2"/>
  <c r="FQ38" i="2" s="1"/>
  <c r="DY38" i="2"/>
  <c r="ES38" i="2"/>
  <c r="EV38" i="2" s="1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B38" i="2" l="1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G39" i="2" s="1"/>
  <c r="HE39" i="2"/>
  <c r="HH39" i="2" s="1"/>
  <c r="GI39" i="2"/>
  <c r="GL39" i="2" s="1"/>
  <c r="ES39" i="2"/>
  <c r="EV39" i="2" s="1"/>
  <c r="ET39" i="2"/>
  <c r="EW39" i="2" s="1"/>
  <c r="FO39" i="2"/>
  <c r="FR39" i="2" s="1"/>
  <c r="FN39" i="2"/>
  <c r="FQ39" i="2" s="1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CM39" i="2"/>
  <c r="EV40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GM40" i="2" s="1"/>
  <c r="FO40" i="2"/>
  <c r="FR40" i="2" s="1"/>
  <c r="HE40" i="2"/>
  <c r="HH40" i="2" s="1"/>
  <c r="GI40" i="2"/>
  <c r="GL40" i="2" s="1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HH41" i="2" s="1"/>
  <c r="GJ41" i="2"/>
  <c r="GM41" i="2" s="1"/>
  <c r="HD41" i="2"/>
  <c r="HG41" i="2" s="1"/>
  <c r="FO41" i="2"/>
  <c r="FR41" i="2" s="1"/>
  <c r="FN41" i="2"/>
  <c r="FQ41" i="2" s="1"/>
  <c r="DY41" i="2"/>
  <c r="DD41" i="2"/>
  <c r="ES41" i="2"/>
  <c r="EV41" i="2" s="1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CM41" i="2" l="1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HH42" i="2" s="1"/>
  <c r="GI42" i="2"/>
  <c r="GL42" i="2" s="1"/>
  <c r="GJ42" i="2"/>
  <c r="GM42" i="2" s="1"/>
  <c r="ET42" i="2"/>
  <c r="EW42" i="2" s="1"/>
  <c r="FN42" i="2"/>
  <c r="FQ42" i="2" s="1"/>
  <c r="FO42" i="2"/>
  <c r="FR42" i="2" s="1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CM42" i="2" l="1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HH43" i="2" s="1"/>
  <c r="GI43" i="2"/>
  <c r="GL43" i="2" s="1"/>
  <c r="FO43" i="2"/>
  <c r="FR43" i="2" s="1"/>
  <c r="ES43" i="2"/>
  <c r="EV43" i="2" s="1"/>
  <c r="GJ43" i="2"/>
  <c r="GM43" i="2" s="1"/>
  <c r="ET43" i="2"/>
  <c r="EW43" i="2" s="1"/>
  <c r="FN43" i="2"/>
  <c r="FQ43" i="2" s="1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FR44" i="2" s="1"/>
  <c r="GI44" i="2"/>
  <c r="GL44" i="2" s="1"/>
  <c r="DY44" i="2"/>
  <c r="ES44" i="2"/>
  <c r="EV44" i="2" s="1"/>
  <c r="DX44" i="2"/>
  <c r="DD44" i="2"/>
  <c r="CI44" i="2"/>
  <c r="BM44" i="2"/>
  <c r="FN44" i="2"/>
  <c r="FQ44" i="2" s="1"/>
  <c r="DC44" i="2"/>
  <c r="ET44" i="2"/>
  <c r="EW44" i="2" s="1"/>
  <c r="CH44" i="2"/>
  <c r="BN44" i="2"/>
  <c r="AS44" i="2"/>
  <c r="AR44" i="2"/>
  <c r="GJ44" i="2"/>
  <c r="GM44" i="2" s="1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CM44" i="2"/>
  <c r="HG45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HH45" i="2" s="1"/>
  <c r="GJ45" i="2"/>
  <c r="GM45" i="2" s="1"/>
  <c r="GI45" i="2"/>
  <c r="GL45" i="2" s="1"/>
  <c r="FO45" i="2"/>
  <c r="FR45" i="2" s="1"/>
  <c r="FN45" i="2"/>
  <c r="FQ45" i="2" s="1"/>
  <c r="DY45" i="2"/>
  <c r="ET45" i="2"/>
  <c r="EW45" i="2" s="1"/>
  <c r="ES45" i="2"/>
  <c r="EV45" i="2" s="1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CM45" i="2" l="1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HH46" i="2" s="1"/>
  <c r="GI46" i="2"/>
  <c r="GL46" i="2" s="1"/>
  <c r="GJ46" i="2"/>
  <c r="GM46" i="2" s="1"/>
  <c r="ET46" i="2"/>
  <c r="EW46" i="2" s="1"/>
  <c r="FO46" i="2"/>
  <c r="FR46" i="2" s="1"/>
  <c r="FN46" i="2"/>
  <c r="FQ46" i="2" s="1"/>
  <c r="DY46" i="2"/>
  <c r="ES46" i="2"/>
  <c r="EV46" i="2" s="1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FR47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HH47" i="2" s="1"/>
  <c r="GI47" i="2"/>
  <c r="GL47" i="2" s="1"/>
  <c r="GJ47" i="2"/>
  <c r="GM47" i="2" s="1"/>
  <c r="ES47" i="2"/>
  <c r="EV47" i="2" s="1"/>
  <c r="ET47" i="2"/>
  <c r="EW47" i="2" s="1"/>
  <c r="FN47" i="2"/>
  <c r="FQ47" i="2" s="1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CM47" i="2" l="1"/>
  <c r="FR48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M48" i="2" s="1"/>
  <c r="GI48" i="2"/>
  <c r="GL48" i="2" s="1"/>
  <c r="DY48" i="2"/>
  <c r="ES48" i="2"/>
  <c r="EV48" i="2" s="1"/>
  <c r="DX48" i="2"/>
  <c r="FN48" i="2"/>
  <c r="FQ48" i="2" s="1"/>
  <c r="ET48" i="2"/>
  <c r="EW48" i="2" s="1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CM48" i="2" l="1"/>
  <c r="GM49" i="2"/>
  <c r="HH49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HG49" i="2" s="1"/>
  <c r="GJ49" i="2"/>
  <c r="FO49" i="2"/>
  <c r="FR49" i="2" s="1"/>
  <c r="FN49" i="2"/>
  <c r="FQ49" i="2" s="1"/>
  <c r="GI49" i="2"/>
  <c r="GL49" i="2" s="1"/>
  <c r="DY49" i="2"/>
  <c r="DD49" i="2"/>
  <c r="ET49" i="2"/>
  <c r="EW49" i="2" s="1"/>
  <c r="CH49" i="2"/>
  <c r="AS49" i="2"/>
  <c r="CI49" i="2"/>
  <c r="BM49" i="2"/>
  <c r="X49" i="2"/>
  <c r="AR49" i="2"/>
  <c r="ES49" i="2"/>
  <c r="EV49" i="2" s="1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CM49" i="2" l="1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HH50" i="2" s="1"/>
  <c r="GI50" i="2"/>
  <c r="GL50" i="2" s="1"/>
  <c r="GJ50" i="2"/>
  <c r="GM50" i="2" s="1"/>
  <c r="ET50" i="2"/>
  <c r="EW50" i="2" s="1"/>
  <c r="FN50" i="2"/>
  <c r="FQ50" i="2" s="1"/>
  <c r="DD50" i="2"/>
  <c r="BN50" i="2"/>
  <c r="FO50" i="2"/>
  <c r="FR50" i="2" s="1"/>
  <c r="CH50" i="2"/>
  <c r="AS50" i="2"/>
  <c r="ES50" i="2"/>
  <c r="EV50" i="2" s="1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GM51" i="2" l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G51" i="2" s="1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FQ51" i="2" s="1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HG52" i="2" s="1"/>
  <c r="FO52" i="2"/>
  <c r="FR52" i="2" s="1"/>
  <c r="HE52" i="2"/>
  <c r="HH52" i="2" s="1"/>
  <c r="GJ52" i="2"/>
  <c r="GM52" i="2" s="1"/>
  <c r="DY52" i="2"/>
  <c r="ES52" i="2"/>
  <c r="EV52" i="2" s="1"/>
  <c r="DX52" i="2"/>
  <c r="CI52" i="2"/>
  <c r="BM52" i="2"/>
  <c r="ET52" i="2"/>
  <c r="EW52" i="2" s="1"/>
  <c r="DC52" i="2"/>
  <c r="CH52" i="2"/>
  <c r="BN52" i="2"/>
  <c r="AS52" i="2"/>
  <c r="AR52" i="2"/>
  <c r="GI52" i="2"/>
  <c r="GL52" i="2" s="1"/>
  <c r="FN52" i="2"/>
  <c r="FQ52" i="2" s="1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DH52" i="2"/>
  <c r="GM53" i="2"/>
  <c r="FQ53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HG53" i="2" s="1"/>
  <c r="GI53" i="2"/>
  <c r="GL53" i="2" s="1"/>
  <c r="FO53" i="2"/>
  <c r="FR53" i="2" s="1"/>
  <c r="FN53" i="2"/>
  <c r="DY53" i="2"/>
  <c r="ET53" i="2"/>
  <c r="EW53" i="2" s="1"/>
  <c r="ES53" i="2"/>
  <c r="EV53" i="2" s="1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M54" i="2" l="1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G54" i="2" s="1"/>
  <c r="HE54" i="2"/>
  <c r="HH54" i="2" s="1"/>
  <c r="GI54" i="2"/>
  <c r="GL54" i="2" s="1"/>
  <c r="GJ54" i="2"/>
  <c r="ET54" i="2"/>
  <c r="EW54" i="2" s="1"/>
  <c r="FO54" i="2"/>
  <c r="FR54" i="2" s="1"/>
  <c r="FN54" i="2"/>
  <c r="FQ54" i="2" s="1"/>
  <c r="DY54" i="2"/>
  <c r="ES54" i="2"/>
  <c r="EV54" i="2" s="1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V55" i="2" l="1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G55" i="2" s="1"/>
  <c r="HE55" i="2"/>
  <c r="HH55" i="2" s="1"/>
  <c r="GI55" i="2"/>
  <c r="GL55" i="2" s="1"/>
  <c r="GJ55" i="2"/>
  <c r="GM55" i="2" s="1"/>
  <c r="ES55" i="2"/>
  <c r="ET55" i="2"/>
  <c r="EW55" i="2" s="1"/>
  <c r="FO55" i="2"/>
  <c r="FR55" i="2" s="1"/>
  <c r="FN55" i="2"/>
  <c r="FQ55" i="2" s="1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EA55" i="2"/>
  <c r="FR56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M56" i="2" s="1"/>
  <c r="GI56" i="2"/>
  <c r="GL56" i="2" s="1"/>
  <c r="DY56" i="2"/>
  <c r="HE56" i="2"/>
  <c r="HH56" i="2" s="1"/>
  <c r="ES56" i="2"/>
  <c r="EV56" i="2" s="1"/>
  <c r="DX56" i="2"/>
  <c r="FN56" i="2"/>
  <c r="FQ56" i="2" s="1"/>
  <c r="ET56" i="2"/>
  <c r="EW56" i="2" s="1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B56" i="2" l="1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GM57" i="2" s="1"/>
  <c r="FO57" i="2"/>
  <c r="FR57" i="2" s="1"/>
  <c r="HD57" i="2"/>
  <c r="HG57" i="2" s="1"/>
  <c r="FN57" i="2"/>
  <c r="FQ57" i="2" s="1"/>
  <c r="DY57" i="2"/>
  <c r="GI57" i="2"/>
  <c r="GL57" i="2" s="1"/>
  <c r="DD57" i="2"/>
  <c r="ES57" i="2"/>
  <c r="EV57" i="2" s="1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L58" i="2" l="1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G58" i="2" s="1"/>
  <c r="HE58" i="2"/>
  <c r="HH58" i="2" s="1"/>
  <c r="GI58" i="2"/>
  <c r="GJ58" i="2"/>
  <c r="GM58" i="2" s="1"/>
  <c r="ET58" i="2"/>
  <c r="EW58" i="2" s="1"/>
  <c r="FN58" i="2"/>
  <c r="FQ58" i="2" s="1"/>
  <c r="FO58" i="2"/>
  <c r="FR58" i="2" s="1"/>
  <c r="BN58" i="2"/>
  <c r="ES58" i="2"/>
  <c r="EV58" i="2" s="1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HH59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G59" i="2" s="1"/>
  <c r="HE59" i="2"/>
  <c r="GI59" i="2"/>
  <c r="GL59" i="2" s="1"/>
  <c r="FO59" i="2"/>
  <c r="FR59" i="2" s="1"/>
  <c r="ES59" i="2"/>
  <c r="EV59" i="2" s="1"/>
  <c r="GJ59" i="2"/>
  <c r="GM59" i="2" s="1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60" i="2" l="1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FR60" i="2" s="1"/>
  <c r="GI60" i="2"/>
  <c r="GL60" i="2" s="1"/>
  <c r="DY60" i="2"/>
  <c r="ES60" i="2"/>
  <c r="EV60" i="2" s="1"/>
  <c r="GJ60" i="2"/>
  <c r="GM60" i="2" s="1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1" i="2" l="1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GM61" i="2" s="1"/>
  <c r="HD61" i="2"/>
  <c r="HG61" i="2" s="1"/>
  <c r="GI61" i="2"/>
  <c r="GL61" i="2" s="1"/>
  <c r="FO61" i="2"/>
  <c r="FR61" i="2" s="1"/>
  <c r="FN61" i="2"/>
  <c r="FQ61" i="2" s="1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DH61" i="2"/>
  <c r="GM62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G62" i="2" s="1"/>
  <c r="HE62" i="2"/>
  <c r="HH62" i="2" s="1"/>
  <c r="GI62" i="2"/>
  <c r="GL62" i="2" s="1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HH63" i="2" s="1"/>
  <c r="GI63" i="2"/>
  <c r="GL63" i="2" s="1"/>
  <c r="GJ63" i="2"/>
  <c r="GM63" i="2" s="1"/>
  <c r="ES63" i="2"/>
  <c r="EV63" i="2" s="1"/>
  <c r="ET63" i="2"/>
  <c r="EW63" i="2" s="1"/>
  <c r="FN63" i="2"/>
  <c r="FQ63" i="2" s="1"/>
  <c r="DY63" i="2"/>
  <c r="DC63" i="2"/>
  <c r="DX63" i="2"/>
  <c r="BN63" i="2"/>
  <c r="FO63" i="2"/>
  <c r="FR63" i="2" s="1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Q64" i="2" l="1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G64" i="2" s="1"/>
  <c r="HE64" i="2"/>
  <c r="HH64" i="2" s="1"/>
  <c r="FO64" i="2"/>
  <c r="FR64" i="2" s="1"/>
  <c r="GJ64" i="2"/>
  <c r="GM64" i="2" s="1"/>
  <c r="GI64" i="2"/>
  <c r="GL64" i="2" s="1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FQ65" i="2" l="1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H65" i="2" s="1"/>
  <c r="HD65" i="2"/>
  <c r="HG65" i="2" s="1"/>
  <c r="GJ65" i="2"/>
  <c r="GM65" i="2" s="1"/>
  <c r="FO65" i="2"/>
  <c r="FR65" i="2" s="1"/>
  <c r="FN65" i="2"/>
  <c r="GI65" i="2"/>
  <c r="GL65" i="2" s="1"/>
  <c r="DD65" i="2"/>
  <c r="ET65" i="2"/>
  <c r="EW65" i="2" s="1"/>
  <c r="CH65" i="2"/>
  <c r="AS65" i="2"/>
  <c r="DY65" i="2"/>
  <c r="CI65" i="2"/>
  <c r="BM65" i="2"/>
  <c r="X65" i="2"/>
  <c r="ES65" i="2"/>
  <c r="EV65" i="2" s="1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C65" i="2" l="1"/>
  <c r="DH65" i="2"/>
  <c r="FQ66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G66" i="2" s="1"/>
  <c r="HE66" i="2"/>
  <c r="HH66" i="2" s="1"/>
  <c r="GI66" i="2"/>
  <c r="GL66" i="2" s="1"/>
  <c r="GJ66" i="2"/>
  <c r="GM66" i="2" s="1"/>
  <c r="ET66" i="2"/>
  <c r="EW66" i="2" s="1"/>
  <c r="FN66" i="2"/>
  <c r="DD66" i="2"/>
  <c r="BN66" i="2"/>
  <c r="CH66" i="2"/>
  <c r="AS66" i="2"/>
  <c r="DY66" i="2"/>
  <c r="DC66" i="2"/>
  <c r="W66" i="2"/>
  <c r="FO66" i="2"/>
  <c r="FR66" i="2" s="1"/>
  <c r="X66" i="2"/>
  <c r="ES66" i="2"/>
  <c r="EV66" i="2" s="1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A66" i="2" l="1"/>
  <c r="EB66" i="2"/>
  <c r="FQ67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G67" i="2" s="1"/>
  <c r="HE67" i="2"/>
  <c r="HH67" i="2" s="1"/>
  <c r="GI67" i="2"/>
  <c r="GL67" i="2" s="1"/>
  <c r="FO67" i="2"/>
  <c r="FR67" i="2" s="1"/>
  <c r="ES67" i="2"/>
  <c r="EV67" i="2" s="1"/>
  <c r="ET67" i="2"/>
  <c r="EW67" i="2" s="1"/>
  <c r="DY67" i="2"/>
  <c r="GJ67" i="2"/>
  <c r="GM67" i="2" s="1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A67" i="2" l="1"/>
  <c r="DH67" i="2"/>
  <c r="FQ68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G68" i="2" s="1"/>
  <c r="HE68" i="2"/>
  <c r="HH68" i="2" s="1"/>
  <c r="FO68" i="2"/>
  <c r="FR68" i="2" s="1"/>
  <c r="GJ68" i="2"/>
  <c r="GM68" i="2" s="1"/>
  <c r="ES68" i="2"/>
  <c r="EV68" i="2" s="1"/>
  <c r="DX68" i="2"/>
  <c r="GI68" i="2"/>
  <c r="GL68" i="2" s="1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C68" i="2" l="1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HH69" i="2" s="1"/>
  <c r="GJ69" i="2"/>
  <c r="GM69" i="2" s="1"/>
  <c r="HD69" i="2"/>
  <c r="HG69" i="2" s="1"/>
  <c r="GI69" i="2"/>
  <c r="GL69" i="2" s="1"/>
  <c r="FO69" i="2"/>
  <c r="FR69" i="2" s="1"/>
  <c r="FN69" i="2"/>
  <c r="FQ69" i="2" s="1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C69" i="2"/>
  <c r="FQ70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HH70" i="2" s="1"/>
  <c r="GI70" i="2"/>
  <c r="GL70" i="2" s="1"/>
  <c r="GJ70" i="2"/>
  <c r="GM70" i="2" s="1"/>
  <c r="ET70" i="2"/>
  <c r="EW70" i="2" s="1"/>
  <c r="FO70" i="2"/>
  <c r="FR70" i="2" s="1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G71" i="2" s="1"/>
  <c r="HE71" i="2"/>
  <c r="HH71" i="2" s="1"/>
  <c r="GI71" i="2"/>
  <c r="GL71" i="2" s="1"/>
  <c r="GJ71" i="2"/>
  <c r="GM71" i="2" s="1"/>
  <c r="ES71" i="2"/>
  <c r="EV71" i="2" s="1"/>
  <c r="ET71" i="2"/>
  <c r="EW71" i="2" s="1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C71" i="2" l="1"/>
  <c r="EV72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HG72" i="2" s="1"/>
  <c r="FO72" i="2"/>
  <c r="FR72" i="2" s="1"/>
  <c r="HE72" i="2"/>
  <c r="HH72" i="2" s="1"/>
  <c r="GJ72" i="2"/>
  <c r="GM72" i="2" s="1"/>
  <c r="GI72" i="2"/>
  <c r="GL72" i="2" s="1"/>
  <c r="ES72" i="2"/>
  <c r="DX72" i="2"/>
  <c r="FN72" i="2"/>
  <c r="FQ72" i="2" s="1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V73" i="2" l="1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GM73" i="2" s="1"/>
  <c r="HD73" i="2"/>
  <c r="HG73" i="2" s="1"/>
  <c r="FO73" i="2"/>
  <c r="FR73" i="2" s="1"/>
  <c r="FN73" i="2"/>
  <c r="FQ73" i="2" s="1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B73" i="2" l="1"/>
  <c r="EV74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HH74" i="2" s="1"/>
  <c r="GI74" i="2"/>
  <c r="GL74" i="2" s="1"/>
  <c r="GJ74" i="2"/>
  <c r="GM74" i="2" s="1"/>
  <c r="ET74" i="2"/>
  <c r="EW74" i="2" s="1"/>
  <c r="FN74" i="2"/>
  <c r="FQ74" i="2" s="1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V75" i="2" l="1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GL75" i="2" s="1"/>
  <c r="FO75" i="2"/>
  <c r="FR75" i="2" s="1"/>
  <c r="ES75" i="2"/>
  <c r="GJ75" i="2"/>
  <c r="GM75" i="2" s="1"/>
  <c r="ET75" i="2"/>
  <c r="EW75" i="2" s="1"/>
  <c r="DY75" i="2"/>
  <c r="FN75" i="2"/>
  <c r="FQ75" i="2" s="1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V76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G76" i="2" s="1"/>
  <c r="HE76" i="2"/>
  <c r="HH76" i="2" s="1"/>
  <c r="FO76" i="2"/>
  <c r="FR76" i="2" s="1"/>
  <c r="GI76" i="2"/>
  <c r="GL76" i="2" s="1"/>
  <c r="ES76" i="2"/>
  <c r="DX76" i="2"/>
  <c r="DD76" i="2"/>
  <c r="CI76" i="2"/>
  <c r="BM76" i="2"/>
  <c r="GJ76" i="2"/>
  <c r="GM76" i="2" s="1"/>
  <c r="FN76" i="2"/>
  <c r="FQ76" i="2" s="1"/>
  <c r="DY76" i="2"/>
  <c r="DC76" i="2"/>
  <c r="ET76" i="2"/>
  <c r="EW76" i="2" s="1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B76" i="2" l="1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HH77" i="2" s="1"/>
  <c r="GJ77" i="2"/>
  <c r="GM77" i="2" s="1"/>
  <c r="GI77" i="2"/>
  <c r="GL77" i="2" s="1"/>
  <c r="FO77" i="2"/>
  <c r="FR77" i="2" s="1"/>
  <c r="FN77" i="2"/>
  <c r="FQ77" i="2" s="1"/>
  <c r="HD77" i="2"/>
  <c r="HG77" i="2" s="1"/>
  <c r="ET77" i="2"/>
  <c r="EW77" i="2" s="1"/>
  <c r="ES77" i="2"/>
  <c r="EV77" i="2" s="1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H78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G78" i="2" s="1"/>
  <c r="HE78" i="2"/>
  <c r="GI78" i="2"/>
  <c r="GL78" i="2" s="1"/>
  <c r="GJ78" i="2"/>
  <c r="GM78" i="2" s="1"/>
  <c r="ET78" i="2"/>
  <c r="EW78" i="2" s="1"/>
  <c r="FO78" i="2"/>
  <c r="FR78" i="2" s="1"/>
  <c r="FN78" i="2"/>
  <c r="FQ78" i="2" s="1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L79" i="2" s="1"/>
  <c r="GJ79" i="2"/>
  <c r="GM79" i="2" s="1"/>
  <c r="ES79" i="2"/>
  <c r="EV79" i="2" s="1"/>
  <c r="ET79" i="2"/>
  <c r="EW79" i="2" s="1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C79" i="2" l="1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FR80" i="2" s="1"/>
  <c r="GJ80" i="2"/>
  <c r="GM80" i="2" s="1"/>
  <c r="GI80" i="2"/>
  <c r="GL80" i="2" s="1"/>
  <c r="ES80" i="2"/>
  <c r="EV80" i="2" s="1"/>
  <c r="DX80" i="2"/>
  <c r="FN80" i="2"/>
  <c r="FQ80" i="2" s="1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H81" i="2" s="1"/>
  <c r="HD81" i="2"/>
  <c r="HG81" i="2" s="1"/>
  <c r="GJ81" i="2"/>
  <c r="GM81" i="2" s="1"/>
  <c r="FO81" i="2"/>
  <c r="FR81" i="2" s="1"/>
  <c r="FN81" i="2"/>
  <c r="FQ81" i="2" s="1"/>
  <c r="GI81" i="2"/>
  <c r="GL81" i="2" s="1"/>
  <c r="DD81" i="2"/>
  <c r="ET81" i="2"/>
  <c r="EW81" i="2" s="1"/>
  <c r="CH81" i="2"/>
  <c r="AS81" i="2"/>
  <c r="DY81" i="2"/>
  <c r="CI81" i="2"/>
  <c r="BM81" i="2"/>
  <c r="X81" i="2"/>
  <c r="AR81" i="2"/>
  <c r="DX81" i="2"/>
  <c r="BN81" i="2"/>
  <c r="ES81" i="2"/>
  <c r="EV81" i="2" s="1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FR82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L82" i="2" s="1"/>
  <c r="GJ82" i="2"/>
  <c r="GM82" i="2" s="1"/>
  <c r="ET82" i="2"/>
  <c r="EW82" i="2" s="1"/>
  <c r="FN82" i="2"/>
  <c r="FQ82" i="2" s="1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G83" i="2" s="1"/>
  <c r="HE83" i="2"/>
  <c r="HH83" i="2" s="1"/>
  <c r="GI83" i="2"/>
  <c r="GL83" i="2" s="1"/>
  <c r="FO83" i="2"/>
  <c r="FR83" i="2" s="1"/>
  <c r="ES83" i="2"/>
  <c r="EV83" i="2" s="1"/>
  <c r="ET83" i="2"/>
  <c r="EW83" i="2" s="1"/>
  <c r="DY83" i="2"/>
  <c r="DX83" i="2"/>
  <c r="DC83" i="2"/>
  <c r="DD83" i="2"/>
  <c r="BN83" i="2"/>
  <c r="GJ83" i="2"/>
  <c r="GM83" i="2" s="1"/>
  <c r="FN83" i="2"/>
  <c r="FQ83" i="2" s="1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R84" i="2" l="1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GM84" i="2" s="1"/>
  <c r="ES84" i="2"/>
  <c r="EV84" i="2" s="1"/>
  <c r="HE84" i="2"/>
  <c r="HH84" i="2" s="1"/>
  <c r="DX84" i="2"/>
  <c r="CI84" i="2"/>
  <c r="BM84" i="2"/>
  <c r="GI84" i="2"/>
  <c r="GL84" i="2" s="1"/>
  <c r="ET84" i="2"/>
  <c r="EW84" i="2" s="1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B84" i="2" l="1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GM85" i="2" s="1"/>
  <c r="HD85" i="2"/>
  <c r="HG85" i="2" s="1"/>
  <c r="GI85" i="2"/>
  <c r="GL85" i="2" s="1"/>
  <c r="FO85" i="2"/>
  <c r="FR85" i="2" s="1"/>
  <c r="FN85" i="2"/>
  <c r="FQ85" i="2" s="1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H85" i="2" l="1"/>
  <c r="FQ86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G86" i="2" s="1"/>
  <c r="HE86" i="2"/>
  <c r="HH86" i="2" s="1"/>
  <c r="GI86" i="2"/>
  <c r="GL86" i="2" s="1"/>
  <c r="GJ86" i="2"/>
  <c r="GM86" i="2" s="1"/>
  <c r="ET86" i="2"/>
  <c r="EW86" i="2" s="1"/>
  <c r="FO86" i="2"/>
  <c r="FR86" i="2" s="1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HH87" i="2" s="1"/>
  <c r="GI87" i="2"/>
  <c r="GL87" i="2" s="1"/>
  <c r="GJ87" i="2"/>
  <c r="GM87" i="2" s="1"/>
  <c r="ES87" i="2"/>
  <c r="EV87" i="2" s="1"/>
  <c r="ET87" i="2"/>
  <c r="EW87" i="2" s="1"/>
  <c r="FO87" i="2"/>
  <c r="FR87" i="2" s="1"/>
  <c r="FN87" i="2"/>
  <c r="FQ87" i="2" s="1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FR88" i="2" s="1"/>
  <c r="GJ88" i="2"/>
  <c r="GM88" i="2" s="1"/>
  <c r="GI88" i="2"/>
  <c r="GL88" i="2" s="1"/>
  <c r="ES88" i="2"/>
  <c r="EV88" i="2" s="1"/>
  <c r="DX88" i="2"/>
  <c r="HE88" i="2"/>
  <c r="HH88" i="2" s="1"/>
  <c r="FN88" i="2"/>
  <c r="FQ88" i="2" s="1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A88" i="2" l="1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GM89" i="2" s="1"/>
  <c r="FO89" i="2"/>
  <c r="FR89" i="2" s="1"/>
  <c r="FN89" i="2"/>
  <c r="FQ89" i="2" s="1"/>
  <c r="GI89" i="2"/>
  <c r="GL89" i="2" s="1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EW89" i="2" s="1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HH90" i="2" s="1"/>
  <c r="GI90" i="2"/>
  <c r="GL90" i="2" s="1"/>
  <c r="GJ90" i="2"/>
  <c r="GM90" i="2" s="1"/>
  <c r="ET90" i="2"/>
  <c r="EW90" i="2" s="1"/>
  <c r="FN90" i="2"/>
  <c r="FQ90" i="2" s="1"/>
  <c r="FO90" i="2"/>
  <c r="FR90" i="2" s="1"/>
  <c r="DY90" i="2"/>
  <c r="BN90" i="2"/>
  <c r="ES90" i="2"/>
  <c r="EV90" i="2" s="1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G91" i="2" s="1"/>
  <c r="HE91" i="2"/>
  <c r="HH91" i="2" s="1"/>
  <c r="GI91" i="2"/>
  <c r="GL91" i="2" s="1"/>
  <c r="FO91" i="2"/>
  <c r="FR91" i="2" s="1"/>
  <c r="ES91" i="2"/>
  <c r="EV91" i="2" s="1"/>
  <c r="GJ91" i="2"/>
  <c r="GM91" i="2" s="1"/>
  <c r="ET91" i="2"/>
  <c r="EW91" i="2" s="1"/>
  <c r="DY91" i="2"/>
  <c r="FN91" i="2"/>
  <c r="FQ91" i="2" s="1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V92" i="2" l="1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G92" i="2" s="1"/>
  <c r="HE92" i="2"/>
  <c r="HH92" i="2" s="1"/>
  <c r="FO92" i="2"/>
  <c r="FR92" i="2" s="1"/>
  <c r="GI92" i="2"/>
  <c r="GL92" i="2" s="1"/>
  <c r="ES92" i="2"/>
  <c r="GJ92" i="2"/>
  <c r="GM92" i="2" s="1"/>
  <c r="DX92" i="2"/>
  <c r="DD92" i="2"/>
  <c r="CI92" i="2"/>
  <c r="BM92" i="2"/>
  <c r="FN92" i="2"/>
  <c r="FQ92" i="2" s="1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EV93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HH93" i="2" s="1"/>
  <c r="GJ93" i="2"/>
  <c r="GM93" i="2" s="1"/>
  <c r="HD93" i="2"/>
  <c r="HG93" i="2" s="1"/>
  <c r="GI93" i="2"/>
  <c r="GL93" i="2" s="1"/>
  <c r="FO93" i="2"/>
  <c r="FR93" i="2" s="1"/>
  <c r="FN93" i="2"/>
  <c r="FQ93" i="2" s="1"/>
  <c r="ET93" i="2"/>
  <c r="EW93" i="2" s="1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HH94" i="2" s="1"/>
  <c r="GI94" i="2"/>
  <c r="GL94" i="2" s="1"/>
  <c r="GJ94" i="2"/>
  <c r="GM94" i="2" s="1"/>
  <c r="ET94" i="2"/>
  <c r="EW94" i="2" s="1"/>
  <c r="FO94" i="2"/>
  <c r="FR94" i="2" s="1"/>
  <c r="FN94" i="2"/>
  <c r="FQ94" i="2" s="1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HH95" i="2" s="1"/>
  <c r="GI95" i="2"/>
  <c r="GL95" i="2" s="1"/>
  <c r="GJ95" i="2"/>
  <c r="GM95" i="2" s="1"/>
  <c r="ES95" i="2"/>
  <c r="EV95" i="2" s="1"/>
  <c r="ET95" i="2"/>
  <c r="EW95" i="2" s="1"/>
  <c r="FN95" i="2"/>
  <c r="FQ95" i="2" s="1"/>
  <c r="DY95" i="2"/>
  <c r="DC95" i="2"/>
  <c r="DX95" i="2"/>
  <c r="BN95" i="2"/>
  <c r="BM95" i="2"/>
  <c r="CH95" i="2"/>
  <c r="AS95" i="2"/>
  <c r="W95" i="2"/>
  <c r="FO95" i="2"/>
  <c r="FR95" i="2" s="1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G96" i="2" s="1"/>
  <c r="HE96" i="2"/>
  <c r="HH96" i="2" s="1"/>
  <c r="FO96" i="2"/>
  <c r="FR96" i="2" s="1"/>
  <c r="GJ96" i="2"/>
  <c r="GM96" i="2" s="1"/>
  <c r="GI96" i="2"/>
  <c r="GL96" i="2" s="1"/>
  <c r="ES96" i="2"/>
  <c r="EV96" i="2" s="1"/>
  <c r="DX96" i="2"/>
  <c r="FN96" i="2"/>
  <c r="FQ96" i="2" s="1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B96" i="2" l="1"/>
  <c r="EW97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H97" i="2" s="1"/>
  <c r="HD97" i="2"/>
  <c r="HG97" i="2" s="1"/>
  <c r="GJ97" i="2"/>
  <c r="GM97" i="2" s="1"/>
  <c r="FO97" i="2"/>
  <c r="FR97" i="2" s="1"/>
  <c r="FN97" i="2"/>
  <c r="FQ97" i="2" s="1"/>
  <c r="GI97" i="2"/>
  <c r="GL97" i="2" s="1"/>
  <c r="DD97" i="2"/>
  <c r="ET97" i="2"/>
  <c r="CH97" i="2"/>
  <c r="AS97" i="2"/>
  <c r="DY97" i="2"/>
  <c r="CI97" i="2"/>
  <c r="BM97" i="2"/>
  <c r="X97" i="2"/>
  <c r="ES97" i="2"/>
  <c r="EV97" i="2" s="1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G98" i="2" s="1"/>
  <c r="HE98" i="2"/>
  <c r="HH98" i="2" s="1"/>
  <c r="GI98" i="2"/>
  <c r="GL98" i="2" s="1"/>
  <c r="GJ98" i="2"/>
  <c r="GM98" i="2" s="1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FR98" i="2" s="1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B98" i="2" l="1"/>
  <c r="EC98" i="2"/>
  <c r="EA98" i="2"/>
  <c r="DH98" i="2"/>
  <c r="EW99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G99" i="2" s="1"/>
  <c r="HE99" i="2"/>
  <c r="HH99" i="2" s="1"/>
  <c r="GI99" i="2"/>
  <c r="GL99" i="2" s="1"/>
  <c r="FO99" i="2"/>
  <c r="FR99" i="2" s="1"/>
  <c r="ES99" i="2"/>
  <c r="EV99" i="2" s="1"/>
  <c r="ET99" i="2"/>
  <c r="DY99" i="2"/>
  <c r="GJ99" i="2"/>
  <c r="GM99" i="2" s="1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C99" i="2" l="1"/>
  <c r="DH99" i="2"/>
  <c r="EW100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G100" i="2" s="1"/>
  <c r="HE100" i="2"/>
  <c r="HH100" i="2" s="1"/>
  <c r="FO100" i="2"/>
  <c r="FR100" i="2" s="1"/>
  <c r="GJ100" i="2"/>
  <c r="GM100" i="2" s="1"/>
  <c r="ES100" i="2"/>
  <c r="EV100" i="2" s="1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FQ100" i="2" s="1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1" i="2" l="1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HH101" i="2" s="1"/>
  <c r="GJ101" i="2"/>
  <c r="GM101" i="2" s="1"/>
  <c r="HD101" i="2"/>
  <c r="HG101" i="2" s="1"/>
  <c r="GI101" i="2"/>
  <c r="GL101" i="2" s="1"/>
  <c r="FO101" i="2"/>
  <c r="FR101" i="2" s="1"/>
  <c r="FN101" i="2"/>
  <c r="FQ101" i="2" s="1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2" i="2" l="1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G102" i="2" s="1"/>
  <c r="HE102" i="2"/>
  <c r="HH102" i="2" s="1"/>
  <c r="GI102" i="2"/>
  <c r="GL102" i="2" s="1"/>
  <c r="GJ102" i="2"/>
  <c r="GM102" i="2" s="1"/>
  <c r="ET102" i="2"/>
  <c r="FO102" i="2"/>
  <c r="FR102" i="2" s="1"/>
  <c r="FN102" i="2"/>
  <c r="FQ102" i="2" s="1"/>
  <c r="ES102" i="2"/>
  <c r="EV102" i="2" s="1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G103" i="2" s="1"/>
  <c r="HE103" i="2"/>
  <c r="HH103" i="2" s="1"/>
  <c r="GI103" i="2"/>
  <c r="GL103" i="2" s="1"/>
  <c r="GJ103" i="2"/>
  <c r="GM103" i="2" s="1"/>
  <c r="ES103" i="2"/>
  <c r="EV103" i="2" s="1"/>
  <c r="ET103" i="2"/>
  <c r="EW103" i="2" s="1"/>
  <c r="FO103" i="2"/>
  <c r="FR103" i="2" s="1"/>
  <c r="FN103" i="2"/>
  <c r="FQ103" i="2" s="1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AW103" i="2"/>
  <c r="EW104" i="2"/>
  <c r="EB103" i="2"/>
  <c r="EC103" i="2"/>
  <c r="DF103" i="2"/>
  <c r="DG103" i="2"/>
  <c r="BR103" i="2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HG104" i="2" s="1"/>
  <c r="FO104" i="2"/>
  <c r="FR104" i="2" s="1"/>
  <c r="HE104" i="2"/>
  <c r="HH104" i="2" s="1"/>
  <c r="GJ104" i="2"/>
  <c r="GM104" i="2" s="1"/>
  <c r="GI104" i="2"/>
  <c r="GL104" i="2" s="1"/>
  <c r="ES104" i="2"/>
  <c r="EV104" i="2" s="1"/>
  <c r="DX104" i="2"/>
  <c r="FN104" i="2"/>
  <c r="FQ104" i="2" s="1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B104" i="2" l="1"/>
  <c r="EW105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GM105" i="2" s="1"/>
  <c r="HD105" i="2"/>
  <c r="HG105" i="2" s="1"/>
  <c r="FO105" i="2"/>
  <c r="FR105" i="2" s="1"/>
  <c r="FN105" i="2"/>
  <c r="FQ105" i="2" s="1"/>
  <c r="ES105" i="2"/>
  <c r="EV105" i="2" s="1"/>
  <c r="DX105" i="2"/>
  <c r="CH105" i="2"/>
  <c r="AS105" i="2"/>
  <c r="CI105" i="2"/>
  <c r="BM105" i="2"/>
  <c r="X105" i="2"/>
  <c r="AR105" i="2"/>
  <c r="GI105" i="2"/>
  <c r="GL105" i="2" s="1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Q106" i="2"/>
  <c r="EW106" i="2"/>
  <c r="EA105" i="2"/>
  <c r="EC105" i="2"/>
  <c r="DH105" i="2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HH106" i="2" s="1"/>
  <c r="GI106" i="2"/>
  <c r="GL106" i="2" s="1"/>
  <c r="GJ106" i="2"/>
  <c r="GM106" i="2" s="1"/>
  <c r="ET106" i="2"/>
  <c r="FN106" i="2"/>
  <c r="FO106" i="2"/>
  <c r="FR106" i="2" s="1"/>
  <c r="DY106" i="2"/>
  <c r="DD106" i="2"/>
  <c r="BN106" i="2"/>
  <c r="ES106" i="2"/>
  <c r="EV106" i="2" s="1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C106" i="2" l="1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HH107" i="2" s="1"/>
  <c r="GI107" i="2"/>
  <c r="GL107" i="2" s="1"/>
  <c r="FO107" i="2"/>
  <c r="FR107" i="2" s="1"/>
  <c r="ES107" i="2"/>
  <c r="EV107" i="2" s="1"/>
  <c r="GJ107" i="2"/>
  <c r="GM107" i="2" s="1"/>
  <c r="ET107" i="2"/>
  <c r="EW107" i="2" s="1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G108" i="2" s="1"/>
  <c r="HE108" i="2"/>
  <c r="HH108" i="2" s="1"/>
  <c r="FO108" i="2"/>
  <c r="FR108" i="2" s="1"/>
  <c r="GI108" i="2"/>
  <c r="GL108" i="2" s="1"/>
  <c r="ES108" i="2"/>
  <c r="EV108" i="2" s="1"/>
  <c r="DX108" i="2"/>
  <c r="CI108" i="2"/>
  <c r="BM108" i="2"/>
  <c r="FN108" i="2"/>
  <c r="FQ108" i="2" s="1"/>
  <c r="DY108" i="2"/>
  <c r="DC108" i="2"/>
  <c r="ET108" i="2"/>
  <c r="EW108" i="2" s="1"/>
  <c r="DD108" i="2"/>
  <c r="CH108" i="2"/>
  <c r="BN108" i="2"/>
  <c r="AS108" i="2"/>
  <c r="AR108" i="2"/>
  <c r="GJ108" i="2"/>
  <c r="GM108" i="2" s="1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9" i="2" l="1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M109" i="2" s="1"/>
  <c r="GI109" i="2"/>
  <c r="GL109" i="2" s="1"/>
  <c r="FO109" i="2"/>
  <c r="FR109" i="2" s="1"/>
  <c r="FN109" i="2"/>
  <c r="FQ109" i="2" s="1"/>
  <c r="HD109" i="2"/>
  <c r="ET109" i="2"/>
  <c r="EW109" i="2" s="1"/>
  <c r="ES109" i="2"/>
  <c r="EV109" i="2" s="1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G110" i="2" l="1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L110" i="2" s="1"/>
  <c r="GJ110" i="2"/>
  <c r="GM110" i="2" s="1"/>
  <c r="ET110" i="2"/>
  <c r="EW110" i="2" s="1"/>
  <c r="FO110" i="2"/>
  <c r="FR110" i="2" s="1"/>
  <c r="FN110" i="2"/>
  <c r="FQ110" i="2" s="1"/>
  <c r="ES110" i="2"/>
  <c r="EV110" i="2" s="1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C110" i="2" l="1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G111" i="2" s="1"/>
  <c r="HE111" i="2"/>
  <c r="HH111" i="2" s="1"/>
  <c r="GI111" i="2"/>
  <c r="GL111" i="2" s="1"/>
  <c r="GJ111" i="2"/>
  <c r="GM111" i="2" s="1"/>
  <c r="ES111" i="2"/>
  <c r="EV111" i="2" s="1"/>
  <c r="ET111" i="2"/>
  <c r="EW111" i="2" s="1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C111" i="2" l="1"/>
  <c r="EV112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G112" i="2" s="1"/>
  <c r="HE112" i="2"/>
  <c r="HH112" i="2" s="1"/>
  <c r="FO112" i="2"/>
  <c r="FR112" i="2" s="1"/>
  <c r="GJ112" i="2"/>
  <c r="GM112" i="2" s="1"/>
  <c r="GI112" i="2"/>
  <c r="GL112" i="2" s="1"/>
  <c r="ES112" i="2"/>
  <c r="DX112" i="2"/>
  <c r="FN112" i="2"/>
  <c r="FQ112" i="2" s="1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V113" i="2" l="1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HG113" i="2" s="1"/>
  <c r="GJ113" i="2"/>
  <c r="GM113" i="2" s="1"/>
  <c r="FO113" i="2"/>
  <c r="FR113" i="2" s="1"/>
  <c r="FN113" i="2"/>
  <c r="FQ113" i="2" s="1"/>
  <c r="GI113" i="2"/>
  <c r="GL113" i="2" s="1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C113" i="2"/>
  <c r="HH114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L114" i="2" s="1"/>
  <c r="GJ114" i="2"/>
  <c r="GM114" i="2" s="1"/>
  <c r="ET114" i="2"/>
  <c r="EW114" i="2" s="1"/>
  <c r="FN114" i="2"/>
  <c r="FQ114" i="2" s="1"/>
  <c r="DD114" i="2"/>
  <c r="BN114" i="2"/>
  <c r="FO114" i="2"/>
  <c r="FR114" i="2" s="1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FQ115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G115" i="2" s="1"/>
  <c r="HE115" i="2"/>
  <c r="HH115" i="2" s="1"/>
  <c r="GI115" i="2"/>
  <c r="GL115" i="2" s="1"/>
  <c r="FO115" i="2"/>
  <c r="FR115" i="2" s="1"/>
  <c r="ES115" i="2"/>
  <c r="EV115" i="2" s="1"/>
  <c r="ET115" i="2"/>
  <c r="EW115" i="2" s="1"/>
  <c r="DY115" i="2"/>
  <c r="GJ115" i="2"/>
  <c r="GM115" i="2" s="1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Q116" i="2" l="1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FR116" i="2" s="1"/>
  <c r="HE116" i="2"/>
  <c r="HH116" i="2" s="1"/>
  <c r="GJ116" i="2"/>
  <c r="GM116" i="2" s="1"/>
  <c r="ES116" i="2"/>
  <c r="EV116" i="2" s="1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DY116" i="2"/>
  <c r="GI116" i="2"/>
  <c r="GL116" i="2" s="1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GM117" i="2" s="1"/>
  <c r="HD117" i="2"/>
  <c r="HG117" i="2" s="1"/>
  <c r="GI117" i="2"/>
  <c r="GL117" i="2" s="1"/>
  <c r="FO117" i="2"/>
  <c r="FR117" i="2" s="1"/>
  <c r="FN117" i="2"/>
  <c r="FQ117" i="2" s="1"/>
  <c r="ET117" i="2"/>
  <c r="EW117" i="2" s="1"/>
  <c r="ES117" i="2"/>
  <c r="EV117" i="2" s="1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8" i="2" l="1"/>
  <c r="GM118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L118" i="2" s="1"/>
  <c r="GJ118" i="2"/>
  <c r="ET118" i="2"/>
  <c r="EW118" i="2" s="1"/>
  <c r="FO118" i="2"/>
  <c r="FR118" i="2" s="1"/>
  <c r="FN118" i="2"/>
  <c r="FQ118" i="2" s="1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9" i="2"/>
  <c r="GM119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HH119" i="2" s="1"/>
  <c r="GI119" i="2"/>
  <c r="GL119" i="2" s="1"/>
  <c r="GJ119" i="2"/>
  <c r="ES119" i="2"/>
  <c r="EV119" i="2" s="1"/>
  <c r="ET119" i="2"/>
  <c r="EW119" i="2" s="1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M120" i="2" l="1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FR120" i="2" s="1"/>
  <c r="GJ120" i="2"/>
  <c r="GI120" i="2"/>
  <c r="GL120" i="2" s="1"/>
  <c r="HE120" i="2"/>
  <c r="HH120" i="2" s="1"/>
  <c r="ES120" i="2"/>
  <c r="EV120" i="2" s="1"/>
  <c r="DX120" i="2"/>
  <c r="FN120" i="2"/>
  <c r="FQ120" i="2" s="1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HH121" i="2" s="1"/>
  <c r="GJ121" i="2"/>
  <c r="GM121" i="2" s="1"/>
  <c r="FO121" i="2"/>
  <c r="FR121" i="2" s="1"/>
  <c r="HD121" i="2"/>
  <c r="HG121" i="2" s="1"/>
  <c r="FN121" i="2"/>
  <c r="FQ121" i="2" s="1"/>
  <c r="GI121" i="2"/>
  <c r="GL121" i="2" s="1"/>
  <c r="ES121" i="2"/>
  <c r="EV121" i="2" s="1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G122" i="2" s="1"/>
  <c r="HE122" i="2"/>
  <c r="HH122" i="2" s="1"/>
  <c r="GI122" i="2"/>
  <c r="GL122" i="2" s="1"/>
  <c r="GJ122" i="2"/>
  <c r="GM122" i="2" s="1"/>
  <c r="ET122" i="2"/>
  <c r="EW122" i="2" s="1"/>
  <c r="FN122" i="2"/>
  <c r="FQ122" i="2" s="1"/>
  <c r="FO122" i="2"/>
  <c r="FR122" i="2" s="1"/>
  <c r="DY122" i="2"/>
  <c r="DD122" i="2"/>
  <c r="BN122" i="2"/>
  <c r="ES122" i="2"/>
  <c r="EV122" i="2" s="1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W123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G123" i="2" s="1"/>
  <c r="HE123" i="2"/>
  <c r="HH123" i="2" s="1"/>
  <c r="GI123" i="2"/>
  <c r="GL123" i="2" s="1"/>
  <c r="FO123" i="2"/>
  <c r="FR123" i="2" s="1"/>
  <c r="ES123" i="2"/>
  <c r="EV123" i="2" s="1"/>
  <c r="GJ123" i="2"/>
  <c r="GM123" i="2" s="1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G124" i="2" l="1"/>
  <c r="EW124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FR124" i="2" s="1"/>
  <c r="GI124" i="2"/>
  <c r="GL124" i="2" s="1"/>
  <c r="ES124" i="2"/>
  <c r="EV124" i="2" s="1"/>
  <c r="GJ124" i="2"/>
  <c r="GM124" i="2" s="1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A124" i="2" l="1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HH125" i="2" s="1"/>
  <c r="GJ125" i="2"/>
  <c r="GM125" i="2" s="1"/>
  <c r="HD125" i="2"/>
  <c r="HG125" i="2" s="1"/>
  <c r="GI125" i="2"/>
  <c r="GL125" i="2" s="1"/>
  <c r="FO125" i="2"/>
  <c r="FR125" i="2" s="1"/>
  <c r="FN125" i="2"/>
  <c r="FQ125" i="2" s="1"/>
  <c r="ET125" i="2"/>
  <c r="EW125" i="2" s="1"/>
  <c r="ES125" i="2"/>
  <c r="EV125" i="2" s="1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HH126" i="2" s="1"/>
  <c r="GI126" i="2"/>
  <c r="GL126" i="2" s="1"/>
  <c r="GJ126" i="2"/>
  <c r="GM126" i="2" s="1"/>
  <c r="ET126" i="2"/>
  <c r="EW126" i="2" s="1"/>
  <c r="FO126" i="2"/>
  <c r="FR126" i="2" s="1"/>
  <c r="FN126" i="2"/>
  <c r="FQ126" i="2" s="1"/>
  <c r="ES126" i="2"/>
  <c r="EV126" i="2" s="1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B126" i="2" l="1"/>
  <c r="HH127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G127" i="2" s="1"/>
  <c r="HE127" i="2"/>
  <c r="GI127" i="2"/>
  <c r="GL127" i="2" s="1"/>
  <c r="GJ127" i="2"/>
  <c r="GM127" i="2" s="1"/>
  <c r="ES127" i="2"/>
  <c r="EV127" i="2" s="1"/>
  <c r="ET127" i="2"/>
  <c r="EW127" i="2" s="1"/>
  <c r="FN127" i="2"/>
  <c r="FQ127" i="2" s="1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H128" i="2" l="1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FR128" i="2" s="1"/>
  <c r="GJ128" i="2"/>
  <c r="GM128" i="2" s="1"/>
  <c r="GI128" i="2"/>
  <c r="GL128" i="2" s="1"/>
  <c r="ES128" i="2"/>
  <c r="EV128" i="2" s="1"/>
  <c r="DX128" i="2"/>
  <c r="FN128" i="2"/>
  <c r="FQ128" i="2" s="1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H128" i="2" l="1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H129" i="2" s="1"/>
  <c r="HD129" i="2"/>
  <c r="HG129" i="2" s="1"/>
  <c r="GJ129" i="2"/>
  <c r="GM129" i="2" s="1"/>
  <c r="FO129" i="2"/>
  <c r="FR129" i="2" s="1"/>
  <c r="FN129" i="2"/>
  <c r="FQ129" i="2" s="1"/>
  <c r="GI129" i="2"/>
  <c r="GL129" i="2" s="1"/>
  <c r="ET129" i="2"/>
  <c r="EW129" i="2" s="1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C129" i="2" l="1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L130" i="2" s="1"/>
  <c r="GJ130" i="2"/>
  <c r="GM130" i="2" s="1"/>
  <c r="ET130" i="2"/>
  <c r="EW130" i="2" s="1"/>
  <c r="FN130" i="2"/>
  <c r="FQ130" i="2" s="1"/>
  <c r="DD130" i="2"/>
  <c r="BN130" i="2"/>
  <c r="CH130" i="2"/>
  <c r="AS130" i="2"/>
  <c r="DY130" i="2"/>
  <c r="DC130" i="2"/>
  <c r="W130" i="2"/>
  <c r="FO130" i="2"/>
  <c r="FR130" i="2" s="1"/>
  <c r="X130" i="2"/>
  <c r="ES130" i="2"/>
  <c r="EV130" i="2" s="1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FQ131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H131" i="2" s="1"/>
  <c r="HD131" i="2"/>
  <c r="HG131" i="2" s="1"/>
  <c r="GI131" i="2"/>
  <c r="GL131" i="2" s="1"/>
  <c r="FO131" i="2"/>
  <c r="FR131" i="2" s="1"/>
  <c r="ES131" i="2"/>
  <c r="EV131" i="2" s="1"/>
  <c r="ET131" i="2"/>
  <c r="EW131" i="2" s="1"/>
  <c r="DY131" i="2"/>
  <c r="GJ131" i="2"/>
  <c r="GM131" i="2" s="1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B131" i="2" l="1"/>
  <c r="EA131" i="2"/>
  <c r="DH131" i="2"/>
  <c r="FQ132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HH132" i="2" s="1"/>
  <c r="FO132" i="2"/>
  <c r="FR132" i="2" s="1"/>
  <c r="GJ132" i="2"/>
  <c r="GM132" i="2" s="1"/>
  <c r="ES132" i="2"/>
  <c r="EV132" i="2" s="1"/>
  <c r="DX132" i="2"/>
  <c r="GI132" i="2"/>
  <c r="GL132" i="2" s="1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EB132" i="2"/>
  <c r="FQ133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M133" i="2" s="1"/>
  <c r="GI133" i="2"/>
  <c r="GL133" i="2" s="1"/>
  <c r="HD133" i="2"/>
  <c r="HG133" i="2" s="1"/>
  <c r="FO133" i="2"/>
  <c r="FR133" i="2" s="1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H133" i="2" l="1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HH134" i="2" s="1"/>
  <c r="GI134" i="2"/>
  <c r="GL134" i="2" s="1"/>
  <c r="GJ134" i="2"/>
  <c r="GM134" i="2" s="1"/>
  <c r="ET134" i="2"/>
  <c r="EW134" i="2" s="1"/>
  <c r="FO134" i="2"/>
  <c r="FR134" i="2" s="1"/>
  <c r="FN134" i="2"/>
  <c r="FQ134" i="2" s="1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FQ135" i="2" l="1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HH135" i="2" s="1"/>
  <c r="GI135" i="2"/>
  <c r="GL135" i="2" s="1"/>
  <c r="GJ135" i="2"/>
  <c r="GM135" i="2" s="1"/>
  <c r="ES135" i="2"/>
  <c r="EV135" i="2" s="1"/>
  <c r="HD135" i="2"/>
  <c r="HG135" i="2" s="1"/>
  <c r="ET135" i="2"/>
  <c r="EW135" i="2" s="1"/>
  <c r="FO135" i="2"/>
  <c r="FR135" i="2" s="1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HG136" i="2" s="1"/>
  <c r="FO136" i="2"/>
  <c r="FR136" i="2" s="1"/>
  <c r="HE136" i="2"/>
  <c r="HH136" i="2" s="1"/>
  <c r="GJ136" i="2"/>
  <c r="GM136" i="2" s="1"/>
  <c r="GI136" i="2"/>
  <c r="GL136" i="2" s="1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Q137" i="2" l="1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R137" i="2" s="1"/>
  <c r="FN137" i="2"/>
  <c r="GI137" i="2"/>
  <c r="GL137" i="2" s="1"/>
  <c r="ES137" i="2"/>
  <c r="EV137" i="2" s="1"/>
  <c r="DX137" i="2"/>
  <c r="CH137" i="2"/>
  <c r="AS137" i="2"/>
  <c r="CI137" i="2"/>
  <c r="BM137" i="2"/>
  <c r="X137" i="2"/>
  <c r="AR137" i="2"/>
  <c r="BN137" i="2"/>
  <c r="ET137" i="2"/>
  <c r="EW137" i="2" s="1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Q138" i="2" l="1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G138" i="2" s="1"/>
  <c r="HE138" i="2"/>
  <c r="HH138" i="2" s="1"/>
  <c r="GJ138" i="2"/>
  <c r="GM138" i="2" s="1"/>
  <c r="GI138" i="2"/>
  <c r="GL138" i="2" s="1"/>
  <c r="ET138" i="2"/>
  <c r="EW138" i="2" s="1"/>
  <c r="FN138" i="2"/>
  <c r="FO138" i="2"/>
  <c r="FR138" i="2" s="1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FQ139" i="2" l="1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HG139" i="2" s="1"/>
  <c r="GI139" i="2"/>
  <c r="GL139" i="2" s="1"/>
  <c r="FO139" i="2"/>
  <c r="FR139" i="2" s="1"/>
  <c r="ES139" i="2"/>
  <c r="EV139" i="2" s="1"/>
  <c r="GJ139" i="2"/>
  <c r="GM139" i="2" s="1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GL140" i="2" s="1"/>
  <c r="ES140" i="2"/>
  <c r="EV140" i="2" s="1"/>
  <c r="DX140" i="2"/>
  <c r="CI140" i="2"/>
  <c r="BM140" i="2"/>
  <c r="GJ140" i="2"/>
  <c r="GM140" i="2" s="1"/>
  <c r="FN140" i="2"/>
  <c r="FQ140" i="2" s="1"/>
  <c r="DY140" i="2"/>
  <c r="DC140" i="2"/>
  <c r="ET140" i="2"/>
  <c r="EW140" i="2" s="1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GM141" i="2" s="1"/>
  <c r="FO141" i="2"/>
  <c r="FR141" i="2" s="1"/>
  <c r="FN141" i="2"/>
  <c r="FQ141" i="2" s="1"/>
  <c r="GI141" i="2"/>
  <c r="GL141" i="2" s="1"/>
  <c r="ET141" i="2"/>
  <c r="EW141" i="2" s="1"/>
  <c r="ES141" i="2"/>
  <c r="EV141" i="2" s="1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C141" i="2" l="1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HH142" i="2" s="1"/>
  <c r="GJ142" i="2"/>
  <c r="GM142" i="2" s="1"/>
  <c r="ET142" i="2"/>
  <c r="EW142" i="2" s="1"/>
  <c r="FO142" i="2"/>
  <c r="FR142" i="2" s="1"/>
  <c r="FN142" i="2"/>
  <c r="FQ142" i="2" s="1"/>
  <c r="ES142" i="2"/>
  <c r="EV142" i="2" s="1"/>
  <c r="DX142" i="2"/>
  <c r="DD142" i="2"/>
  <c r="BN142" i="2"/>
  <c r="GI142" i="2"/>
  <c r="GL142" i="2" s="1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H143" i="2" s="1"/>
  <c r="HD143" i="2"/>
  <c r="HG143" i="2" s="1"/>
  <c r="GJ143" i="2"/>
  <c r="GM143" i="2" s="1"/>
  <c r="GI143" i="2"/>
  <c r="GL143" i="2" s="1"/>
  <c r="ES143" i="2"/>
  <c r="EV143" i="2" s="1"/>
  <c r="ET143" i="2"/>
  <c r="EW143" i="2" s="1"/>
  <c r="FN143" i="2"/>
  <c r="FQ143" i="2" s="1"/>
  <c r="DY143" i="2"/>
  <c r="FO143" i="2"/>
  <c r="FR143" i="2" s="1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M144" i="2" s="1"/>
  <c r="GI144" i="2"/>
  <c r="GL144" i="2" s="1"/>
  <c r="ES144" i="2"/>
  <c r="EV144" i="2" s="1"/>
  <c r="DX144" i="2"/>
  <c r="FN144" i="2"/>
  <c r="FQ144" i="2" s="1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GM145" i="2" s="1"/>
  <c r="FO145" i="2"/>
  <c r="FR145" i="2" s="1"/>
  <c r="FN145" i="2"/>
  <c r="FQ145" i="2" s="1"/>
  <c r="GI145" i="2"/>
  <c r="GL145" i="2" s="1"/>
  <c r="ET145" i="2"/>
  <c r="EW145" i="2" s="1"/>
  <c r="CH145" i="2"/>
  <c r="DY145" i="2"/>
  <c r="CI145" i="2"/>
  <c r="BM145" i="2"/>
  <c r="X145" i="2"/>
  <c r="AR145" i="2"/>
  <c r="ES145" i="2"/>
  <c r="EV145" i="2" s="1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W146" i="2" l="1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M146" i="2" s="1"/>
  <c r="GI146" i="2"/>
  <c r="GL146" i="2" s="1"/>
  <c r="ET146" i="2"/>
  <c r="FN146" i="2"/>
  <c r="FQ146" i="2" s="1"/>
  <c r="DD146" i="2"/>
  <c r="BN146" i="2"/>
  <c r="FO146" i="2"/>
  <c r="FR146" i="2" s="1"/>
  <c r="CH146" i="2"/>
  <c r="ES146" i="2"/>
  <c r="EV146" i="2" s="1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H147" i="2" s="1"/>
  <c r="HD147" i="2"/>
  <c r="HG147" i="2" s="1"/>
  <c r="GI147" i="2"/>
  <c r="GL147" i="2" s="1"/>
  <c r="FO147" i="2"/>
  <c r="FR147" i="2" s="1"/>
  <c r="ES147" i="2"/>
  <c r="EV147" i="2" s="1"/>
  <c r="ET147" i="2"/>
  <c r="EW147" i="2" s="1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GM147" i="2" s="1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G148" i="2" l="1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L148" i="2" s="1"/>
  <c r="GJ148" i="2"/>
  <c r="GM148" i="2" s="1"/>
  <c r="ES148" i="2"/>
  <c r="EV148" i="2" s="1"/>
  <c r="DX148" i="2"/>
  <c r="HE148" i="2"/>
  <c r="HH148" i="2" s="1"/>
  <c r="CI148" i="2"/>
  <c r="BM148" i="2"/>
  <c r="ET148" i="2"/>
  <c r="EW148" i="2" s="1"/>
  <c r="DC148" i="2"/>
  <c r="DD148" i="2"/>
  <c r="CH148" i="2"/>
  <c r="BN148" i="2"/>
  <c r="AR148" i="2"/>
  <c r="FN148" i="2"/>
  <c r="FQ148" i="2" s="1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G149" i="2" l="1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GM149" i="2" s="1"/>
  <c r="HD149" i="2"/>
  <c r="FN149" i="2"/>
  <c r="FQ149" i="2" s="1"/>
  <c r="GI149" i="2"/>
  <c r="GL149" i="2" s="1"/>
  <c r="FO149" i="2"/>
  <c r="FR149" i="2" s="1"/>
  <c r="ET149" i="2"/>
  <c r="EW149" i="2" s="1"/>
  <c r="ES149" i="2"/>
  <c r="EV149" i="2" s="1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GM150" i="2" s="1"/>
  <c r="ET150" i="2"/>
  <c r="EW150" i="2" s="1"/>
  <c r="FN150" i="2"/>
  <c r="FQ150" i="2" s="1"/>
  <c r="FO150" i="2"/>
  <c r="FR150" i="2" s="1"/>
  <c r="GI150" i="2"/>
  <c r="GL150" i="2" s="1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HH151" i="2" s="1"/>
  <c r="GJ151" i="2"/>
  <c r="GM151" i="2" s="1"/>
  <c r="GI151" i="2"/>
  <c r="GL151" i="2" s="1"/>
  <c r="ES151" i="2"/>
  <c r="EV151" i="2" s="1"/>
  <c r="ET151" i="2"/>
  <c r="EW151" i="2" s="1"/>
  <c r="FN151" i="2"/>
  <c r="FQ151" i="2" s="1"/>
  <c r="DY151" i="2"/>
  <c r="FO151" i="2"/>
  <c r="FR151" i="2" s="1"/>
  <c r="DC151" i="2"/>
  <c r="HD151" i="2"/>
  <c r="HG151" i="2" s="1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EC151" i="2" l="1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HG152" i="2" s="1"/>
  <c r="GJ152" i="2"/>
  <c r="GM152" i="2" s="1"/>
  <c r="GI152" i="2"/>
  <c r="GL152" i="2" s="1"/>
  <c r="FO152" i="2"/>
  <c r="FR152" i="2" s="1"/>
  <c r="ES152" i="2"/>
  <c r="EV152" i="2" s="1"/>
  <c r="DX152" i="2"/>
  <c r="FN152" i="2"/>
  <c r="FQ152" i="2" s="1"/>
  <c r="ET152" i="2"/>
  <c r="EW152" i="2" s="1"/>
  <c r="CI152" i="2"/>
  <c r="BM152" i="2"/>
  <c r="HE152" i="2"/>
  <c r="HH152" i="2" s="1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GM153" i="2" l="1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Q153" i="2" s="1"/>
  <c r="FO153" i="2"/>
  <c r="FR153" i="2" s="1"/>
  <c r="ES153" i="2"/>
  <c r="EV153" i="2" s="1"/>
  <c r="DX153" i="2"/>
  <c r="CH153" i="2"/>
  <c r="CI153" i="2"/>
  <c r="BM153" i="2"/>
  <c r="GI153" i="2"/>
  <c r="GL153" i="2" s="1"/>
  <c r="X153" i="2"/>
  <c r="ET153" i="2"/>
  <c r="EW153" i="2" s="1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FQ154" i="2" s="1"/>
  <c r="HB154" i="2"/>
  <c r="HC154" i="2"/>
  <c r="GI154" i="2"/>
  <c r="GL154" i="2" s="1"/>
  <c r="FP154" i="2"/>
  <c r="HD154" i="2"/>
  <c r="HG154" i="2" s="1"/>
  <c r="GJ154" i="2"/>
  <c r="GM154" i="2" s="1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V154" i="2" s="1"/>
  <c r="EU154" i="2"/>
  <c r="DZ154" i="2"/>
  <c r="FO154" i="2"/>
  <c r="FR154" i="2" s="1"/>
  <c r="DL154" i="2"/>
  <c r="DD154" i="2"/>
  <c r="CJ154" i="2"/>
  <c r="EG154" i="2"/>
  <c r="DM154" i="2"/>
  <c r="DE154" i="2"/>
  <c r="ET154" i="2"/>
  <c r="EW154" i="2" s="1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EB154" i="2" l="1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FR155" i="2" s="1"/>
  <c r="HC155" i="2"/>
  <c r="HD155" i="2"/>
  <c r="HG155" i="2" s="1"/>
  <c r="GJ155" i="2"/>
  <c r="GM155" i="2" s="1"/>
  <c r="HE155" i="2"/>
  <c r="HH155" i="2" s="1"/>
  <c r="GK155" i="2"/>
  <c r="FB155" i="2"/>
  <c r="HF155" i="2"/>
  <c r="FC155" i="2"/>
  <c r="FW155" i="2"/>
  <c r="FL155" i="2"/>
  <c r="ES155" i="2"/>
  <c r="EV155" i="2" s="1"/>
  <c r="ER155" i="2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AW155" i="2"/>
  <c r="FQ156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FR156" i="2" s="1"/>
  <c r="HC156" i="2"/>
  <c r="GI156" i="2"/>
  <c r="GL156" i="2" s="1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W156" i="2" s="1"/>
  <c r="EU156" i="2"/>
  <c r="DX156" i="2"/>
  <c r="GJ156" i="2"/>
  <c r="GM156" i="2" s="1"/>
  <c r="EH156" i="2"/>
  <c r="DL156" i="2"/>
  <c r="EQ156" i="2"/>
  <c r="ER156" i="2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FQ157" i="2" l="1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FR157" i="2" s="1"/>
  <c r="HC157" i="2"/>
  <c r="GI157" i="2"/>
  <c r="GL157" i="2" s="1"/>
  <c r="FP157" i="2"/>
  <c r="HD157" i="2"/>
  <c r="HG157" i="2" s="1"/>
  <c r="GJ157" i="2"/>
  <c r="GM157" i="2" s="1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V157" i="2" s="1"/>
  <c r="ET157" i="2"/>
  <c r="EW157" i="2" s="1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Q158" i="2" l="1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GL158" i="2" s="1"/>
  <c r="FP158" i="2"/>
  <c r="HD158" i="2"/>
  <c r="HG158" i="2" s="1"/>
  <c r="GJ158" i="2"/>
  <c r="GM158" i="2" s="1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R158" i="2" s="1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FQ159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GM159" i="2" s="1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FR159" i="2" s="1"/>
  <c r="HC159" i="2"/>
  <c r="GI159" i="2"/>
  <c r="GL159" i="2" s="1"/>
  <c r="FP159" i="2"/>
  <c r="EG159" i="2"/>
  <c r="ER159" i="2"/>
  <c r="FL159" i="2"/>
  <c r="ES159" i="2"/>
  <c r="EV159" i="2" s="1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60" i="2" l="1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FR160" i="2" s="1"/>
  <c r="HC160" i="2"/>
  <c r="GI160" i="2"/>
  <c r="GL160" i="2" s="1"/>
  <c r="FP160" i="2"/>
  <c r="HD160" i="2"/>
  <c r="HG160" i="2" s="1"/>
  <c r="GJ160" i="2"/>
  <c r="GM160" i="2" s="1"/>
  <c r="EH160" i="2"/>
  <c r="ET160" i="2"/>
  <c r="EW160" i="2" s="1"/>
  <c r="DL160" i="2"/>
  <c r="FM160" i="2"/>
  <c r="EG160" i="2"/>
  <c r="DX160" i="2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D159" i="2" l="1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FR161" i="2" s="1"/>
  <c r="HC161" i="2"/>
  <c r="GI161" i="2"/>
  <c r="GL161" i="2" s="1"/>
  <c r="FP161" i="2"/>
  <c r="HD161" i="2"/>
  <c r="HG161" i="2" s="1"/>
  <c r="GJ161" i="2"/>
  <c r="GM161" i="2" s="1"/>
  <c r="HE161" i="2"/>
  <c r="HH161" i="2" s="1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FQ162" i="2" s="1"/>
  <c r="HB162" i="2"/>
  <c r="HC162" i="2"/>
  <c r="GI162" i="2"/>
  <c r="GL162" i="2" s="1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FR162" i="2" s="1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AU162" i="2" l="1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FQ163" i="2" s="1"/>
  <c r="HB163" i="2"/>
  <c r="GH163" i="2"/>
  <c r="FO163" i="2"/>
  <c r="FR163" i="2" s="1"/>
  <c r="HC163" i="2"/>
  <c r="HD163" i="2"/>
  <c r="HG163" i="2" s="1"/>
  <c r="GJ163" i="2"/>
  <c r="GM163" i="2" s="1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FO164" i="2"/>
  <c r="FR164" i="2" s="1"/>
  <c r="HC164" i="2"/>
  <c r="GI164" i="2"/>
  <c r="GL164" i="2" s="1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W164" i="2" s="1"/>
  <c r="ES164" i="2"/>
  <c r="EV164" i="2" s="1"/>
  <c r="DX164" i="2"/>
  <c r="GJ164" i="2"/>
  <c r="GM164" i="2" s="1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Q165" i="2" l="1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FR165" i="2" s="1"/>
  <c r="HC165" i="2"/>
  <c r="GI165" i="2"/>
  <c r="GL165" i="2" s="1"/>
  <c r="FP165" i="2"/>
  <c r="HD165" i="2"/>
  <c r="HG165" i="2" s="1"/>
  <c r="GJ165" i="2"/>
  <c r="GM165" i="2" s="1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EV165" i="2" s="1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GL166" i="2" s="1"/>
  <c r="FP166" i="2"/>
  <c r="HD166" i="2"/>
  <c r="HG166" i="2" s="1"/>
  <c r="GJ166" i="2"/>
  <c r="GM166" i="2" s="1"/>
  <c r="HE166" i="2"/>
  <c r="HH166" i="2" s="1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FO166" i="2"/>
  <c r="FR166" i="2" s="1"/>
  <c r="EG166" i="2"/>
  <c r="DZ166" i="2"/>
  <c r="ES166" i="2"/>
  <c r="EV166" i="2" s="1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EW166" i="2" s="1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N165" i="2" l="1"/>
  <c r="FQ167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HG167" i="2" s="1"/>
  <c r="GJ167" i="2"/>
  <c r="GM167" i="2" s="1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EV167" i="2" s="1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H167" i="2" l="1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FO168" i="2"/>
  <c r="FR168" i="2" s="1"/>
  <c r="HC168" i="2"/>
  <c r="GI168" i="2"/>
  <c r="GL168" i="2" s="1"/>
  <c r="FP168" i="2"/>
  <c r="HD168" i="2"/>
  <c r="HG168" i="2" s="1"/>
  <c r="GJ168" i="2"/>
  <c r="GM168" i="2" s="1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FR169" i="2" s="1"/>
  <c r="HC169" i="2"/>
  <c r="GI169" i="2"/>
  <c r="GL169" i="2" s="1"/>
  <c r="FP169" i="2"/>
  <c r="HD169" i="2"/>
  <c r="GJ169" i="2"/>
  <c r="GM169" i="2" s="1"/>
  <c r="HE169" i="2"/>
  <c r="HH169" i="2" s="1"/>
  <c r="GK169" i="2"/>
  <c r="FB169" i="2"/>
  <c r="EQ169" i="2"/>
  <c r="EU169" i="2"/>
  <c r="DM169" i="2"/>
  <c r="FN169" i="2"/>
  <c r="FQ169" i="2" s="1"/>
  <c r="EH169" i="2"/>
  <c r="DY169" i="2"/>
  <c r="GG169" i="2"/>
  <c r="ES169" i="2"/>
  <c r="EV169" i="2" s="1"/>
  <c r="DC169" i="2"/>
  <c r="CI169" i="2"/>
  <c r="ET169" i="2"/>
  <c r="EW169" i="2" s="1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DH169" i="2"/>
  <c r="HG170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GI170" i="2"/>
  <c r="GL170" i="2" s="1"/>
  <c r="FP170" i="2"/>
  <c r="HD170" i="2"/>
  <c r="GJ170" i="2"/>
  <c r="GM170" i="2" s="1"/>
  <c r="HE170" i="2"/>
  <c r="HH170" i="2" s="1"/>
  <c r="GK170" i="2"/>
  <c r="FB170" i="2"/>
  <c r="HF170" i="2"/>
  <c r="FC170" i="2"/>
  <c r="ER170" i="2"/>
  <c r="DV170" i="2"/>
  <c r="ES170" i="2"/>
  <c r="EV170" i="2" s="1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EC170" i="2" l="1"/>
  <c r="EA170" i="2"/>
  <c r="HG171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FO171" i="2"/>
  <c r="FR171" i="2" s="1"/>
  <c r="HC171" i="2"/>
  <c r="HD171" i="2"/>
  <c r="GJ171" i="2"/>
  <c r="GM171" i="2" s="1"/>
  <c r="HE171" i="2"/>
  <c r="HH171" i="2" s="1"/>
  <c r="GK171" i="2"/>
  <c r="FB171" i="2"/>
  <c r="HF171" i="2"/>
  <c r="FC171" i="2"/>
  <c r="FW171" i="2"/>
  <c r="FL171" i="2"/>
  <c r="ES171" i="2"/>
  <c r="EV171" i="2" s="1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FO172" i="2"/>
  <c r="FR172" i="2" s="1"/>
  <c r="HC172" i="2"/>
  <c r="GI172" i="2"/>
  <c r="GL172" i="2" s="1"/>
  <c r="FP172" i="2"/>
  <c r="HD172" i="2"/>
  <c r="HG172" i="2" s="1"/>
  <c r="HE172" i="2"/>
  <c r="HH172" i="2" s="1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GM172" i="2" s="1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FQ173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FR173" i="2" s="1"/>
  <c r="HC173" i="2"/>
  <c r="GI173" i="2"/>
  <c r="GL173" i="2" s="1"/>
  <c r="FP173" i="2"/>
  <c r="HD173" i="2"/>
  <c r="HG173" i="2" s="1"/>
  <c r="GJ173" i="2"/>
  <c r="GM173" i="2" s="1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H173" i="2" l="1"/>
  <c r="ED172" i="2"/>
  <c r="CL173" i="2"/>
  <c r="FQ174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GL174" i="2" s="1"/>
  <c r="FP174" i="2"/>
  <c r="HD174" i="2"/>
  <c r="HG174" i="2" s="1"/>
  <c r="GJ174" i="2"/>
  <c r="GM174" i="2" s="1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FR174" i="2" s="1"/>
  <c r="DZ174" i="2"/>
  <c r="ER174" i="2"/>
  <c r="DV174" i="2"/>
  <c r="FC174" i="2"/>
  <c r="ET174" i="2"/>
  <c r="EW174" i="2" s="1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Q175" i="2" l="1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HG175" i="2" s="1"/>
  <c r="GJ175" i="2"/>
  <c r="GM175" i="2" s="1"/>
  <c r="HE175" i="2"/>
  <c r="HH175" i="2" s="1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FR175" i="2" s="1"/>
  <c r="HC175" i="2"/>
  <c r="GI175" i="2"/>
  <c r="GL175" i="2" s="1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CN174" i="2"/>
  <c r="FQ176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FR176" i="2" s="1"/>
  <c r="HC176" i="2"/>
  <c r="GI176" i="2"/>
  <c r="GL176" i="2" s="1"/>
  <c r="FP176" i="2"/>
  <c r="HD176" i="2"/>
  <c r="HG176" i="2" s="1"/>
  <c r="GJ176" i="2"/>
  <c r="GM176" i="2" s="1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W176" i="2" s="1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I175" i="2" l="1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FR177" i="2" s="1"/>
  <c r="HC177" i="2"/>
  <c r="GI177" i="2"/>
  <c r="GL177" i="2" s="1"/>
  <c r="FP177" i="2"/>
  <c r="HD177" i="2"/>
  <c r="HG177" i="2" s="1"/>
  <c r="GJ177" i="2"/>
  <c r="GM177" i="2" s="1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A177" i="2" l="1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GL178" i="2" s="1"/>
  <c r="FP178" i="2"/>
  <c r="HD178" i="2"/>
  <c r="HG178" i="2" s="1"/>
  <c r="GJ178" i="2"/>
  <c r="GM178" i="2" s="1"/>
  <c r="HE178" i="2"/>
  <c r="HH178" i="2" s="1"/>
  <c r="GK178" i="2"/>
  <c r="FB178" i="2"/>
  <c r="HF178" i="2"/>
  <c r="FC178" i="2"/>
  <c r="ER178" i="2"/>
  <c r="DV178" i="2"/>
  <c r="FO178" i="2"/>
  <c r="FR178" i="2" s="1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FQ179" i="2" s="1"/>
  <c r="HB179" i="2"/>
  <c r="GH179" i="2"/>
  <c r="FO179" i="2"/>
  <c r="FR179" i="2" s="1"/>
  <c r="HC179" i="2"/>
  <c r="HD179" i="2"/>
  <c r="HG179" i="2" s="1"/>
  <c r="GJ179" i="2"/>
  <c r="GM179" i="2" s="1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EW179" i="2" s="1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AW179" i="2" l="1"/>
  <c r="GL180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FQ180" i="2" s="1"/>
  <c r="HB180" i="2"/>
  <c r="GH180" i="2"/>
  <c r="FO180" i="2"/>
  <c r="FR180" i="2" s="1"/>
  <c r="HC180" i="2"/>
  <c r="GI180" i="2"/>
  <c r="FP180" i="2"/>
  <c r="HD180" i="2"/>
  <c r="HG180" i="2" s="1"/>
  <c r="HE180" i="2"/>
  <c r="HH180" i="2" s="1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DH180" i="2" l="1"/>
  <c r="GL181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FR181" i="2" s="1"/>
  <c r="HC181" i="2"/>
  <c r="GI181" i="2"/>
  <c r="FP181" i="2"/>
  <c r="HD181" i="2"/>
  <c r="HG181" i="2" s="1"/>
  <c r="GJ181" i="2"/>
  <c r="GM181" i="2" s="1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FQ181" i="2" s="1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GL182" i="2" s="1"/>
  <c r="FP182" i="2"/>
  <c r="HD182" i="2"/>
  <c r="HG182" i="2" s="1"/>
  <c r="GJ182" i="2"/>
  <c r="GM182" i="2" s="1"/>
  <c r="HE182" i="2"/>
  <c r="HH182" i="2" s="1"/>
  <c r="GK182" i="2"/>
  <c r="FB182" i="2"/>
  <c r="HF182" i="2"/>
  <c r="FW182" i="2"/>
  <c r="FL182" i="2"/>
  <c r="GR182" i="2"/>
  <c r="FX182" i="2"/>
  <c r="FM182" i="2"/>
  <c r="GS182" i="2"/>
  <c r="GG182" i="2"/>
  <c r="FN182" i="2"/>
  <c r="FQ182" i="2" s="1"/>
  <c r="HB182" i="2"/>
  <c r="GH182" i="2"/>
  <c r="FO182" i="2"/>
  <c r="FR182" i="2" s="1"/>
  <c r="EU182" i="2"/>
  <c r="EQ182" i="2"/>
  <c r="DV182" i="2"/>
  <c r="FC182" i="2"/>
  <c r="ES182" i="2"/>
  <c r="EV182" i="2" s="1"/>
  <c r="DX182" i="2"/>
  <c r="CR182" i="2"/>
  <c r="ET182" i="2"/>
  <c r="EW182" i="2" s="1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EA182" i="2" l="1"/>
  <c r="HG183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GM183" i="2" s="1"/>
  <c r="HE183" i="2"/>
  <c r="HH183" i="2" s="1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FO183" i="2"/>
  <c r="FR183" i="2" s="1"/>
  <c r="HC183" i="2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FQ184" i="2" s="1"/>
  <c r="HB184" i="2"/>
  <c r="GH184" i="2"/>
  <c r="FO184" i="2"/>
  <c r="FR184" i="2" s="1"/>
  <c r="HC184" i="2"/>
  <c r="GI184" i="2"/>
  <c r="GL184" i="2" s="1"/>
  <c r="FP184" i="2"/>
  <c r="HD184" i="2"/>
  <c r="HG184" i="2" s="1"/>
  <c r="GJ184" i="2"/>
  <c r="GM184" i="2" s="1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H184" i="2" l="1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FR185" i="2" s="1"/>
  <c r="HC185" i="2"/>
  <c r="GI185" i="2"/>
  <c r="GL185" i="2" s="1"/>
  <c r="FP185" i="2"/>
  <c r="HD185" i="2"/>
  <c r="HG185" i="2" s="1"/>
  <c r="GJ185" i="2"/>
  <c r="GM185" i="2" s="1"/>
  <c r="HE185" i="2"/>
  <c r="HH185" i="2" s="1"/>
  <c r="GK185" i="2"/>
  <c r="FB185" i="2"/>
  <c r="EQ185" i="2"/>
  <c r="FN185" i="2"/>
  <c r="FQ185" i="2" s="1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FR186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FQ186" i="2" s="1"/>
  <c r="HB186" i="2"/>
  <c r="HC186" i="2"/>
  <c r="GI186" i="2"/>
  <c r="GL186" i="2" s="1"/>
  <c r="FP186" i="2"/>
  <c r="HD186" i="2"/>
  <c r="HG186" i="2" s="1"/>
  <c r="GJ186" i="2"/>
  <c r="GM186" i="2" s="1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FR187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FQ187" i="2" s="1"/>
  <c r="HB187" i="2"/>
  <c r="GH187" i="2"/>
  <c r="FO187" i="2"/>
  <c r="HC187" i="2"/>
  <c r="HD187" i="2"/>
  <c r="HG187" i="2" s="1"/>
  <c r="GJ187" i="2"/>
  <c r="GM187" i="2" s="1"/>
  <c r="HE187" i="2"/>
  <c r="HH187" i="2" s="1"/>
  <c r="GK187" i="2"/>
  <c r="FB187" i="2"/>
  <c r="HF187" i="2"/>
  <c r="FC187" i="2"/>
  <c r="FW187" i="2"/>
  <c r="FL187" i="2"/>
  <c r="ES187" i="2"/>
  <c r="EV187" i="2" s="1"/>
  <c r="FP187" i="2"/>
  <c r="ER187" i="2"/>
  <c r="GI187" i="2"/>
  <c r="GL187" i="2" s="1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EW187" i="2" s="1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EA187" i="2" l="1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FR188" i="2" s="1"/>
  <c r="HC188" i="2"/>
  <c r="GI188" i="2"/>
  <c r="GL188" i="2" s="1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W188" i="2" s="1"/>
  <c r="EH188" i="2"/>
  <c r="EU188" i="2"/>
  <c r="DV188" i="2"/>
  <c r="GJ188" i="2"/>
  <c r="GM188" i="2" s="1"/>
  <c r="EG188" i="2"/>
  <c r="DW188" i="2"/>
  <c r="CQ188" i="2"/>
  <c r="ER188" i="2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W189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FR189" i="2" s="1"/>
  <c r="HC189" i="2"/>
  <c r="GI189" i="2"/>
  <c r="GL189" i="2" s="1"/>
  <c r="FP189" i="2"/>
  <c r="HD189" i="2"/>
  <c r="HG189" i="2" s="1"/>
  <c r="GJ189" i="2"/>
  <c r="GM189" i="2" s="1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FQ189" i="2" s="1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L190" i="2" s="1"/>
  <c r="HD190" i="2"/>
  <c r="HG190" i="2" s="1"/>
  <c r="GJ190" i="2"/>
  <c r="GM190" i="2" s="1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FR190" i="2" s="1"/>
  <c r="ET190" i="2"/>
  <c r="EW190" i="2" s="1"/>
  <c r="FC190" i="2"/>
  <c r="EH190" i="2"/>
  <c r="FN190" i="2"/>
  <c r="FQ190" i="2" s="1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GM191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GL191" i="2" s="1"/>
  <c r="FP191" i="2"/>
  <c r="EG191" i="2"/>
  <c r="FC191" i="2"/>
  <c r="FW191" i="2"/>
  <c r="FL191" i="2"/>
  <c r="FM191" i="2"/>
  <c r="FO191" i="2"/>
  <c r="FR191" i="2" s="1"/>
  <c r="ER191" i="2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HG192" i="2" s="1"/>
  <c r="GJ192" i="2"/>
  <c r="GM192" i="2" s="1"/>
  <c r="EH192" i="2"/>
  <c r="FM192" i="2"/>
  <c r="EG192" i="2"/>
  <c r="FN192" i="2"/>
  <c r="FQ192" i="2" s="1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GL193" i="2" s="1"/>
  <c r="HD193" i="2"/>
  <c r="HG193" i="2" s="1"/>
  <c r="GJ193" i="2"/>
  <c r="GM193" i="2" s="1"/>
  <c r="HE193" i="2"/>
  <c r="HH193" i="2" s="1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EV193" i="2" s="1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R194" i="2" l="1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L194" i="2" s="1"/>
  <c r="HD194" i="2"/>
  <c r="HG194" i="2" s="1"/>
  <c r="GJ194" i="2"/>
  <c r="GM194" i="2" s="1"/>
  <c r="HE194" i="2"/>
  <c r="HH194" i="2" s="1"/>
  <c r="GK194" i="2"/>
  <c r="HF194" i="2"/>
  <c r="FC194" i="2"/>
  <c r="ER194" i="2"/>
  <c r="ET194" i="2"/>
  <c r="EW194" i="2" s="1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EV194" i="2" s="1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DH194" i="2"/>
  <c r="CN193" i="2"/>
  <c r="FR195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EV195" i="2" s="1"/>
  <c r="FB195" i="2"/>
  <c r="FC195" i="2"/>
  <c r="FM195" i="2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EB195" i="2"/>
  <c r="FR196" i="2"/>
  <c r="ED194" i="2"/>
  <c r="EC195" i="2"/>
  <c r="DF195" i="2"/>
  <c r="DG195" i="2"/>
  <c r="AU195" i="2"/>
  <c r="CN194" i="2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L196" i="2" s="1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Q196" i="2" s="1"/>
  <c r="FO196" i="2"/>
  <c r="ES196" i="2"/>
  <c r="EV196" i="2" s="1"/>
  <c r="GJ196" i="2"/>
  <c r="GM196" i="2" s="1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A196" i="2" l="1"/>
  <c r="EB196" i="2"/>
  <c r="FR197" i="2"/>
  <c r="DF196" i="2"/>
  <c r="EC196" i="2"/>
  <c r="DH196" i="2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L197" i="2" s="1"/>
  <c r="HD197" i="2"/>
  <c r="HG197" i="2" s="1"/>
  <c r="GJ197" i="2"/>
  <c r="GM197" i="2" s="1"/>
  <c r="HE197" i="2"/>
  <c r="HH197" i="2" s="1"/>
  <c r="HF197" i="2"/>
  <c r="FW197" i="2"/>
  <c r="GR197" i="2"/>
  <c r="FX197" i="2"/>
  <c r="GS197" i="2"/>
  <c r="GG197" i="2"/>
  <c r="FN197" i="2"/>
  <c r="FQ197" i="2" s="1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EV197" i="2" s="1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 l="1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L198" i="2" s="1"/>
  <c r="HD198" i="2"/>
  <c r="HG198" i="2" s="1"/>
  <c r="GJ198" i="2"/>
  <c r="GM198" i="2" s="1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EV198" i="2" s="1"/>
  <c r="FB198" i="2"/>
  <c r="FL198" i="2"/>
  <c r="EG198" i="2"/>
  <c r="FM198" i="2"/>
  <c r="FN198" i="2"/>
  <c r="FQ198" i="2" s="1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GM199" i="2" s="1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GL199" i="2" s="1"/>
  <c r="FP199" i="2"/>
  <c r="FW199" i="2"/>
  <c r="FB199" i="2"/>
  <c r="ET199" i="2"/>
  <c r="EW199" i="2" s="1"/>
  <c r="FC199" i="2"/>
  <c r="FL199" i="2"/>
  <c r="FN199" i="2"/>
  <c r="FQ199" i="2" s="1"/>
  <c r="EH199" i="2"/>
  <c r="FO199" i="2"/>
  <c r="FR199" i="2" s="1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 l="1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GL200" i="2" s="1"/>
  <c r="HD200" i="2"/>
  <c r="HG200" i="2" s="1"/>
  <c r="GJ200" i="2"/>
  <c r="GM200" i="2" s="1"/>
  <c r="FL200" i="2"/>
  <c r="EU200" i="2"/>
  <c r="FX200" i="2"/>
  <c r="FM200" i="2"/>
  <c r="FN200" i="2"/>
  <c r="FQ200" i="2" s="1"/>
  <c r="FP200" i="2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FR200" i="2" s="1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EC200" i="2" l="1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Q201" i="2" s="1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EU201" i="2"/>
  <c r="DZ201" i="2"/>
  <c r="DD201" i="2"/>
  <c r="EH201" i="2"/>
  <c r="DL201" i="2"/>
  <c r="EQ201" i="2"/>
  <c r="ES201" i="2"/>
  <c r="EV201" i="2" s="1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CM201" i="2" l="1"/>
  <c r="HH202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GL202" i="2" s="1"/>
  <c r="HC202" i="2"/>
  <c r="GJ202" i="2"/>
  <c r="GM202" i="2" s="1"/>
  <c r="HD202" i="2"/>
  <c r="HG202" i="2" s="1"/>
  <c r="GK202" i="2"/>
  <c r="HE202" i="2"/>
  <c r="FC202" i="2"/>
  <c r="FP202" i="2"/>
  <c r="EG202" i="2"/>
  <c r="FL202" i="2"/>
  <c r="ES202" i="2"/>
  <c r="EV202" i="2" s="1"/>
  <c r="FM202" i="2"/>
  <c r="FN202" i="2"/>
  <c r="FQ202" i="2" s="1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A202" i="2"/>
  <c r="HH203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M203" i="2" s="1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EW203" i="2" s="1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V203" i="2" s="1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7" i="2" a="1"/>
  <c r="AH17" i="2" s="1"/>
  <c r="AH37" i="2" a="1"/>
  <c r="AH37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BX29" i="2" a="1"/>
  <c r="BX29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79" i="2" a="1"/>
  <c r="AH79" i="2" s="1"/>
  <c r="AH201" i="2" a="1"/>
  <c r="AH201" i="2" s="1"/>
  <c r="CS77" i="2" a="1"/>
  <c r="CS77" i="2" s="1"/>
  <c r="BX8" i="2" a="1"/>
  <c r="BX8" i="2" s="1"/>
  <c r="AH56" i="2" a="1"/>
  <c r="AH56" i="2" s="1"/>
  <c r="AH197" i="2" a="1"/>
  <c r="AH19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AH89" i="2" l="1" a="1"/>
  <c r="AH89" i="2" s="1"/>
  <c r="AH144" i="2" a="1"/>
  <c r="AH144" i="2" s="1"/>
  <c r="AH92" i="2" a="1"/>
  <c r="AH92" i="2" s="1"/>
  <c r="AH19" i="2" a="1"/>
  <c r="AH19" i="2" s="1"/>
  <c r="AH166" i="2" a="1"/>
  <c r="AH166" i="2" s="1"/>
  <c r="AH146" i="2" a="1"/>
  <c r="AH146" i="2" s="1"/>
  <c r="AH198" i="2" a="1"/>
  <c r="AH198" i="2" s="1"/>
  <c r="AH163" i="2" a="1"/>
  <c r="AH163" i="2" s="1"/>
  <c r="AH186" i="2" a="1"/>
  <c r="AH186" i="2" s="1"/>
  <c r="AH157" i="2" a="1"/>
  <c r="AH157" i="2" s="1"/>
  <c r="AH155" i="2" a="1"/>
  <c r="AH155" i="2" s="1"/>
  <c r="AH14" i="2" a="1"/>
  <c r="AH14" i="2" s="1"/>
  <c r="AH162" i="2" a="1"/>
  <c r="AH162" i="2" s="1"/>
  <c r="AH62" i="2" a="1"/>
  <c r="AH62" i="2" s="1"/>
  <c r="AH151" i="2" a="1"/>
  <c r="AH151" i="2" s="1"/>
  <c r="AH83" i="2" a="1"/>
  <c r="AH83" i="2" s="1"/>
  <c r="AH185" i="2" a="1"/>
  <c r="AH185" i="2" s="1"/>
  <c r="AH199" i="2" a="1"/>
  <c r="AH199" i="2" s="1"/>
  <c r="AH90" i="2" a="1"/>
  <c r="AH90" i="2" s="1"/>
  <c r="AH38" i="2" a="1"/>
  <c r="AH38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<sst xmlns="http://schemas.openxmlformats.org/spreadsheetml/2006/main" count="1003" uniqueCount="314">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</sst>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524.85237501410813</c:v>
                </c:pt>
                <c:pt idx="112">
                  <c:v>528.48970219589671</c:v>
                </c:pt>
                <c:pt idx="113">
                  <c:v>532.12650235188369</c:v>
                </c:pt>
                <c:pt idx="114">
                  <c:v>535.76277959494871</c:v>
                </c:pt>
                <c:pt idx="115">
                  <c:v>539.39853797754665</c:v>
                </c:pt>
                <c:pt idx="116">
                  <c:v>543.03378149300625</c:v>
                </c:pt>
                <c:pt idx="117">
                  <c:v>546.66851407679007</c:v>
                </c:pt>
                <c:pt idx="118">
                  <c:v>550.30273960772274</c:v>
                </c:pt>
                <c:pt idx="119">
                  <c:v>553.93646190918173</c:v>
                </c:pt>
                <c:pt idx="120">
                  <c:v>557.56968475025735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87.975117439185894</c:v>
                </c:pt>
                <c:pt idx="22">
                  <c:v>106.39394697312775</c:v>
                </c:pt>
                <c:pt idx="23">
                  <c:v>124.73397441438976</c:v>
                </c:pt>
                <c:pt idx="24">
                  <c:v>143.00844977881681</c:v>
                </c:pt>
                <c:pt idx="25">
                  <c:v>161.22694253209133</c:v>
                </c:pt>
                <c:pt idx="26">
                  <c:v>166.18689856434787</c:v>
                </c:pt>
                <c:pt idx="27">
                  <c:v>185.58079903792643</c:v>
                </c:pt>
                <c:pt idx="28">
                  <c:v>204.92736145569242</c:v>
                </c:pt>
                <c:pt idx="29">
                  <c:v>224.23168469882577</c:v>
                </c:pt>
                <c:pt idx="30">
                  <c:v>243.49791694752579</c:v>
                </c:pt>
                <c:pt idx="31">
                  <c:v>206.9829410032844</c:v>
                </c:pt>
                <c:pt idx="32">
                  <c:v>227.92379747513769</c:v>
                </c:pt>
                <c:pt idx="33">
                  <c:v>248.82062471447747</c:v>
                </c:pt>
                <c:pt idx="34">
                  <c:v>269.67763992046633</c:v>
                </c:pt>
                <c:pt idx="35">
                  <c:v>290.4983543602761</c:v>
                </c:pt>
                <c:pt idx="36">
                  <c:v>254.54988436217999</c:v>
                </c:pt>
                <c:pt idx="37">
                  <c:v>275.80500562250148</c:v>
                </c:pt>
                <c:pt idx="38">
                  <c:v>297.02334662564203</c:v>
                </c:pt>
                <c:pt idx="39">
                  <c:v>318.20790325308366</c:v>
                </c:pt>
                <c:pt idx="40">
                  <c:v>339.36123992303646</c:v>
                </c:pt>
                <c:pt idx="41">
                  <c:v>304.76763100544389</c:v>
                </c:pt>
                <c:pt idx="42">
                  <c:v>327.161066436748</c:v>
                </c:pt>
                <c:pt idx="43">
                  <c:v>349.52066488969604</c:v>
                </c:pt>
                <c:pt idx="44">
                  <c:v>371.84889400619704</c:v>
                </c:pt>
                <c:pt idx="45">
                  <c:v>394.14790100388433</c:v>
                </c:pt>
                <c:pt idx="46">
                  <c:v>359.67361293503626</c:v>
                </c:pt>
                <c:pt idx="47">
                  <c:v>381.98831004710269</c:v>
                </c:pt>
                <c:pt idx="48">
                  <c:v>404.27467126938319</c:v>
                </c:pt>
                <c:pt idx="49">
                  <c:v>426.53447718930829</c:v>
                </c:pt>
                <c:pt idx="50">
                  <c:v>448.76930749454436</c:v>
                </c:pt>
                <c:pt idx="51">
                  <c:v>414.39595763230824</c:v>
                </c:pt>
                <c:pt idx="52">
                  <c:v>436.64422599689254</c:v>
                </c:pt>
                <c:pt idx="53">
                  <c:v>458.86817919889182</c:v>
                </c:pt>
                <c:pt idx="54">
                  <c:v>481.06915953635763</c:v>
                </c:pt>
                <c:pt idx="55">
                  <c:v>503.24837540475636</c:v>
                </c:pt>
                <c:pt idx="56">
                  <c:v>468.55863080015007</c:v>
                </c:pt>
                <c:pt idx="57">
                  <c:v>490.34668675751232</c:v>
                </c:pt>
                <c:pt idx="58">
                  <c:v>512.1142160933565</c:v>
                </c:pt>
                <c:pt idx="59">
                  <c:v>533.86221327471173</c:v>
                </c:pt>
                <c:pt idx="60">
                  <c:v>555.59158520777862</c:v>
                </c:pt>
                <c:pt idx="61">
                  <c:v>520.17125719416083</c:v>
                </c:pt>
                <c:pt idx="62">
                  <c:v>541.10736424197171</c:v>
                </c:pt>
                <c:pt idx="63">
                  <c:v>562.02646462929238</c:v>
                </c:pt>
                <c:pt idx="64">
                  <c:v>582.92927986766085</c:v>
                </c:pt>
                <c:pt idx="65">
                  <c:v>603.81647555227914</c:v>
                </c:pt>
                <c:pt idx="66">
                  <c:v>567.65571901573014</c:v>
                </c:pt>
                <c:pt idx="67">
                  <c:v>587.75076511427346</c:v>
                </c:pt>
                <c:pt idx="68">
                  <c:v>607.83150562611104</c:v>
                </c:pt>
                <c:pt idx="69">
                  <c:v>627.8984792525431</c:v>
                </c:pt>
                <c:pt idx="70">
                  <c:v>647.95218748710613</c:v>
                </c:pt>
                <c:pt idx="71">
                  <c:v>610.64169885013985</c:v>
                </c:pt>
                <c:pt idx="72">
                  <c:v>629.50325767404001</c:v>
                </c:pt>
                <c:pt idx="73">
                  <c:v>648.35312961173247</c:v>
                </c:pt>
                <c:pt idx="74">
                  <c:v>667.19170197719143</c:v>
                </c:pt>
                <c:pt idx="75">
                  <c:v>686.01933844928737</c:v>
                </c:pt>
                <c:pt idx="76">
                  <c:v>647.55124024451231</c:v>
                </c:pt>
                <c:pt idx="77">
                  <c:v>665.18812453733278</c:v>
                </c:pt>
                <c:pt idx="78">
                  <c:v>682.81539166986965</c:v>
                </c:pt>
                <c:pt idx="79">
                  <c:v>700.43332466326183</c:v>
                </c:pt>
                <c:pt idx="80">
                  <c:v>718.04219115306739</c:v>
                </c:pt>
                <c:pt idx="81">
                  <c:v>678.81002413707859</c:v>
                </c:pt>
                <c:pt idx="82">
                  <c:v>695.62934399751612</c:v>
                </c:pt>
                <c:pt idx="83">
                  <c:v>712.4403377661971</c:v>
                </c:pt>
                <c:pt idx="84">
                  <c:v>729.24322941171215</c:v>
                </c:pt>
                <c:pt idx="85">
                  <c:v>746.0382317492199</c:v>
                </c:pt>
                <c:pt idx="86">
                  <c:v>707.63803301497808</c:v>
                </c:pt>
                <c:pt idx="87">
                  <c:v>723.24311316480134</c:v>
                </c:pt>
                <c:pt idx="88">
                  <c:v>738.84132642814836</c:v>
                </c:pt>
                <c:pt idx="89">
                  <c:v>754.43283808065883</c:v>
                </c:pt>
                <c:pt idx="90">
                  <c:v>770.01780601548501</c:v>
                </c:pt>
                <c:pt idx="91">
                  <c:v>733.24274733171842</c:v>
                </c:pt>
                <c:pt idx="92">
                  <c:v>748.43688570110214</c:v>
                </c:pt>
                <c:pt idx="93">
                  <c:v>763.62475480017508</c:v>
                </c:pt>
                <c:pt idx="94">
                  <c:v>778.80649678249029</c:v>
                </c:pt>
                <c:pt idx="95">
                  <c:v>793.98224781237047</c:v>
                </c:pt>
                <c:pt idx="96">
                  <c:v>758.42960138596152</c:v>
                </c:pt>
                <c:pt idx="97">
                  <c:v>772.81442700613798</c:v>
                </c:pt>
                <c:pt idx="98">
                  <c:v>787.19382812965523</c:v>
                </c:pt>
                <c:pt idx="99">
                  <c:v>801.56791772408076</c:v>
                </c:pt>
                <c:pt idx="100">
                  <c:v>815.93680437851435</c:v>
                </c:pt>
                <c:pt idx="101">
                  <c:v>784.79763312717876</c:v>
                </c:pt>
                <c:pt idx="102">
                  <c:v>801.56791772408042</c:v>
                </c:pt>
                <c:pt idx="103">
                  <c:v>818.33112037232604</c:v>
                </c:pt>
                <c:pt idx="104">
                  <c:v>835.08740643019064</c:v>
                </c:pt>
                <c:pt idx="105">
                  <c:v>851.83693408600004</c:v>
                </c:pt>
                <c:pt idx="106">
                  <c:v>818.33112037232593</c:v>
                </c:pt>
                <c:pt idx="107">
                  <c:v>830.69951486458365</c:v>
                </c:pt>
                <c:pt idx="108">
                  <c:v>843.06420541769592</c:v>
                </c:pt>
                <c:pt idx="109">
                  <c:v>855.42525396845951</c:v>
                </c:pt>
                <c:pt idx="110">
                  <c:v>867.78272051916804</c:v>
                </c:pt>
                <c:pt idx="111">
                  <c:v>829.50273634712255</c:v>
                </c:pt>
                <c:pt idx="112">
                  <c:v>835.08740643019053</c:v>
                </c:pt>
                <c:pt idx="113">
                  <c:v>840.67132563497728</c:v>
                </c:pt>
                <c:pt idx="114">
                  <c:v>846.2544996508492</c:v>
                </c:pt>
                <c:pt idx="115">
                  <c:v>851.83693408600004</c:v>
                </c:pt>
                <c:pt idx="116">
                  <c:v>857.41863446914715</c:v>
                </c:pt>
                <c:pt idx="117">
                  <c:v>862.99960625117785</c:v>
                </c:pt>
                <c:pt idx="118">
                  <c:v>868.57985480675291</c:v>
                </c:pt>
                <c:pt idx="119">
                  <c:v>874.15938543586446</c:v>
                </c:pt>
                <c:pt idx="120">
                  <c:v>879.73820336535471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2.0460469017056964</c:v>
                </c:pt>
                <c:pt idx="2">
                  <c:v>2.6995991230950414</c:v>
                </c:pt>
                <c:pt idx="3">
                  <c:v>3.562771444498678</c:v>
                </c:pt>
                <c:pt idx="4">
                  <c:v>4.7030577575577004</c:v>
                </c:pt>
                <c:pt idx="5">
                  <c:v>6.2097621939282925</c:v>
                </c:pt>
                <c:pt idx="6">
                  <c:v>8.2010704976533066</c:v>
                </c:pt>
                <c:pt idx="7">
                  <c:v>10.833421128289144</c:v>
                </c:pt>
                <c:pt idx="8">
                  <c:v>14.313926101367471</c:v>
                </c:pt>
                <c:pt idx="9">
                  <c:v>18.916836793120535</c:v>
                </c:pt>
                <c:pt idx="10">
                  <c:v>25.00537551768484</c:v>
                </c:pt>
                <c:pt idx="11">
                  <c:v>33.060686016670395</c:v>
                </c:pt>
                <c:pt idx="12">
                  <c:v>43.720230154476248</c:v>
                </c:pt>
                <c:pt idx="13">
                  <c:v>57.828720702515874</c:v>
                </c:pt>
                <c:pt idx="14">
                  <c:v>76.505693084340137</c:v>
                </c:pt>
                <c:pt idx="15">
                  <c:v>101.2351647140362</c:v>
                </c:pt>
                <c:pt idx="16">
                  <c:v>121.42282776908787</c:v>
                </c:pt>
                <c:pt idx="17">
                  <c:v>141.52862557478466</c:v>
                </c:pt>
                <c:pt idx="18">
                  <c:v>161.5658510210931</c:v>
                </c:pt>
                <c:pt idx="19">
                  <c:v>181.54421568397308</c:v>
                </c:pt>
                <c:pt idx="20">
                  <c:v>201.47111266072739</c:v>
                </c:pt>
                <c:pt idx="21">
                  <c:v>170.13474046014434</c:v>
                </c:pt>
                <c:pt idx="22">
                  <c:v>193.19565270231035</c:v>
                </c:pt>
                <c:pt idx="23">
                  <c:v>216.19250449808783</c:v>
                </c:pt>
                <c:pt idx="24">
                  <c:v>239.13306994162625</c:v>
                </c:pt>
                <c:pt idx="25">
                  <c:v>262.02350754857292</c:v>
                </c:pt>
                <c:pt idx="26">
                  <c:v>223.15764021827408</c:v>
                </c:pt>
                <c:pt idx="27">
                  <c:v>247.36882925179316</c:v>
                </c:pt>
                <c:pt idx="28">
                  <c:v>271.52622115220447</c:v>
                </c:pt>
                <c:pt idx="29">
                  <c:v>295.6352733311474</c:v>
                </c:pt>
                <c:pt idx="30">
                  <c:v>319.70048005131201</c:v>
                </c:pt>
                <c:pt idx="31">
                  <c:v>281.27798254904388</c:v>
                </c:pt>
                <c:pt idx="32">
                  <c:v>305.62486594574449</c:v>
                </c:pt>
                <c:pt idx="33">
                  <c:v>329.92863915898096</c:v>
                </c:pt>
                <c:pt idx="34">
                  <c:v>354.19292214702432</c:v>
                </c:pt>
                <c:pt idx="35">
                  <c:v>378.42079852394386</c:v>
                </c:pt>
                <c:pt idx="36">
                  <c:v>339.63890781505705</c:v>
                </c:pt>
                <c:pt idx="37">
                  <c:v>363.3781441249842</c:v>
                </c:pt>
                <c:pt idx="38">
                  <c:v>387.08350012671559</c:v>
                </c:pt>
                <c:pt idx="39">
                  <c:v>410.75734075793372</c:v>
                </c:pt>
                <c:pt idx="40">
                  <c:v>434.40173626523733</c:v>
                </c:pt>
                <c:pt idx="41">
                  <c:v>394.72356117692362</c:v>
                </c:pt>
                <c:pt idx="42">
                  <c:v>417.37048455983546</c:v>
                </c:pt>
                <c:pt idx="43">
                  <c:v>439.99093116362383</c:v>
                </c:pt>
                <c:pt idx="44">
                  <c:v>462.58645250591309</c:v>
                </c:pt>
                <c:pt idx="45">
                  <c:v>485.15843628013289</c:v>
                </c:pt>
                <c:pt idx="46">
                  <c:v>443.8008717585447</c:v>
                </c:pt>
                <c:pt idx="47">
                  <c:v>464.61633817298008</c:v>
                </c:pt>
                <c:pt idx="48">
                  <c:v>485.41192522927469</c:v>
                </c:pt>
                <c:pt idx="49">
                  <c:v>506.18860374788687</c:v>
                </c:pt>
                <c:pt idx="50">
                  <c:v>526.94725841435593</c:v>
                </c:pt>
                <c:pt idx="51">
                  <c:v>489.21392307779769</c:v>
                </c:pt>
                <c:pt idx="52">
                  <c:v>508.46785799243236</c:v>
                </c:pt>
                <c:pt idx="53">
                  <c:v>527.70639025693515</c:v>
                </c:pt>
                <c:pt idx="54">
                  <c:v>546.93016002956938</c:v>
                </c:pt>
                <c:pt idx="55">
                  <c:v>566.13975883115916</c:v>
                </c:pt>
                <c:pt idx="56">
                  <c:v>535.29645007879719</c:v>
                </c:pt>
                <c:pt idx="57">
                  <c:v>552.49226569260554</c:v>
                </c:pt>
                <c:pt idx="58">
                  <c:v>569.67686766286602</c:v>
                </c:pt>
                <c:pt idx="59">
                  <c:v>586.85064166689392</c:v>
                </c:pt>
                <c:pt idx="60">
                  <c:v>604.01394898353101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1.5484921385321033</c:v>
                </c:pt>
                <c:pt idx="2">
                  <c:v>1.9570504206517165</c:v>
                </c:pt>
                <c:pt idx="3">
                  <c:v>2.4738374403318768</c:v>
                </c:pt>
                <c:pt idx="4">
                  <c:v>3.1276320809194096</c:v>
                </c:pt>
                <c:pt idx="5">
                  <c:v>3.9548928759939277</c:v>
                </c:pt>
                <c:pt idx="6">
                  <c:v>5.0018140669827131</c:v>
                </c:pt>
                <c:pt idx="7">
                  <c:v>6.326933795194571</c:v>
                </c:pt>
                <c:pt idx="8">
                  <c:v>8.0044431110535275</c:v>
                </c:pt>
                <c:pt idx="9">
                  <c:v>10.128384623225291</c:v>
                </c:pt>
                <c:pt idx="10">
                  <c:v>12.817980611745156</c:v>
                </c:pt>
                <c:pt idx="11">
                  <c:v>16.224395237304858</c:v>
                </c:pt>
                <c:pt idx="12">
                  <c:v>20.539317838740715</c:v>
                </c:pt>
                <c:pt idx="13">
                  <c:v>26.005858985470649</c:v>
                </c:pt>
                <c:pt idx="14">
                  <c:v>32.932383998964205</c:v>
                </c:pt>
                <c:pt idx="15">
                  <c:v>41.71007778249173</c:v>
                </c:pt>
                <c:pt idx="16">
                  <c:v>52.835249802668443</c:v>
                </c:pt>
                <c:pt idx="17">
                  <c:v>66.93766141812263</c:v>
                </c:pt>
                <c:pt idx="18">
                  <c:v>84.816505312458176</c:v>
                </c:pt>
                <c:pt idx="19">
                  <c:v>107.4861087423029</c:v>
                </c:pt>
                <c:pt idx="20">
                  <c:v>136.23399433545893</c:v>
                </c:pt>
                <c:pt idx="21">
                  <c:v>107.5714367632949</c:v>
                </c:pt>
                <c:pt idx="22">
                  <c:v>119.87566335807645</c:v>
                </c:pt>
                <c:pt idx="23">
                  <c:v>132.14910489975804</c:v>
                </c:pt>
                <c:pt idx="24">
                  <c:v>144.39502686294233</c:v>
                </c:pt>
                <c:pt idx="25">
                  <c:v>156.61609434461207</c:v>
                </c:pt>
                <c:pt idx="26">
                  <c:v>168.81452176155747</c:v>
                </c:pt>
                <c:pt idx="27">
                  <c:v>180.99217685858619</c:v>
                </c:pt>
                <c:pt idx="28">
                  <c:v>193.15065517554152</c:v>
                </c:pt>
                <c:pt idx="29">
                  <c:v>205.29133473515969</c:v>
                </c:pt>
                <c:pt idx="30">
                  <c:v>217.41541708927389</c:v>
                </c:pt>
                <c:pt idx="31">
                  <c:v>170.84552734277023</c:v>
                </c:pt>
                <c:pt idx="32">
                  <c:v>185.04706163412209</c:v>
                </c:pt>
                <c:pt idx="33">
                  <c:v>199.22314097441145</c:v>
                </c:pt>
                <c:pt idx="34">
                  <c:v>213.37583253186358</c:v>
                </c:pt>
                <c:pt idx="35">
                  <c:v>227.50690659831915</c:v>
                </c:pt>
                <c:pt idx="36">
                  <c:v>241.61789541835171</c:v>
                </c:pt>
                <c:pt idx="37">
                  <c:v>255.71013753254616</c:v>
                </c:pt>
                <c:pt idx="38">
                  <c:v>269.78481182023978</c:v>
                </c:pt>
                <c:pt idx="39">
                  <c:v>283.84296405810716</c:v>
                </c:pt>
                <c:pt idx="40">
                  <c:v>297.88552793675632</c:v>
                </c:pt>
                <c:pt idx="41">
                  <c:v>251.68562413487288</c:v>
                </c:pt>
                <c:pt idx="42">
                  <c:v>265.76520570407024</c:v>
                </c:pt>
                <c:pt idx="43">
                  <c:v>279.82797869837384</c:v>
                </c:pt>
                <c:pt idx="44">
                  <c:v>293.8749069529452</c:v>
                </c:pt>
                <c:pt idx="45">
                  <c:v>307.90685461043864</c:v>
                </c:pt>
                <c:pt idx="46">
                  <c:v>321.92460060215132</c:v>
                </c:pt>
                <c:pt idx="47">
                  <c:v>335.9288504736034</c:v>
                </c:pt>
                <c:pt idx="48">
                  <c:v>349.92024613418363</c:v>
                </c:pt>
                <c:pt idx="49">
                  <c:v>363.8993739653979</c:v>
                </c:pt>
                <c:pt idx="50">
                  <c:v>377.86677161777311</c:v>
                </c:pt>
                <c:pt idx="51">
                  <c:v>330.92884034916193</c:v>
                </c:pt>
                <c:pt idx="52">
                  <c:v>343.92546889640715</c:v>
                </c:pt>
                <c:pt idx="53">
                  <c:v>356.91130885505936</c:v>
                </c:pt>
                <c:pt idx="54">
                  <c:v>369.88680810922136</c:v>
                </c:pt>
                <c:pt idx="55">
                  <c:v>382.85238055108954</c:v>
                </c:pt>
                <c:pt idx="56">
                  <c:v>395.80840974888753</c:v>
                </c:pt>
                <c:pt idx="57">
                  <c:v>408.75525210941106</c:v>
                </c:pt>
                <c:pt idx="58">
                  <c:v>421.69323961894673</c:v>
                </c:pt>
                <c:pt idx="59">
                  <c:v>434.62268223024995</c:v>
                </c:pt>
                <c:pt idx="60">
                  <c:v>447.54386995067085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E22" sqref="E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3.81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0.44600000000000001</v>
      </c>
      <c r="D9" s="36">
        <f t="shared" ref="D9:D18" si="0">C9*$C$5</f>
        <v>1.69926</v>
      </c>
      <c r="E9" s="37">
        <v>120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v>0.114</v>
      </c>
      <c r="D10" s="36">
        <f t="shared" si="0"/>
        <v>0.43434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35</v>
      </c>
      <c r="C11" s="35">
        <v>0.26200000000000001</v>
      </c>
      <c r="D11" s="36">
        <f t="shared" si="0"/>
        <v>0.99822000000000011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0.17799999999999999</v>
      </c>
      <c r="D12" s="36">
        <f t="shared" si="0"/>
        <v>0.67818000000000001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3.8100000000000005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20</v>
      </c>
      <c r="B36" s="63">
        <v>42</v>
      </c>
      <c r="C36" s="63">
        <v>1</v>
      </c>
      <c r="D36" s="63">
        <v>0</v>
      </c>
      <c r="E36" s="54">
        <v>0</v>
      </c>
      <c r="F36" s="54"/>
      <c r="G36" s="54"/>
      <c r="H36" s="94">
        <v>1</v>
      </c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25</v>
      </c>
      <c r="B37" s="63">
        <v>70</v>
      </c>
      <c r="C37" s="63">
        <v>2</v>
      </c>
      <c r="D37" s="63">
        <v>8</v>
      </c>
      <c r="E37" s="54">
        <v>0</v>
      </c>
      <c r="F37" s="54"/>
      <c r="G37" s="54"/>
      <c r="H37" s="9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30</v>
      </c>
      <c r="B38" s="63">
        <v>97</v>
      </c>
      <c r="C38" s="63">
        <v>3</v>
      </c>
      <c r="D38" s="63">
        <v>21</v>
      </c>
      <c r="E38" s="94">
        <v>0</v>
      </c>
      <c r="F38" s="94"/>
      <c r="G38" s="94"/>
      <c r="H38" s="9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35</v>
      </c>
      <c r="B39" s="63">
        <v>116</v>
      </c>
      <c r="C39" s="63">
        <v>4</v>
      </c>
      <c r="D39" s="63">
        <v>21</v>
      </c>
      <c r="E39" s="94">
        <v>0</v>
      </c>
      <c r="F39" s="94"/>
      <c r="G39" s="94"/>
      <c r="H39" s="94">
        <v>1</v>
      </c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40</v>
      </c>
      <c r="B40" s="63">
        <v>137</v>
      </c>
      <c r="C40" s="63">
        <v>5</v>
      </c>
      <c r="D40" s="63">
        <v>21</v>
      </c>
      <c r="E40" s="94">
        <v>0.2</v>
      </c>
      <c r="F40" s="94"/>
      <c r="G40" s="94"/>
      <c r="H40" s="94">
        <v>0.8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45</v>
      </c>
      <c r="B41" s="63">
        <v>158</v>
      </c>
      <c r="C41" s="63">
        <v>6</v>
      </c>
      <c r="D41" s="63">
        <v>21</v>
      </c>
      <c r="E41" s="94">
        <v>0.2</v>
      </c>
      <c r="F41" s="94"/>
      <c r="G41" s="94"/>
      <c r="H41" s="94">
        <v>0.8</v>
      </c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50</v>
      </c>
      <c r="B42" s="63">
        <v>178</v>
      </c>
      <c r="C42" s="63">
        <v>7</v>
      </c>
      <c r="D42" s="63">
        <v>21</v>
      </c>
      <c r="E42" s="94">
        <v>0.2</v>
      </c>
      <c r="F42" s="94"/>
      <c r="G42" s="94"/>
      <c r="H42" s="94">
        <v>0.8</v>
      </c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55</v>
      </c>
      <c r="B43" s="63">
        <v>197</v>
      </c>
      <c r="C43" s="63">
        <v>8</v>
      </c>
      <c r="D43" s="63">
        <v>21</v>
      </c>
      <c r="E43" s="94">
        <v>0.2</v>
      </c>
      <c r="F43" s="94"/>
      <c r="G43" s="94"/>
      <c r="H43" s="94">
        <v>0.8</v>
      </c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60</v>
      </c>
      <c r="B44" s="63">
        <v>214</v>
      </c>
      <c r="C44" s="63">
        <v>9</v>
      </c>
      <c r="D44" s="63">
        <v>21</v>
      </c>
      <c r="E44" s="94">
        <v>0.3</v>
      </c>
      <c r="F44" s="94"/>
      <c r="G44" s="94"/>
      <c r="H44" s="94">
        <v>0.7</v>
      </c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>
        <v>65</v>
      </c>
      <c r="B45" s="63">
        <v>229</v>
      </c>
      <c r="C45" s="63">
        <v>10</v>
      </c>
      <c r="D45" s="63">
        <v>21</v>
      </c>
      <c r="E45" s="94">
        <v>0.3</v>
      </c>
      <c r="F45" s="94"/>
      <c r="G45" s="94"/>
      <c r="H45" s="94">
        <v>0.7</v>
      </c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>
        <v>70</v>
      </c>
      <c r="B46" s="63">
        <v>242</v>
      </c>
      <c r="C46" s="63">
        <v>11</v>
      </c>
      <c r="D46" s="63">
        <v>21</v>
      </c>
      <c r="E46" s="94">
        <v>0.4</v>
      </c>
      <c r="F46" s="94"/>
      <c r="G46" s="94"/>
      <c r="H46" s="94">
        <v>0.6</v>
      </c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>
        <v>75</v>
      </c>
      <c r="B47" s="63">
        <v>252</v>
      </c>
      <c r="C47" s="63">
        <v>12</v>
      </c>
      <c r="D47" s="63">
        <v>21</v>
      </c>
      <c r="E47" s="94">
        <v>0.4</v>
      </c>
      <c r="F47" s="94"/>
      <c r="G47" s="94"/>
      <c r="H47" s="94">
        <v>0.6</v>
      </c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3">
        <v>80</v>
      </c>
      <c r="B48" s="63">
        <v>261</v>
      </c>
      <c r="C48" s="63">
        <v>13</v>
      </c>
      <c r="D48" s="63">
        <v>21</v>
      </c>
      <c r="E48" s="94">
        <v>0.5</v>
      </c>
      <c r="F48" s="94"/>
      <c r="G48" s="94"/>
      <c r="H48" s="94">
        <v>0.5</v>
      </c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63">
        <v>85</v>
      </c>
      <c r="B49" s="63">
        <v>269</v>
      </c>
      <c r="C49" s="63">
        <v>14</v>
      </c>
      <c r="D49" s="63">
        <v>21</v>
      </c>
      <c r="E49" s="94">
        <v>0.5</v>
      </c>
      <c r="F49" s="94"/>
      <c r="G49" s="94"/>
      <c r="H49" s="94">
        <v>0.5</v>
      </c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63">
        <v>90</v>
      </c>
      <c r="B50" s="53">
        <v>275</v>
      </c>
      <c r="C50" s="63">
        <v>15</v>
      </c>
      <c r="D50" s="53">
        <v>21</v>
      </c>
      <c r="E50" s="68">
        <v>0.6</v>
      </c>
      <c r="F50" s="68"/>
      <c r="G50" s="68"/>
      <c r="H50" s="68">
        <v>0.4</v>
      </c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63">
        <v>95</v>
      </c>
      <c r="B51" s="53">
        <v>279</v>
      </c>
      <c r="C51" s="63">
        <v>16</v>
      </c>
      <c r="D51" s="53">
        <v>21</v>
      </c>
      <c r="E51" s="68">
        <v>0.6</v>
      </c>
      <c r="F51" s="68"/>
      <c r="G51" s="68"/>
      <c r="H51" s="68">
        <v>0.4</v>
      </c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63">
        <v>100</v>
      </c>
      <c r="B52" s="53">
        <v>282</v>
      </c>
      <c r="C52" s="63">
        <v>17</v>
      </c>
      <c r="D52" s="53">
        <v>21</v>
      </c>
      <c r="E52" s="57">
        <v>0.7</v>
      </c>
      <c r="F52" s="57"/>
      <c r="G52" s="57"/>
      <c r="H52" s="57">
        <v>0.3</v>
      </c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63">
        <v>105</v>
      </c>
      <c r="B53" s="53">
        <v>284</v>
      </c>
      <c r="C53" s="63">
        <v>18</v>
      </c>
      <c r="D53" s="53">
        <v>20</v>
      </c>
      <c r="E53" s="57">
        <v>0.7</v>
      </c>
      <c r="F53" s="57"/>
      <c r="G53" s="57"/>
      <c r="H53" s="57">
        <v>0.3</v>
      </c>
      <c r="I53" s="52">
        <f t="shared" si="1"/>
        <v>4.5999999999999996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63">
        <v>110</v>
      </c>
      <c r="B54" s="53">
        <v>285</v>
      </c>
      <c r="C54" s="63">
        <v>19</v>
      </c>
      <c r="D54" s="53">
        <v>19</v>
      </c>
      <c r="E54" s="57">
        <v>0.8</v>
      </c>
      <c r="F54" s="57"/>
      <c r="G54" s="57"/>
      <c r="H54" s="57">
        <v>0.2</v>
      </c>
      <c r="I54" s="52">
        <f t="shared" si="1"/>
        <v>4.2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63">
        <v>120</v>
      </c>
      <c r="B55" s="53">
        <v>285</v>
      </c>
      <c r="C55" s="63">
        <v>20</v>
      </c>
      <c r="D55" s="53">
        <v>285</v>
      </c>
      <c r="E55" s="57">
        <v>0.8</v>
      </c>
      <c r="F55" s="57"/>
      <c r="G55" s="57"/>
      <c r="H55" s="57">
        <v>0.2</v>
      </c>
      <c r="I55" s="52">
        <f t="shared" si="1"/>
        <v>1.9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20</v>
      </c>
      <c r="B62" s="63">
        <v>32</v>
      </c>
      <c r="C62" s="63">
        <v>1</v>
      </c>
      <c r="D62" s="63">
        <v>0</v>
      </c>
      <c r="E62" s="54">
        <v>0</v>
      </c>
      <c r="F62" s="54"/>
      <c r="G62" s="54"/>
      <c r="H62" s="94">
        <v>1</v>
      </c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>
        <v>25</v>
      </c>
      <c r="B63" s="63">
        <v>76</v>
      </c>
      <c r="C63" s="63">
        <v>2</v>
      </c>
      <c r="D63" s="63">
        <v>7</v>
      </c>
      <c r="E63" s="54">
        <v>0</v>
      </c>
      <c r="F63" s="54"/>
      <c r="G63" s="54"/>
      <c r="H63" s="94">
        <v>1</v>
      </c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>
        <v>30</v>
      </c>
      <c r="B64" s="63">
        <v>116</v>
      </c>
      <c r="C64" s="63">
        <v>3</v>
      </c>
      <c r="D64" s="63">
        <v>28</v>
      </c>
      <c r="E64" s="94">
        <v>0</v>
      </c>
      <c r="F64" s="94"/>
      <c r="G64" s="94"/>
      <c r="H64" s="94">
        <v>1</v>
      </c>
      <c r="I64" s="52">
        <f>IF(A64&lt;&gt;0,(B64-(B63-D63))/(A64-A63),"")</f>
        <v>9.4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>
        <v>35</v>
      </c>
      <c r="B65" s="63">
        <v>139</v>
      </c>
      <c r="C65" s="63">
        <v>4</v>
      </c>
      <c r="D65" s="63">
        <v>28</v>
      </c>
      <c r="E65" s="94">
        <v>0</v>
      </c>
      <c r="F65" s="94"/>
      <c r="G65" s="94"/>
      <c r="H65" s="94">
        <v>1</v>
      </c>
      <c r="I65" s="52">
        <f>IF(A65&lt;&gt;0,(B65-(B64-D64))/(A65-A64),"")</f>
        <v>10.199999999999999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>
        <v>40</v>
      </c>
      <c r="B66" s="63">
        <v>163</v>
      </c>
      <c r="C66" s="63">
        <v>5</v>
      </c>
      <c r="D66" s="63">
        <v>28</v>
      </c>
      <c r="E66" s="94">
        <v>0.2</v>
      </c>
      <c r="F66" s="94"/>
      <c r="G66" s="94"/>
      <c r="H66" s="94">
        <v>0.8</v>
      </c>
      <c r="I66" s="52">
        <f t="shared" ref="I66:I81" si="2">IF(A66&lt;&gt;0,(B66-(B65-D65))/(A66-A65),"")</f>
        <v>10.4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>
        <v>45</v>
      </c>
      <c r="B67" s="63">
        <v>190</v>
      </c>
      <c r="C67" s="63">
        <v>6</v>
      </c>
      <c r="D67" s="63">
        <v>28</v>
      </c>
      <c r="E67" s="94">
        <v>0.2</v>
      </c>
      <c r="F67" s="94"/>
      <c r="G67" s="94"/>
      <c r="H67" s="94">
        <v>0.8</v>
      </c>
      <c r="I67" s="52">
        <f t="shared" si="2"/>
        <v>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50</v>
      </c>
      <c r="B68" s="63">
        <v>217</v>
      </c>
      <c r="C68" s="63">
        <v>7</v>
      </c>
      <c r="D68" s="63">
        <v>28</v>
      </c>
      <c r="E68" s="94">
        <v>0.2</v>
      </c>
      <c r="F68" s="94"/>
      <c r="G68" s="94"/>
      <c r="H68" s="94">
        <v>0.8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55</v>
      </c>
      <c r="B69" s="63">
        <v>244</v>
      </c>
      <c r="C69" s="63">
        <v>8</v>
      </c>
      <c r="D69" s="63">
        <v>28</v>
      </c>
      <c r="E69" s="94">
        <v>0.2</v>
      </c>
      <c r="F69" s="94"/>
      <c r="G69" s="94"/>
      <c r="H69" s="94">
        <v>0.8</v>
      </c>
      <c r="I69" s="52">
        <f t="shared" si="2"/>
        <v>11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60</v>
      </c>
      <c r="B70" s="63">
        <v>270</v>
      </c>
      <c r="C70" s="63">
        <v>9</v>
      </c>
      <c r="D70" s="63">
        <v>28</v>
      </c>
      <c r="E70" s="94">
        <v>0.3</v>
      </c>
      <c r="F70" s="94"/>
      <c r="G70" s="94"/>
      <c r="H70" s="94">
        <v>0.7</v>
      </c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65</v>
      </c>
      <c r="B71" s="63">
        <v>294</v>
      </c>
      <c r="C71" s="63">
        <v>10</v>
      </c>
      <c r="D71" s="63">
        <v>28</v>
      </c>
      <c r="E71" s="94">
        <v>0.3</v>
      </c>
      <c r="F71" s="94"/>
      <c r="G71" s="94"/>
      <c r="H71" s="94">
        <v>0.7</v>
      </c>
      <c r="I71" s="52">
        <f t="shared" si="2"/>
        <v>10.4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70</v>
      </c>
      <c r="B72" s="63">
        <v>316</v>
      </c>
      <c r="C72" s="63">
        <v>11</v>
      </c>
      <c r="D72" s="63">
        <v>28</v>
      </c>
      <c r="E72" s="94">
        <v>0.4</v>
      </c>
      <c r="F72" s="94"/>
      <c r="G72" s="94"/>
      <c r="H72" s="94">
        <v>0.6</v>
      </c>
      <c r="I72" s="52">
        <f t="shared" si="2"/>
        <v>10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75</v>
      </c>
      <c r="B73" s="63">
        <v>335</v>
      </c>
      <c r="C73" s="63">
        <v>12</v>
      </c>
      <c r="D73" s="63">
        <v>28</v>
      </c>
      <c r="E73" s="94">
        <v>0.4</v>
      </c>
      <c r="F73" s="94"/>
      <c r="G73" s="94"/>
      <c r="H73" s="94">
        <v>0.6</v>
      </c>
      <c r="I73" s="52">
        <f t="shared" si="2"/>
        <v>9.4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>
        <v>80</v>
      </c>
      <c r="B74" s="63">
        <v>351</v>
      </c>
      <c r="C74" s="63">
        <v>13</v>
      </c>
      <c r="D74" s="63">
        <v>28</v>
      </c>
      <c r="E74" s="94">
        <v>0.5</v>
      </c>
      <c r="F74" s="94"/>
      <c r="G74" s="94"/>
      <c r="H74" s="94">
        <v>0.5</v>
      </c>
      <c r="I74" s="52">
        <f t="shared" si="2"/>
        <v>8.8000000000000007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>
        <v>85</v>
      </c>
      <c r="B75" s="63">
        <v>365</v>
      </c>
      <c r="C75" s="63">
        <v>14</v>
      </c>
      <c r="D75" s="63">
        <v>27</v>
      </c>
      <c r="E75" s="94">
        <v>0.5</v>
      </c>
      <c r="F75" s="94"/>
      <c r="G75" s="94"/>
      <c r="H75" s="94">
        <v>0.5</v>
      </c>
      <c r="I75" s="52">
        <f t="shared" si="2"/>
        <v>8.4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>
        <v>90</v>
      </c>
      <c r="B76" s="53">
        <v>377</v>
      </c>
      <c r="C76" s="63">
        <v>15</v>
      </c>
      <c r="D76" s="53">
        <v>26</v>
      </c>
      <c r="E76" s="68">
        <v>0.6</v>
      </c>
      <c r="F76" s="68"/>
      <c r="G76" s="68"/>
      <c r="H76" s="68">
        <v>0.4</v>
      </c>
      <c r="I76" s="52">
        <f t="shared" si="2"/>
        <v>7.8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63">
        <v>95</v>
      </c>
      <c r="B77" s="53">
        <v>389</v>
      </c>
      <c r="C77" s="63">
        <v>16</v>
      </c>
      <c r="D77" s="53">
        <v>25</v>
      </c>
      <c r="E77" s="68">
        <v>0.6</v>
      </c>
      <c r="F77" s="68"/>
      <c r="G77" s="68"/>
      <c r="H77" s="68">
        <v>0.4</v>
      </c>
      <c r="I77" s="52">
        <f t="shared" si="2"/>
        <v>7.6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63">
        <v>100</v>
      </c>
      <c r="B78" s="53">
        <v>400</v>
      </c>
      <c r="C78" s="63">
        <v>17</v>
      </c>
      <c r="D78" s="53">
        <v>24</v>
      </c>
      <c r="E78" s="57">
        <v>0.7</v>
      </c>
      <c r="F78" s="57"/>
      <c r="G78" s="57"/>
      <c r="H78" s="57">
        <v>0.3</v>
      </c>
      <c r="I78" s="52">
        <f t="shared" si="2"/>
        <v>7.2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63">
        <v>105</v>
      </c>
      <c r="B79" s="53">
        <v>418</v>
      </c>
      <c r="C79" s="63">
        <v>18</v>
      </c>
      <c r="D79" s="53">
        <v>23</v>
      </c>
      <c r="E79" s="57">
        <v>0.7</v>
      </c>
      <c r="F79" s="57"/>
      <c r="G79" s="57"/>
      <c r="H79" s="57">
        <v>0.3</v>
      </c>
      <c r="I79" s="52">
        <f t="shared" si="2"/>
        <v>8.4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63">
        <v>110</v>
      </c>
      <c r="B80" s="53">
        <v>426</v>
      </c>
      <c r="C80" s="63">
        <v>19</v>
      </c>
      <c r="D80" s="53">
        <v>22</v>
      </c>
      <c r="E80" s="57">
        <v>0.8</v>
      </c>
      <c r="F80" s="57"/>
      <c r="G80" s="57"/>
      <c r="H80" s="57">
        <v>0.2</v>
      </c>
      <c r="I80" s="52">
        <f t="shared" si="2"/>
        <v>6.2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63">
        <v>120</v>
      </c>
      <c r="B81" s="53">
        <v>432</v>
      </c>
      <c r="C81" s="63">
        <v>20</v>
      </c>
      <c r="D81" s="53">
        <v>432</v>
      </c>
      <c r="E81" s="57">
        <v>0.8</v>
      </c>
      <c r="F81" s="57"/>
      <c r="G81" s="57"/>
      <c r="H81" s="57">
        <v>0.2</v>
      </c>
      <c r="I81" s="52">
        <f t="shared" si="2"/>
        <v>2.8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laricio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75</v>
      </c>
      <c r="C88" s="63">
        <v>1</v>
      </c>
      <c r="D88" s="63">
        <v>0</v>
      </c>
      <c r="E88" s="54">
        <v>0</v>
      </c>
      <c r="F88" s="54">
        <v>0.56000000000000005</v>
      </c>
      <c r="G88" s="54">
        <v>0.44</v>
      </c>
      <c r="H88" s="54"/>
      <c r="I88" s="56">
        <f>IFERROR(B88/A88,"")</f>
        <v>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152</v>
      </c>
      <c r="C89" s="63">
        <v>2</v>
      </c>
      <c r="D89" s="63">
        <v>42</v>
      </c>
      <c r="E89" s="54">
        <v>0</v>
      </c>
      <c r="F89" s="54">
        <v>0.56000000000000005</v>
      </c>
      <c r="G89" s="54">
        <v>0.44</v>
      </c>
      <c r="H89" s="54"/>
      <c r="I89" s="56">
        <f t="shared" ref="I89:I107" si="3">IF(A89&lt;&gt;0,(B89-(B88-D88))/(A89-A88),"")</f>
        <v>15.4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199</v>
      </c>
      <c r="C90" s="63">
        <v>3</v>
      </c>
      <c r="D90" s="63">
        <v>49</v>
      </c>
      <c r="E90" s="54">
        <v>0</v>
      </c>
      <c r="F90" s="54">
        <v>0.56000000000000005</v>
      </c>
      <c r="G90" s="54">
        <v>0.44</v>
      </c>
      <c r="H90" s="54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244</v>
      </c>
      <c r="C91" s="63">
        <v>4</v>
      </c>
      <c r="D91" s="63">
        <v>49</v>
      </c>
      <c r="E91" s="54">
        <v>0</v>
      </c>
      <c r="F91" s="54">
        <v>0.56000000000000005</v>
      </c>
      <c r="G91" s="54">
        <v>0.44</v>
      </c>
      <c r="H91" s="54"/>
      <c r="I91" s="56">
        <f t="shared" si="3"/>
        <v>18.8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290</v>
      </c>
      <c r="C92" s="63">
        <v>5</v>
      </c>
      <c r="D92" s="63">
        <v>49</v>
      </c>
      <c r="E92" s="54">
        <v>0.2</v>
      </c>
      <c r="F92" s="54">
        <v>0.44800000000000006</v>
      </c>
      <c r="G92" s="54">
        <v>0.35200000000000004</v>
      </c>
      <c r="H92" s="54"/>
      <c r="I92" s="56">
        <f t="shared" si="3"/>
        <v>19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334</v>
      </c>
      <c r="C93" s="63">
        <v>6</v>
      </c>
      <c r="D93" s="63">
        <v>49</v>
      </c>
      <c r="E93" s="54">
        <v>0.2</v>
      </c>
      <c r="F93" s="54">
        <v>0.44800000000000006</v>
      </c>
      <c r="G93" s="54">
        <v>0.35200000000000004</v>
      </c>
      <c r="H93" s="54"/>
      <c r="I93" s="56">
        <f t="shared" si="3"/>
        <v>18.600000000000001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374</v>
      </c>
      <c r="C94" s="63">
        <v>7</v>
      </c>
      <c r="D94" s="63">
        <v>49</v>
      </c>
      <c r="E94" s="54">
        <v>0.4</v>
      </c>
      <c r="F94" s="54">
        <v>0.33600000000000002</v>
      </c>
      <c r="G94" s="54">
        <v>0.26400000000000001</v>
      </c>
      <c r="H94" s="54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407</v>
      </c>
      <c r="C95" s="63">
        <v>8</v>
      </c>
      <c r="D95" s="63">
        <v>45</v>
      </c>
      <c r="E95" s="54">
        <v>0.6</v>
      </c>
      <c r="F95" s="54">
        <v>0.22400000000000003</v>
      </c>
      <c r="G95" s="54">
        <v>0.17600000000000002</v>
      </c>
      <c r="H95" s="54"/>
      <c r="I95" s="56">
        <f t="shared" si="3"/>
        <v>16.399999999999999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438</v>
      </c>
      <c r="C96" s="63">
        <v>9</v>
      </c>
      <c r="D96" s="63">
        <v>38</v>
      </c>
      <c r="E96" s="54">
        <v>0.6</v>
      </c>
      <c r="F96" s="54">
        <v>0.22400000000000003</v>
      </c>
      <c r="G96" s="54">
        <v>0.17600000000000002</v>
      </c>
      <c r="H96" s="94"/>
      <c r="I96" s="56">
        <f t="shared" si="3"/>
        <v>15.2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468</v>
      </c>
      <c r="C97" s="63">
        <v>10</v>
      </c>
      <c r="D97" s="63">
        <v>468</v>
      </c>
      <c r="E97" s="54">
        <v>0.8</v>
      </c>
      <c r="F97" s="54">
        <v>0.11</v>
      </c>
      <c r="G97" s="54">
        <v>0.09</v>
      </c>
      <c r="H97" s="94"/>
      <c r="I97" s="56">
        <f t="shared" si="3"/>
        <v>13.6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54"/>
      <c r="F98" s="54"/>
      <c r="G98" s="5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54"/>
      <c r="F99" s="54"/>
      <c r="G99" s="5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4"/>
      <c r="F100" s="94"/>
      <c r="G100" s="94"/>
      <c r="H100" s="9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94"/>
      <c r="F101" s="94"/>
      <c r="G101" s="94"/>
      <c r="H101" s="9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68"/>
      <c r="F102" s="68"/>
      <c r="G102" s="68"/>
      <c r="H102" s="68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68"/>
      <c r="F103" s="68"/>
      <c r="G103" s="68"/>
      <c r="H103" s="68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20</v>
      </c>
      <c r="B114" s="63">
        <v>130</v>
      </c>
      <c r="C114" s="63">
        <v>1</v>
      </c>
      <c r="D114" s="63">
        <v>40</v>
      </c>
      <c r="E114" s="54">
        <v>0</v>
      </c>
      <c r="F114" s="54">
        <v>0.56000000000000005</v>
      </c>
      <c r="G114" s="54">
        <v>0.44</v>
      </c>
      <c r="H114" s="94"/>
      <c r="I114" s="56">
        <f>IFERROR(B114/A114,"")</f>
        <v>6.5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30</v>
      </c>
      <c r="B115" s="63">
        <v>210</v>
      </c>
      <c r="C115" s="63">
        <v>2</v>
      </c>
      <c r="D115" s="63">
        <v>60</v>
      </c>
      <c r="E115" s="54">
        <v>0.3</v>
      </c>
      <c r="F115" s="54">
        <v>0.39200000000000002</v>
      </c>
      <c r="G115" s="54">
        <v>0.308</v>
      </c>
      <c r="H115" s="94"/>
      <c r="I115" s="56">
        <f t="shared" ref="I115:I133" si="4">IF(A115&lt;&gt;0,(B115-(B114-D114))/(A115-A114),"")</f>
        <v>12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40</v>
      </c>
      <c r="B116" s="63">
        <v>290</v>
      </c>
      <c r="C116" s="63">
        <v>3</v>
      </c>
      <c r="D116" s="63">
        <v>60</v>
      </c>
      <c r="E116" s="54">
        <v>0.5</v>
      </c>
      <c r="F116" s="54">
        <v>0.28000000000000003</v>
      </c>
      <c r="G116" s="54">
        <v>0.22</v>
      </c>
      <c r="H116" s="94"/>
      <c r="I116" s="56">
        <f t="shared" si="4"/>
        <v>14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50</v>
      </c>
      <c r="B117" s="63">
        <v>370</v>
      </c>
      <c r="C117" s="63">
        <v>4</v>
      </c>
      <c r="D117" s="63">
        <v>60</v>
      </c>
      <c r="E117" s="54">
        <v>0.7</v>
      </c>
      <c r="F117" s="54">
        <v>0.16800000000000001</v>
      </c>
      <c r="G117" s="54">
        <v>0.13200000000000001</v>
      </c>
      <c r="H117" s="68"/>
      <c r="I117" s="56">
        <f t="shared" si="4"/>
        <v>14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60</v>
      </c>
      <c r="B118" s="63">
        <v>440</v>
      </c>
      <c r="C118" s="63">
        <v>5</v>
      </c>
      <c r="D118" s="63">
        <v>440</v>
      </c>
      <c r="E118" s="94">
        <v>0.8</v>
      </c>
      <c r="F118" s="94">
        <f>0.2*0.56</f>
        <v>0.11200000000000002</v>
      </c>
      <c r="G118" s="94">
        <f>1-F118-E118</f>
        <v>8.7999999999999967E-2</v>
      </c>
      <c r="H118" s="94"/>
      <c r="I118" s="56">
        <f t="shared" si="4"/>
        <v>13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3"/>
      <c r="B140" s="63"/>
      <c r="C140" s="63"/>
      <c r="D140" s="63"/>
      <c r="E140" s="54"/>
      <c r="F140" s="54"/>
      <c r="G140" s="54"/>
      <c r="H140" s="9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3"/>
      <c r="B141" s="63"/>
      <c r="C141" s="63"/>
      <c r="D141" s="63"/>
      <c r="E141" s="54"/>
      <c r="F141" s="54"/>
      <c r="G141" s="54"/>
      <c r="H141" s="9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3"/>
      <c r="B142" s="63"/>
      <c r="C142" s="63"/>
      <c r="D142" s="63"/>
      <c r="E142" s="94"/>
      <c r="F142" s="94"/>
      <c r="G142" s="94"/>
      <c r="H142" s="9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3"/>
      <c r="B143" s="63"/>
      <c r="C143" s="63"/>
      <c r="D143" s="63"/>
      <c r="E143" s="94"/>
      <c r="F143" s="94"/>
      <c r="G143" s="94"/>
      <c r="H143" s="9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3"/>
      <c r="B144" s="63"/>
      <c r="C144" s="63"/>
      <c r="D144" s="63"/>
      <c r="E144" s="94"/>
      <c r="F144" s="94"/>
      <c r="G144" s="94"/>
      <c r="H144" s="9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3"/>
      <c r="B145" s="63"/>
      <c r="C145" s="63"/>
      <c r="D145" s="63"/>
      <c r="E145" s="94"/>
      <c r="F145" s="94"/>
      <c r="G145" s="94"/>
      <c r="H145" s="9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/>
      <c r="B146" s="63"/>
      <c r="C146" s="63"/>
      <c r="D146" s="63"/>
      <c r="E146" s="94"/>
      <c r="F146" s="94"/>
      <c r="G146" s="94"/>
      <c r="H146" s="9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/>
      <c r="B147" s="63"/>
      <c r="C147" s="63"/>
      <c r="D147" s="63"/>
      <c r="E147" s="94"/>
      <c r="F147" s="94"/>
      <c r="G147" s="94"/>
      <c r="H147" s="9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/>
      <c r="B148" s="63"/>
      <c r="C148" s="63"/>
      <c r="D148" s="63"/>
      <c r="E148" s="94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/>
      <c r="B150" s="63"/>
      <c r="C150" s="63"/>
      <c r="D150" s="63"/>
      <c r="E150" s="94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63"/>
      <c r="B166" s="63"/>
      <c r="C166" s="63"/>
      <c r="D166" s="63"/>
      <c r="E166" s="54"/>
      <c r="F166" s="54"/>
      <c r="G166" s="5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A13" sqref="A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Charme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Pin laricio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Cèdre de l'Atlas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373.09674935534343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509.66893546110458</v>
      </c>
      <c r="AO3" s="62">
        <f>IF('Données projet'!E10&gt;30,$AM$33-$H$33,LOOKUP('Données projet'!$E$10,$A$3:$A$203,AM3:AM203)-LOOKUP('Données projet'!$E$10,$A$3:$A$203,$H$3:$H$203))</f>
        <v>280.1645836141924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311.82072478731385</v>
      </c>
      <c r="BJ3" s="62">
        <f>IF('Données projet'!E11&gt;30,$BH$33-$H$33,LOOKUP('Données projet'!$E$11,$A$3:$A$203,BH3:BH203)-LOOKUP('Données projet'!$E$11,$A$3:$A$203,$H$3:$H$203))</f>
        <v>356.36714671797864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218.39403703215032</v>
      </c>
      <c r="CE3" s="62">
        <f>IF('Données projet'!E12&gt;30,$CC$33-$H$33,LOOKUP('Données projet'!$E$12,$A$3:$A$203,CC3:CC203)-LOOKUP('Données projet'!$E$12,$A$3:$A$203,$H$3:$H$203))</f>
        <v>254.08208375594052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373.09674935534343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1.189207115002721</v>
      </c>
      <c r="AJ4" s="14">
        <f>AI4*VLOOKUP('Données projet'!$B$10,Paramètres!$A$1:$I$88,3,0)*VLOOKUP('Données projet'!$B$10,Paramètres!$A$1:$I$88,5,0)</f>
        <v>1.1316494906365893</v>
      </c>
      <c r="AK4" s="14">
        <f>EXP(-1.0587+0.8836*LN(AJ4)+0.284)</f>
        <v>0.51405777038207245</v>
      </c>
      <c r="AL4" s="22">
        <f t="shared" ref="AL4:AL67" si="4">(AJ4+AK4)*0.475*44/12</f>
        <v>2.8662734796075018</v>
      </c>
      <c r="AM4" s="62">
        <f t="shared" ref="AM4:AM67" si="5">AL4+(AD4+AE4)*44/12</f>
        <v>260.75516236849637</v>
      </c>
      <c r="AN4" s="62">
        <f ca="1">AVERAGE(OFFSET($AM$3,0,0,'Données projet'!$E$10+1,1))-AVERAGE(OFFSET($H$3,0,0,'Données projet'!$E$10+1,1))</f>
        <v>509.66893546110458</v>
      </c>
      <c r="AO4" s="62">
        <f>$AO$3</f>
        <v>280.1645836141924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</v>
      </c>
      <c r="BD4" s="13">
        <f>IF('Données projet'!$A$88&gt;35,BD3+BC4-BL3,IF(A4&lt;'Données projet'!$A$88,$BA$205^A4,IF(A4='Données projet'!$A$88,'Données projet'!$B$88,BD3+BC4-BL3)))</f>
        <v>1.3335339730287799</v>
      </c>
      <c r="BE4" s="14">
        <f>BD4*VLOOKUP('Données projet'!$B$11,Paramètres!$A$1:$I$88,3,0)*VLOOKUP('Données projet'!$B$11,Paramètres!$A$1:$I$88,5,0)</f>
        <v>0.79745331587121038</v>
      </c>
      <c r="BF4" s="14">
        <f>EXP(-1.0587+0.8836*LN(BE4)+0.284)</f>
        <v>0.37731045544306524</v>
      </c>
      <c r="BG4" s="22">
        <f t="shared" ref="BG4:BG67" si="7">(BE4+BF4)*0.475*44/12</f>
        <v>2.0460469017056964</v>
      </c>
      <c r="BH4" s="62">
        <f t="shared" ref="BH4:BH67" si="8">BG4+(AY4+AZ4)*44/12</f>
        <v>259.93493579059458</v>
      </c>
      <c r="BI4" s="62">
        <f ca="1">AVERAGE(OFFSET($BH$3,0,0,'Données projet'!$E$11+1,1))-AVERAGE(OFFSET($H$3,0,0,'Données projet'!$E$11+1,1))</f>
        <v>311.82072478731385</v>
      </c>
      <c r="BJ4" s="62">
        <f>$BJ$3</f>
        <v>356.36714671797864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6.5</v>
      </c>
      <c r="BY4" s="13">
        <f>IF('Données projet'!$A$114&gt;35,BY3+BX4-CG3,IF(A4&lt;'Données projet'!$A$114,$BV$205^A4,IF(A4='Données projet'!$A$114,'Données projet'!$B$114,BY3+BX4-CG3)))</f>
        <v>1.2755490616773966</v>
      </c>
      <c r="BZ4" s="14">
        <f>BY4*VLOOKUP('Données projet'!$B$12,Paramètres!$A$1:$I$88,3,0)*VLOOKUP('Données projet'!$B$12,Paramètres!$A$1:$I$88,5,0)</f>
        <v>0.59695696086502159</v>
      </c>
      <c r="CA4" s="14">
        <f>EXP(-1.0587+0.8836*LN(BZ4)+0.284)</f>
        <v>0.29212943446441586</v>
      </c>
      <c r="CB4" s="22">
        <f t="shared" ref="CB4:CB67" si="10">(BZ4+CA4)*0.475*44/12</f>
        <v>1.5484921385321033</v>
      </c>
      <c r="CC4" s="62">
        <f t="shared" ref="CC4:CC67" si="11">CB4+(BT4+BU4)*44/12</f>
        <v>259.43738102742094</v>
      </c>
      <c r="CD4" s="62">
        <f ca="1">AVERAGE(OFFSET($CC$3,0,0,'Données projet'!$E$12+1,1))-AVERAGE(OFFSET($H$3,0,0,'Données projet'!$E$12+1,1))</f>
        <v>218.39403703215032</v>
      </c>
      <c r="CE4" s="62">
        <f>$CE$3</f>
        <v>254.08208375594052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373.09674935534343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1.4142135623730949</v>
      </c>
      <c r="AJ5" s="14">
        <f>AI5*VLOOKUP('Données projet'!$B$10,Paramètres!$A$1:$I$88,3,0)*VLOOKUP('Données projet'!$B$10,Paramètres!$A$1:$I$88,5,0)</f>
        <v>1.3457656259542372</v>
      </c>
      <c r="AK5" s="14">
        <f t="shared" ref="AK5:AK68" si="35">EXP(-1.0587+0.8836*LN(AJ5)+0.284)</f>
        <v>0.59911398074557853</v>
      </c>
      <c r="AL5" s="22">
        <f t="shared" si="4"/>
        <v>3.3873319816688454</v>
      </c>
      <c r="AM5" s="62">
        <f t="shared" si="5"/>
        <v>262.49844309278001</v>
      </c>
      <c r="AN5" s="62">
        <f ca="1">AVERAGE(OFFSET($AM$3,0,0,'Données projet'!$E$10+1,1))-AVERAGE(OFFSET($H$3,0,0,'Données projet'!$E$10+1,1))</f>
        <v>509.66893546110458</v>
      </c>
      <c r="AO5" s="62">
        <f t="shared" ref="AO5:AO68" si="36">$AO$3</f>
        <v>280.1645836141924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</v>
      </c>
      <c r="BD5" s="13">
        <f>IF('Données projet'!$A$88&gt;35,BD4+BC5-BL4,IF(A5&lt;'Données projet'!$A$88,$BA$205^A5,IF(A5='Données projet'!$A$88,'Données projet'!$B$88,BD4+BC5-BL4)))</f>
        <v>1.7783128572219224</v>
      </c>
      <c r="BE5" s="14">
        <f>BD5*VLOOKUP('Données projet'!$B$11,Paramètres!$A$1:$I$88,3,0)*VLOOKUP('Données projet'!$B$11,Paramètres!$A$1:$I$88,5,0)</f>
        <v>1.0634310886187097</v>
      </c>
      <c r="BF5" s="14">
        <f t="shared" ref="BF5:BF68" si="37">EXP(-1.0587+0.8836*LN(BE5)+0.284)</f>
        <v>0.48657797727318047</v>
      </c>
      <c r="BG5" s="22">
        <f t="shared" si="7"/>
        <v>2.6995991230950414</v>
      </c>
      <c r="BH5" s="62">
        <f t="shared" si="8"/>
        <v>261.81071023420617</v>
      </c>
      <c r="BI5" s="62">
        <f ca="1">AVERAGE(OFFSET($BH$3,0,0,'Données projet'!$E$11+1,1))-AVERAGE(OFFSET($H$3,0,0,'Données projet'!$E$11+1,1))</f>
        <v>311.82072478731385</v>
      </c>
      <c r="BJ5" s="62">
        <f t="shared" ref="BJ5:BJ68" si="38">$BJ$3</f>
        <v>356.36714671797864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6.5</v>
      </c>
      <c r="BY5" s="13">
        <f>IF('Données projet'!$A$114&gt;35,BY4+BX5-CG4,IF(A5&lt;'Données projet'!$A$114,$BV$205^A5,IF(A5='Données projet'!$A$114,'Données projet'!$B$114,BY4+BX5-CG4)))</f>
        <v>1.6270254087460869</v>
      </c>
      <c r="BZ5" s="14">
        <f>BY5*VLOOKUP('Données projet'!$B$12,Paramètres!$A$1:$I$88,3,0)*VLOOKUP('Données projet'!$B$12,Paramètres!$A$1:$I$88,5,0)</f>
        <v>0.7614478912931687</v>
      </c>
      <c r="CA5" s="14">
        <f t="shared" ref="CA5:CA68" si="39">EXP(-1.0587+0.8836*LN(BZ5)+0.284)</f>
        <v>0.36221742199968293</v>
      </c>
      <c r="CB5" s="22">
        <f t="shared" si="10"/>
        <v>1.9570504206517165</v>
      </c>
      <c r="CC5" s="62">
        <f t="shared" si="11"/>
        <v>261.06816153176288</v>
      </c>
      <c r="CD5" s="62">
        <f ca="1">AVERAGE(OFFSET($CC$3,0,0,'Données projet'!$E$12+1,1))-AVERAGE(OFFSET($H$3,0,0,'Données projet'!$E$12+1,1))</f>
        <v>218.39403703215032</v>
      </c>
      <c r="CE5" s="62">
        <f t="shared" ref="CE5:CE68" si="40">$CE$3</f>
        <v>254.08208375594052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373.09674935534343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1.6817928305074288</v>
      </c>
      <c r="AJ6" s="14">
        <f>AI6*VLOOKUP('Données projet'!$B$10,Paramètres!$A$1:$I$88,3,0)*VLOOKUP('Données projet'!$B$10,Paramètres!$A$1:$I$88,5,0)</f>
        <v>1.6003940575108693</v>
      </c>
      <c r="AK6" s="14">
        <f t="shared" si="35"/>
        <v>0.69824362669984286</v>
      </c>
      <c r="AL6" s="22">
        <f t="shared" si="4"/>
        <v>4.0034606333336571</v>
      </c>
      <c r="AM6" s="62">
        <f t="shared" si="5"/>
        <v>264.33679396666696</v>
      </c>
      <c r="AN6" s="62">
        <f ca="1">AVERAGE(OFFSET($AM$3,0,0,'Données projet'!$E$10+1,1))-AVERAGE(OFFSET($H$3,0,0,'Données projet'!$E$10+1,1))</f>
        <v>509.66893546110458</v>
      </c>
      <c r="AO6" s="62">
        <f t="shared" si="36"/>
        <v>280.1645836141924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</v>
      </c>
      <c r="BD6" s="13">
        <f>IF('Données projet'!$A$88&gt;35,BD5+BC6-BL5,IF(A6&lt;'Données projet'!$A$88,$BA$205^A6,IF(A6='Données projet'!$A$88,'Données projet'!$B$88,BD5+BC6-BL5)))</f>
        <v>2.3714406097793117</v>
      </c>
      <c r="BE6" s="14">
        <f>BD6*VLOOKUP('Données projet'!$B$11,Paramètres!$A$1:$I$88,3,0)*VLOOKUP('Données projet'!$B$11,Paramètres!$A$1:$I$88,5,0)</f>
        <v>1.4181214846480283</v>
      </c>
      <c r="BF6" s="14">
        <f t="shared" si="37"/>
        <v>0.62748891410719376</v>
      </c>
      <c r="BG6" s="22">
        <f t="shared" si="7"/>
        <v>3.562771444498678</v>
      </c>
      <c r="BH6" s="62">
        <f t="shared" si="8"/>
        <v>263.89610477783197</v>
      </c>
      <c r="BI6" s="62">
        <f ca="1">AVERAGE(OFFSET($BH$3,0,0,'Données projet'!$E$11+1,1))-AVERAGE(OFFSET($H$3,0,0,'Données projet'!$E$11+1,1))</f>
        <v>311.82072478731385</v>
      </c>
      <c r="BJ6" s="62">
        <f t="shared" si="38"/>
        <v>356.36714671797864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6.5</v>
      </c>
      <c r="BY6" s="13">
        <f>IF('Données projet'!$A$114&gt;35,BY5+BX6-CG5,IF(A6&lt;'Données projet'!$A$114,$BV$205^A6,IF(A6='Données projet'!$A$114,'Données projet'!$B$114,BY5+BX6-CG5)))</f>
        <v>2.0753507334513537</v>
      </c>
      <c r="BZ6" s="14">
        <f>BY6*VLOOKUP('Données projet'!$B$12,Paramètres!$A$1:$I$88,3,0)*VLOOKUP('Données projet'!$B$12,Paramètres!$A$1:$I$88,5,0)</f>
        <v>0.97126414325523347</v>
      </c>
      <c r="CA6" s="14">
        <f t="shared" si="39"/>
        <v>0.44912098994967209</v>
      </c>
      <c r="CB6" s="22">
        <f t="shared" si="10"/>
        <v>2.4738374403318768</v>
      </c>
      <c r="CC6" s="62">
        <f t="shared" si="11"/>
        <v>262.80717077366518</v>
      </c>
      <c r="CD6" s="62">
        <f ca="1">AVERAGE(OFFSET($CC$3,0,0,'Données projet'!$E$12+1,1))-AVERAGE(OFFSET($H$3,0,0,'Données projet'!$E$12+1,1))</f>
        <v>218.39403703215032</v>
      </c>
      <c r="CE6" s="62">
        <f t="shared" si="40"/>
        <v>254.08208375594052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373.09674935534343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1.9999999999999996</v>
      </c>
      <c r="AJ7" s="14">
        <f>AI7*VLOOKUP('Données projet'!$B$10,Paramètres!$A$1:$I$88,3,0)*VLOOKUP('Données projet'!$B$10,Paramètres!$A$1:$I$88,5,0)</f>
        <v>1.9031999999999998</v>
      </c>
      <c r="AK7" s="14">
        <f t="shared" si="35"/>
        <v>0.81377530469280024</v>
      </c>
      <c r="AL7" s="22">
        <f t="shared" si="4"/>
        <v>4.7320653223399596</v>
      </c>
      <c r="AM7" s="62">
        <f t="shared" si="5"/>
        <v>266.28762087789551</v>
      </c>
      <c r="AN7" s="62">
        <f ca="1">AVERAGE(OFFSET($AM$3,0,0,'Données projet'!$E$10+1,1))-AVERAGE(OFFSET($H$3,0,0,'Données projet'!$E$10+1,1))</f>
        <v>509.66893546110458</v>
      </c>
      <c r="AO7" s="62">
        <f t="shared" si="36"/>
        <v>280.1645836141924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</v>
      </c>
      <c r="BD7" s="13">
        <f>IF('Données projet'!$A$88&gt;35,BD6+BC7-BL6,IF(A7&lt;'Données projet'!$A$88,$BA$205^A7,IF(A7='Données projet'!$A$88,'Données projet'!$B$88,BD6+BC7-BL6)))</f>
        <v>3.1623966181607974</v>
      </c>
      <c r="BE7" s="14">
        <f>BD7*VLOOKUP('Données projet'!$B$11,Paramètres!$A$1:$I$88,3,0)*VLOOKUP('Données projet'!$B$11,Paramètres!$A$1:$I$88,5,0)</f>
        <v>1.8911131776601571</v>
      </c>
      <c r="BF7" s="14">
        <f t="shared" si="37"/>
        <v>0.80920706591364211</v>
      </c>
      <c r="BG7" s="22">
        <f t="shared" si="7"/>
        <v>4.7030577575577004</v>
      </c>
      <c r="BH7" s="62">
        <f t="shared" si="8"/>
        <v>266.25861331311324</v>
      </c>
      <c r="BI7" s="62">
        <f ca="1">AVERAGE(OFFSET($BH$3,0,0,'Données projet'!$E$11+1,1))-AVERAGE(OFFSET($H$3,0,0,'Données projet'!$E$11+1,1))</f>
        <v>311.82072478731385</v>
      </c>
      <c r="BJ7" s="62">
        <f t="shared" si="38"/>
        <v>356.36714671797864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6.5</v>
      </c>
      <c r="BY7" s="13">
        <f>IF('Données projet'!$A$114&gt;35,BY6+BX7-CG6,IF(A7&lt;'Données projet'!$A$114,$BV$205^A7,IF(A7='Données projet'!$A$114,'Données projet'!$B$114,BY6+BX7-CG6)))</f>
        <v>2.6472116807053712</v>
      </c>
      <c r="BZ7" s="14">
        <f>BY7*VLOOKUP('Données projet'!$B$12,Paramètres!$A$1:$I$88,3,0)*VLOOKUP('Données projet'!$B$12,Paramètres!$A$1:$I$88,5,0)</f>
        <v>1.2388950665701137</v>
      </c>
      <c r="CA7" s="14">
        <f t="shared" si="39"/>
        <v>0.55687454926878177</v>
      </c>
      <c r="CB7" s="22">
        <f t="shared" si="10"/>
        <v>3.1276320809194096</v>
      </c>
      <c r="CC7" s="62">
        <f t="shared" si="11"/>
        <v>264.68318763647494</v>
      </c>
      <c r="CD7" s="62">
        <f ca="1">AVERAGE(OFFSET($CC$3,0,0,'Données projet'!$E$12+1,1))-AVERAGE(OFFSET($H$3,0,0,'Données projet'!$E$12+1,1))</f>
        <v>218.39403703215032</v>
      </c>
      <c r="CE7" s="62">
        <f t="shared" si="40"/>
        <v>254.08208375594052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373.09674935534343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2.3784142300054416</v>
      </c>
      <c r="AJ8" s="14">
        <f>AI8*VLOOKUP('Données projet'!$B$10,Paramètres!$A$1:$I$88,3,0)*VLOOKUP('Données projet'!$B$10,Paramètres!$A$1:$I$88,5,0)</f>
        <v>2.2632989812731781</v>
      </c>
      <c r="AK8" s="14">
        <f t="shared" si="35"/>
        <v>0.9484229016995176</v>
      </c>
      <c r="AL8" s="22">
        <f t="shared" si="4"/>
        <v>5.5937489461774446</v>
      </c>
      <c r="AM8" s="62">
        <f t="shared" si="5"/>
        <v>268.37152672395524</v>
      </c>
      <c r="AN8" s="62">
        <f ca="1">AVERAGE(OFFSET($AM$3,0,0,'Données projet'!$E$10+1,1))-AVERAGE(OFFSET($H$3,0,0,'Données projet'!$E$10+1,1))</f>
        <v>509.66893546110458</v>
      </c>
      <c r="AO8" s="62">
        <f t="shared" si="36"/>
        <v>280.1645836141924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</v>
      </c>
      <c r="BD8" s="13">
        <f>IF('Données projet'!$A$88&gt;35,BD7+BC8-BL7,IF(A8&lt;'Données projet'!$A$88,$BA$205^A8,IF(A8='Données projet'!$A$88,'Données projet'!$B$88,BD7+BC8-BL7)))</f>
        <v>4.2171633265087456</v>
      </c>
      <c r="BE8" s="14">
        <f>BD8*VLOOKUP('Données projet'!$B$11,Paramètres!$A$1:$I$88,3,0)*VLOOKUP('Données projet'!$B$11,Paramètres!$A$1:$I$88,5,0)</f>
        <v>2.5218636692522298</v>
      </c>
      <c r="BF8" s="14">
        <f t="shared" si="37"/>
        <v>1.0435500306109049</v>
      </c>
      <c r="BG8" s="22">
        <f t="shared" si="7"/>
        <v>6.2097621939282925</v>
      </c>
      <c r="BH8" s="62">
        <f t="shared" si="8"/>
        <v>268.98753997170604</v>
      </c>
      <c r="BI8" s="62">
        <f ca="1">AVERAGE(OFFSET($BH$3,0,0,'Données projet'!$E$11+1,1))-AVERAGE(OFFSET($H$3,0,0,'Données projet'!$E$11+1,1))</f>
        <v>311.82072478731385</v>
      </c>
      <c r="BJ8" s="62">
        <f t="shared" si="38"/>
        <v>356.36714671797864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6.5</v>
      </c>
      <c r="BY8" s="13">
        <f>IF('Données projet'!$A$114&gt;35,BY7+BX8-CG7,IF(A8&lt;'Données projet'!$A$114,$BV$205^A8,IF(A8='Données projet'!$A$114,'Données projet'!$B$114,BY7+BX8-CG7)))</f>
        <v>3.3766483753851801</v>
      </c>
      <c r="BZ8" s="14">
        <f>BY8*VLOOKUP('Données projet'!$B$12,Paramètres!$A$1:$I$88,3,0)*VLOOKUP('Données projet'!$B$12,Paramètres!$A$1:$I$88,5,0)</f>
        <v>1.5802714396802642</v>
      </c>
      <c r="CA8" s="14">
        <f t="shared" si="39"/>
        <v>0.69048045084256526</v>
      </c>
      <c r="CB8" s="22">
        <f t="shared" si="10"/>
        <v>3.9548928759939277</v>
      </c>
      <c r="CC8" s="62">
        <f t="shared" si="11"/>
        <v>266.73267065377172</v>
      </c>
      <c r="CD8" s="62">
        <f ca="1">AVERAGE(OFFSET($CC$3,0,0,'Données projet'!$E$12+1,1))-AVERAGE(OFFSET($H$3,0,0,'Données projet'!$E$12+1,1))</f>
        <v>218.39403703215032</v>
      </c>
      <c r="CE8" s="62">
        <f t="shared" si="40"/>
        <v>254.08208375594052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373.09674935534343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2.8284271247461894</v>
      </c>
      <c r="AJ9" s="14">
        <f>AI9*VLOOKUP('Données projet'!$B$10,Paramètres!$A$1:$I$88,3,0)*VLOOKUP('Données projet'!$B$10,Paramètres!$A$1:$I$88,5,0)</f>
        <v>2.6915312519084735</v>
      </c>
      <c r="AK9" s="14">
        <f t="shared" si="35"/>
        <v>1.1053493455514676</v>
      </c>
      <c r="AL9" s="22">
        <f t="shared" si="4"/>
        <v>6.6129003739093966</v>
      </c>
      <c r="AM9" s="62">
        <f t="shared" si="5"/>
        <v>270.61290037390938</v>
      </c>
      <c r="AN9" s="62">
        <f ca="1">AVERAGE(OFFSET($AM$3,0,0,'Données projet'!$E$10+1,1))-AVERAGE(OFFSET($H$3,0,0,'Données projet'!$E$10+1,1))</f>
        <v>509.66893546110458</v>
      </c>
      <c r="AO9" s="62">
        <f t="shared" si="36"/>
        <v>280.1645836141924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</v>
      </c>
      <c r="BD9" s="13">
        <f>IF('Données projet'!$A$88&gt;35,BD8+BC9-BL8,IF(A9&lt;'Données projet'!$A$88,$BA$205^A9,IF(A9='Données projet'!$A$88,'Données projet'!$B$88,BD8+BC9-BL8)))</f>
        <v>5.6237305657104724</v>
      </c>
      <c r="BE9" s="14">
        <f>BD9*VLOOKUP('Données projet'!$B$11,Paramètres!$A$1:$I$88,3,0)*VLOOKUP('Données projet'!$B$11,Paramètres!$A$1:$I$88,5,0)</f>
        <v>3.3629908782948625</v>
      </c>
      <c r="BF9" s="14">
        <f t="shared" si="37"/>
        <v>1.3457577327979455</v>
      </c>
      <c r="BG9" s="22">
        <f t="shared" si="7"/>
        <v>8.2010704976533066</v>
      </c>
      <c r="BH9" s="62">
        <f t="shared" si="8"/>
        <v>272.20107049765329</v>
      </c>
      <c r="BI9" s="62">
        <f ca="1">AVERAGE(OFFSET($BH$3,0,0,'Données projet'!$E$11+1,1))-AVERAGE(OFFSET($H$3,0,0,'Données projet'!$E$11+1,1))</f>
        <v>311.82072478731385</v>
      </c>
      <c r="BJ9" s="62">
        <f t="shared" si="38"/>
        <v>356.36714671797864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6.5</v>
      </c>
      <c r="BY9" s="13">
        <f>IF('Données projet'!$A$114&gt;35,BY8+BX9-CG8,IF(A9&lt;'Données projet'!$A$114,$BV$205^A9,IF(A9='Données projet'!$A$114,'Données projet'!$B$114,BY8+BX9-CG8)))</f>
        <v>4.3070806668370727</v>
      </c>
      <c r="BZ9" s="14">
        <f>BY9*VLOOKUP('Données projet'!$B$12,Paramètres!$A$1:$I$88,3,0)*VLOOKUP('Données projet'!$B$12,Paramètres!$A$1:$I$88,5,0)</f>
        <v>2.0157137520797503</v>
      </c>
      <c r="CA9" s="14">
        <f t="shared" si="39"/>
        <v>0.85614121460888881</v>
      </c>
      <c r="CB9" s="22">
        <f t="shared" si="10"/>
        <v>5.0018140669827131</v>
      </c>
      <c r="CC9" s="62">
        <f t="shared" si="11"/>
        <v>269.00181406698272</v>
      </c>
      <c r="CD9" s="62">
        <f ca="1">AVERAGE(OFFSET($CC$3,0,0,'Données projet'!$E$12+1,1))-AVERAGE(OFFSET($H$3,0,0,'Données projet'!$E$12+1,1))</f>
        <v>218.39403703215032</v>
      </c>
      <c r="CE9" s="62">
        <f t="shared" si="40"/>
        <v>254.08208375594052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373.09674935534343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3.3635856610148567</v>
      </c>
      <c r="AJ10" s="14">
        <f>AI10*VLOOKUP('Données projet'!$B$10,Paramètres!$A$1:$I$88,3,0)*VLOOKUP('Données projet'!$B$10,Paramètres!$A$1:$I$88,5,0)</f>
        <v>3.2007881150217377</v>
      </c>
      <c r="AK10" s="14">
        <f t="shared" si="35"/>
        <v>1.2882409034215325</v>
      </c>
      <c r="AL10" s="22">
        <f t="shared" si="4"/>
        <v>7.8183922071220282</v>
      </c>
      <c r="AM10" s="62">
        <f t="shared" si="5"/>
        <v>273.04061442934426</v>
      </c>
      <c r="AN10" s="62">
        <f ca="1">AVERAGE(OFFSET($AM$3,0,0,'Données projet'!$E$10+1,1))-AVERAGE(OFFSET($H$3,0,0,'Données projet'!$E$10+1,1))</f>
        <v>509.66893546110458</v>
      </c>
      <c r="AO10" s="62">
        <f t="shared" si="36"/>
        <v>280.1645836141924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</v>
      </c>
      <c r="BD10" s="13">
        <f>IF('Données projet'!$A$88&gt;35,BD9+BC10-BL9,IF(A10&lt;'Données projet'!$A$88,$BA$205^A10,IF(A10='Données projet'!$A$88,'Données projet'!$B$88,BD9+BC10-BL9)))</f>
        <v>7.4994357645352743</v>
      </c>
      <c r="BE10" s="14">
        <f>BD10*VLOOKUP('Données projet'!$B$11,Paramètres!$A$1:$I$88,3,0)*VLOOKUP('Données projet'!$B$11,Paramètres!$A$1:$I$88,5,0)</f>
        <v>4.4846625871920942</v>
      </c>
      <c r="BF10" s="14">
        <f t="shared" si="37"/>
        <v>1.7354835151748795</v>
      </c>
      <c r="BG10" s="22">
        <f t="shared" si="7"/>
        <v>10.833421128289144</v>
      </c>
      <c r="BH10" s="62">
        <f t="shared" si="8"/>
        <v>276.05564335051139</v>
      </c>
      <c r="BI10" s="62">
        <f ca="1">AVERAGE(OFFSET($BH$3,0,0,'Données projet'!$E$11+1,1))-AVERAGE(OFFSET($H$3,0,0,'Données projet'!$E$11+1,1))</f>
        <v>311.82072478731385</v>
      </c>
      <c r="BJ10" s="62">
        <f t="shared" si="38"/>
        <v>356.36714671797864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6.5</v>
      </c>
      <c r="BY10" s="13">
        <f>IF('Données projet'!$A$114&gt;35,BY9+BX10-CG9,IF(A10&lt;'Données projet'!$A$114,$BV$205^A10,IF(A10='Données projet'!$A$114,'Données projet'!$B$114,BY9+BX10-CG9)))</f>
        <v>5.4938927031528824</v>
      </c>
      <c r="BZ10" s="14">
        <f>BY10*VLOOKUP('Données projet'!$B$12,Paramètres!$A$1:$I$88,3,0)*VLOOKUP('Données projet'!$B$12,Paramètres!$A$1:$I$88,5,0)</f>
        <v>2.5711417850755489</v>
      </c>
      <c r="CA10" s="14">
        <f t="shared" si="39"/>
        <v>1.0615474753232477</v>
      </c>
      <c r="CB10" s="22">
        <f t="shared" si="10"/>
        <v>6.326933795194571</v>
      </c>
      <c r="CC10" s="62">
        <f t="shared" si="11"/>
        <v>271.54915601741681</v>
      </c>
      <c r="CD10" s="62">
        <f ca="1">AVERAGE(OFFSET($CC$3,0,0,'Données projet'!$E$12+1,1))-AVERAGE(OFFSET($H$3,0,0,'Données projet'!$E$12+1,1))</f>
        <v>218.39403703215032</v>
      </c>
      <c r="CE10" s="62">
        <f t="shared" si="40"/>
        <v>254.08208375594052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373.09674935534343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3.9999999999999982</v>
      </c>
      <c r="AJ11" s="14">
        <f>AI11*VLOOKUP('Données projet'!$B$10,Paramètres!$A$1:$I$88,3,0)*VLOOKUP('Données projet'!$B$10,Paramètres!$A$1:$I$88,5,0)</f>
        <v>3.8063999999999987</v>
      </c>
      <c r="AK11" s="14">
        <f t="shared" si="35"/>
        <v>1.5013937737669318</v>
      </c>
      <c r="AL11" s="22">
        <f t="shared" si="4"/>
        <v>9.2444074893107366</v>
      </c>
      <c r="AM11" s="62">
        <f t="shared" si="5"/>
        <v>275.68885193375519</v>
      </c>
      <c r="AN11" s="62">
        <f ca="1">AVERAGE(OFFSET($AM$3,0,0,'Données projet'!$E$10+1,1))-AVERAGE(OFFSET($H$3,0,0,'Données projet'!$E$10+1,1))</f>
        <v>509.66893546110458</v>
      </c>
      <c r="AO11" s="62">
        <f t="shared" si="36"/>
        <v>280.1645836141924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</v>
      </c>
      <c r="BD11" s="13">
        <f>IF('Données projet'!$A$88&gt;35,BD10+BC11-BL10,IF(A11&lt;'Données projet'!$A$88,$BA$205^A11,IF(A11='Données projet'!$A$88,'Données projet'!$B$88,BD10+BC11-BL10)))</f>
        <v>10.000752370554848</v>
      </c>
      <c r="BE11" s="14">
        <f>BD11*VLOOKUP('Données projet'!$B$11,Paramètres!$A$1:$I$88,3,0)*VLOOKUP('Données projet'!$B$11,Paramètres!$A$1:$I$88,5,0)</f>
        <v>5.9804499175917991</v>
      </c>
      <c r="BF11" s="14">
        <f t="shared" si="37"/>
        <v>2.238072245872778</v>
      </c>
      <c r="BG11" s="22">
        <f t="shared" si="7"/>
        <v>14.313926101367471</v>
      </c>
      <c r="BH11" s="62">
        <f t="shared" si="8"/>
        <v>280.75837054581194</v>
      </c>
      <c r="BI11" s="62">
        <f ca="1">AVERAGE(OFFSET($BH$3,0,0,'Données projet'!$E$11+1,1))-AVERAGE(OFFSET($H$3,0,0,'Données projet'!$E$11+1,1))</f>
        <v>311.82072478731385</v>
      </c>
      <c r="BJ11" s="62">
        <f t="shared" si="38"/>
        <v>356.36714671797864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6.5</v>
      </c>
      <c r="BY11" s="13">
        <f>IF('Données projet'!$A$114&gt;35,BY10+BX11-CG10,IF(A11&lt;'Données projet'!$A$114,$BV$205^A11,IF(A11='Données projet'!$A$114,'Données projet'!$B$114,BY10+BX11-CG10)))</f>
        <v>7.0077296824629558</v>
      </c>
      <c r="BZ11" s="14">
        <f>BY11*VLOOKUP('Données projet'!$B$12,Paramètres!$A$1:$I$88,3,0)*VLOOKUP('Données projet'!$B$12,Paramètres!$A$1:$I$88,5,0)</f>
        <v>3.2796174913926635</v>
      </c>
      <c r="CA11" s="14">
        <f t="shared" si="39"/>
        <v>1.3162350125615154</v>
      </c>
      <c r="CB11" s="22">
        <f t="shared" si="10"/>
        <v>8.0044431110535275</v>
      </c>
      <c r="CC11" s="62">
        <f t="shared" si="11"/>
        <v>274.448887555498</v>
      </c>
      <c r="CD11" s="62">
        <f ca="1">AVERAGE(OFFSET($CC$3,0,0,'Données projet'!$E$12+1,1))-AVERAGE(OFFSET($H$3,0,0,'Données projet'!$E$12+1,1))</f>
        <v>218.39403703215032</v>
      </c>
      <c r="CE11" s="62">
        <f t="shared" si="40"/>
        <v>254.08208375594052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373.09674935534343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4.7568284600108823</v>
      </c>
      <c r="AJ12" s="14">
        <f>AI12*VLOOKUP('Données projet'!$B$10,Paramètres!$A$1:$I$88,3,0)*VLOOKUP('Données projet'!$B$10,Paramètres!$A$1:$I$88,5,0)</f>
        <v>4.5265979625463562</v>
      </c>
      <c r="AK12" s="14">
        <f t="shared" si="35"/>
        <v>1.7498150058106832</v>
      </c>
      <c r="AL12" s="22">
        <f t="shared" si="4"/>
        <v>10.931419253221842</v>
      </c>
      <c r="AM12" s="62">
        <f t="shared" si="5"/>
        <v>278.59808591988855</v>
      </c>
      <c r="AN12" s="62">
        <f ca="1">AVERAGE(OFFSET($AM$3,0,0,'Données projet'!$E$10+1,1))-AVERAGE(OFFSET($H$3,0,0,'Données projet'!$E$10+1,1))</f>
        <v>509.66893546110458</v>
      </c>
      <c r="AO12" s="62">
        <f t="shared" si="36"/>
        <v>280.1645836141924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</v>
      </c>
      <c r="BD12" s="13">
        <f>IF('Données projet'!$A$88&gt;35,BD11+BC12-BL11,IF(A12&lt;'Données projet'!$A$88,$BA$205^A12,IF(A12='Données projet'!$A$88,'Données projet'!$B$88,BD11+BC12-BL11)))</f>
        <v>13.336343041982994</v>
      </c>
      <c r="BE12" s="14">
        <f>BD12*VLOOKUP('Données projet'!$B$11,Paramètres!$A$1:$I$88,3,0)*VLOOKUP('Données projet'!$B$11,Paramètres!$A$1:$I$88,5,0)</f>
        <v>7.9751331391058313</v>
      </c>
      <c r="BF12" s="14">
        <f t="shared" si="37"/>
        <v>2.8862085602935181</v>
      </c>
      <c r="BG12" s="22">
        <f t="shared" si="7"/>
        <v>18.916836793120535</v>
      </c>
      <c r="BH12" s="62">
        <f t="shared" si="8"/>
        <v>286.58350345978721</v>
      </c>
      <c r="BI12" s="62">
        <f ca="1">AVERAGE(OFFSET($BH$3,0,0,'Données projet'!$E$11+1,1))-AVERAGE(OFFSET($H$3,0,0,'Données projet'!$E$11+1,1))</f>
        <v>311.82072478731385</v>
      </c>
      <c r="BJ12" s="62">
        <f t="shared" si="38"/>
        <v>356.36714671797864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6.5</v>
      </c>
      <c r="BY12" s="13">
        <f>IF('Données projet'!$A$114&gt;35,BY11+BX12-CG11,IF(A12&lt;'Données projet'!$A$114,$BV$205^A12,IF(A12='Données projet'!$A$114,'Données projet'!$B$114,BY11+BX12-CG11)))</f>
        <v>8.9387030209544633</v>
      </c>
      <c r="BZ12" s="14">
        <f>BY12*VLOOKUP('Données projet'!$B$12,Paramètres!$A$1:$I$88,3,0)*VLOOKUP('Données projet'!$B$12,Paramètres!$A$1:$I$88,5,0)</f>
        <v>4.1833130138066883</v>
      </c>
      <c r="CA12" s="14">
        <f t="shared" si="39"/>
        <v>1.6320274397197942</v>
      </c>
      <c r="CB12" s="22">
        <f t="shared" si="10"/>
        <v>10.128384623225291</v>
      </c>
      <c r="CC12" s="62">
        <f t="shared" si="11"/>
        <v>277.795051289892</v>
      </c>
      <c r="CD12" s="62">
        <f ca="1">AVERAGE(OFFSET($CC$3,0,0,'Données projet'!$E$12+1,1))-AVERAGE(OFFSET($H$3,0,0,'Données projet'!$E$12+1,1))</f>
        <v>218.39403703215032</v>
      </c>
      <c r="CE12" s="62">
        <f t="shared" si="40"/>
        <v>254.08208375594052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373.09674935534343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5.656854249492377</v>
      </c>
      <c r="AJ13" s="14">
        <f>AI13*VLOOKUP('Données projet'!$B$10,Paramètres!$A$1:$I$88,3,0)*VLOOKUP('Données projet'!$B$10,Paramètres!$A$1:$I$88,5,0)</f>
        <v>5.3830625038169462</v>
      </c>
      <c r="AK13" s="14">
        <f t="shared" si="35"/>
        <v>2.039340117202022</v>
      </c>
      <c r="AL13" s="22">
        <f t="shared" si="4"/>
        <v>12.927351231608034</v>
      </c>
      <c r="AM13" s="62">
        <f t="shared" si="5"/>
        <v>281.8162401204969</v>
      </c>
      <c r="AN13" s="62">
        <f ca="1">AVERAGE(OFFSET($AM$3,0,0,'Données projet'!$E$10+1,1))-AVERAGE(OFFSET($H$3,0,0,'Données projet'!$E$10+1,1))</f>
        <v>509.66893546110458</v>
      </c>
      <c r="AO13" s="62">
        <f t="shared" si="36"/>
        <v>280.1645836141924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</v>
      </c>
      <c r="BD13" s="13">
        <f>IF('Données projet'!$A$88&gt;35,BD12+BC13-BL12,IF(A13&lt;'Données projet'!$A$88,$BA$205^A13,IF(A13='Données projet'!$A$88,'Données projet'!$B$88,BD12+BC13-BL12)))</f>
        <v>17.784466522450305</v>
      </c>
      <c r="BE13" s="14">
        <f>BD13*VLOOKUP('Données projet'!$B$11,Paramètres!$A$1:$I$88,3,0)*VLOOKUP('Données projet'!$B$11,Paramètres!$A$1:$I$88,5,0)</f>
        <v>10.635110980425283</v>
      </c>
      <c r="BF13" s="14">
        <f t="shared" si="37"/>
        <v>3.7220424268578798</v>
      </c>
      <c r="BG13" s="22">
        <f t="shared" si="7"/>
        <v>25.00537551768484</v>
      </c>
      <c r="BH13" s="62">
        <f t="shared" si="8"/>
        <v>293.89426440657371</v>
      </c>
      <c r="BI13" s="62">
        <f ca="1">AVERAGE(OFFSET($BH$3,0,0,'Données projet'!$E$11+1,1))-AVERAGE(OFFSET($H$3,0,0,'Données projet'!$E$11+1,1))</f>
        <v>311.82072478731385</v>
      </c>
      <c r="BJ13" s="62">
        <f t="shared" si="38"/>
        <v>356.36714671797864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6.5</v>
      </c>
      <c r="BY13" s="13">
        <f>IF('Données projet'!$A$114&gt;35,BY12+BX13-CG12,IF(A13&lt;'Données projet'!$A$114,$BV$205^A13,IF(A13='Données projet'!$A$114,'Données projet'!$B$114,BY12+BX13-CG12)))</f>
        <v>11.401754250991377</v>
      </c>
      <c r="BZ13" s="14">
        <f>BY13*VLOOKUP('Données projet'!$B$12,Paramètres!$A$1:$I$88,3,0)*VLOOKUP('Données projet'!$B$12,Paramètres!$A$1:$I$88,5,0)</f>
        <v>5.3360209894639645</v>
      </c>
      <c r="CA13" s="14">
        <f t="shared" si="39"/>
        <v>2.0235851034040682</v>
      </c>
      <c r="CB13" s="22">
        <f t="shared" si="10"/>
        <v>12.817980611745156</v>
      </c>
      <c r="CC13" s="62">
        <f t="shared" si="11"/>
        <v>281.70686950063401</v>
      </c>
      <c r="CD13" s="62">
        <f ca="1">AVERAGE(OFFSET($CC$3,0,0,'Données projet'!$E$12+1,1))-AVERAGE(OFFSET($H$3,0,0,'Données projet'!$E$12+1,1))</f>
        <v>218.39403703215032</v>
      </c>
      <c r="CE13" s="62">
        <f t="shared" si="40"/>
        <v>254.08208375594052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373.09674935534343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IF('Données projet'!$A$62&gt;35,AI13+AH14-AQ13,IF(A14&lt;'Données projet'!$A$62,$AF$205^A14,IF(A14='Données projet'!$A$62,'Données projet'!$B$62,AI13+AH14-AQ13)))</f>
        <v>6.7271713220297125</v>
      </c>
      <c r="AJ14" s="14">
        <f>AI14*VLOOKUP('Données projet'!$B$10,Paramètres!$A$1:$I$88,3,0)*VLOOKUP('Données projet'!$B$10,Paramètres!$A$1:$I$88,5,0)</f>
        <v>6.4015762300434744</v>
      </c>
      <c r="AK14" s="14">
        <f t="shared" si="35"/>
        <v>2.3767701727433463</v>
      </c>
      <c r="AL14" s="22">
        <f t="shared" si="4"/>
        <v>15.288953318187046</v>
      </c>
      <c r="AM14" s="62">
        <f t="shared" si="5"/>
        <v>285.4000644292982</v>
      </c>
      <c r="AN14" s="62">
        <f ca="1">AVERAGE(OFFSET($AM$3,0,0,'Données projet'!$E$10+1,1))-AVERAGE(OFFSET($H$3,0,0,'Données projet'!$E$10+1,1))</f>
        <v>509.66893546110458</v>
      </c>
      <c r="AO14" s="62">
        <f t="shared" si="36"/>
        <v>280.1645836141924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</v>
      </c>
      <c r="BD14" s="13">
        <f>IF('Données projet'!$A$88&gt;35,BD13+BC14-BL13,IF(A14&lt;'Données projet'!$A$88,$BA$205^A14,IF(A14='Données projet'!$A$88,'Données projet'!$B$88,BD13+BC14-BL13)))</f>
        <v>23.716190299880484</v>
      </c>
      <c r="BE14" s="14">
        <f>BD14*VLOOKUP('Données projet'!$B$11,Paramètres!$A$1:$I$88,3,0)*VLOOKUP('Données projet'!$B$11,Paramètres!$A$1:$I$88,5,0)</f>
        <v>14.182281799328532</v>
      </c>
      <c r="BF14" s="14">
        <f t="shared" si="37"/>
        <v>4.7999302676592546</v>
      </c>
      <c r="BG14" s="22">
        <f t="shared" si="7"/>
        <v>33.060686016670395</v>
      </c>
      <c r="BH14" s="62">
        <f t="shared" si="8"/>
        <v>303.17179712778153</v>
      </c>
      <c r="BI14" s="62">
        <f ca="1">AVERAGE(OFFSET($BH$3,0,0,'Données projet'!$E$11+1,1))-AVERAGE(OFFSET($H$3,0,0,'Données projet'!$E$11+1,1))</f>
        <v>311.82072478731385</v>
      </c>
      <c r="BJ14" s="62">
        <f t="shared" si="38"/>
        <v>356.36714671797864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6.5</v>
      </c>
      <c r="BY14" s="13">
        <f>IF('Données projet'!$A$114&gt;35,BY13+BX14-CG13,IF(A14&lt;'Données projet'!$A$114,$BV$205^A14,IF(A14='Données projet'!$A$114,'Données projet'!$B$114,BY13+BX14-CG13)))</f>
        <v>14.543496936328317</v>
      </c>
      <c r="BZ14" s="14">
        <f>BY14*VLOOKUP('Données projet'!$B$12,Paramètres!$A$1:$I$88,3,0)*VLOOKUP('Données projet'!$B$12,Paramètres!$A$1:$I$88,5,0)</f>
        <v>6.8063565662016519</v>
      </c>
      <c r="CA14" s="14">
        <f t="shared" si="39"/>
        <v>2.5090856753131003</v>
      </c>
      <c r="CB14" s="22">
        <f t="shared" si="10"/>
        <v>16.224395237304858</v>
      </c>
      <c r="CC14" s="62">
        <f t="shared" si="11"/>
        <v>286.335506348416</v>
      </c>
      <c r="CD14" s="62">
        <f ca="1">AVERAGE(OFFSET($CC$3,0,0,'Données projet'!$E$12+1,1))-AVERAGE(OFFSET($H$3,0,0,'Données projet'!$E$12+1,1))</f>
        <v>218.39403703215032</v>
      </c>
      <c r="CE14" s="62">
        <f t="shared" si="40"/>
        <v>254.08208375594052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373.09674935534343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IF('Données projet'!$A$62&gt;35,AI14+AH15-AQ14,IF(A15&lt;'Données projet'!$A$62,$AF$205^A15,IF(A15='Données projet'!$A$62,'Données projet'!$B$62,AI14+AH15-AQ14)))</f>
        <v>7.9999999999999947</v>
      </c>
      <c r="AJ15" s="14">
        <f>AI15*VLOOKUP('Données projet'!$B$10,Paramètres!$A$1:$I$88,3,0)*VLOOKUP('Données projet'!$B$10,Paramètres!$A$1:$I$88,5,0)</f>
        <v>7.6127999999999947</v>
      </c>
      <c r="AK15" s="14">
        <f t="shared" si="35"/>
        <v>2.7700315442197656</v>
      </c>
      <c r="AL15" s="22">
        <f t="shared" si="4"/>
        <v>18.083431606182749</v>
      </c>
      <c r="AM15" s="62">
        <f t="shared" si="5"/>
        <v>289.41676493951604</v>
      </c>
      <c r="AN15" s="62">
        <f ca="1">AVERAGE(OFFSET($AM$3,0,0,'Données projet'!$E$10+1,1))-AVERAGE(OFFSET($H$3,0,0,'Données projet'!$E$10+1,1))</f>
        <v>509.66893546110458</v>
      </c>
      <c r="AO15" s="62">
        <f t="shared" si="36"/>
        <v>280.1645836141924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</v>
      </c>
      <c r="BD15" s="13">
        <f>IF('Données projet'!$A$88&gt;35,BD14+BC15-BL14,IF(A15&lt;'Données projet'!$A$88,$BA$205^A15,IF(A15='Données projet'!$A$88,'Données projet'!$B$88,BD14+BC15-BL14)))</f>
        <v>31.626345475706227</v>
      </c>
      <c r="BE15" s="14">
        <f>BD15*VLOOKUP('Données projet'!$B$11,Paramètres!$A$1:$I$88,3,0)*VLOOKUP('Données projet'!$B$11,Paramètres!$A$1:$I$88,5,0)</f>
        <v>18.912554594472326</v>
      </c>
      <c r="BF15" s="14">
        <f t="shared" si="37"/>
        <v>6.1899698961360441</v>
      </c>
      <c r="BG15" s="22">
        <f t="shared" si="7"/>
        <v>43.720230154476248</v>
      </c>
      <c r="BH15" s="62">
        <f t="shared" si="8"/>
        <v>315.05356348780958</v>
      </c>
      <c r="BI15" s="62">
        <f ca="1">AVERAGE(OFFSET($BH$3,0,0,'Données projet'!$E$11+1,1))-AVERAGE(OFFSET($H$3,0,0,'Données projet'!$E$11+1,1))</f>
        <v>311.82072478731385</v>
      </c>
      <c r="BJ15" s="62">
        <f t="shared" si="38"/>
        <v>356.36714671797864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6.5</v>
      </c>
      <c r="BY15" s="13">
        <f>IF('Données projet'!$A$114&gt;35,BY14+BX15-CG14,IF(A15&lt;'Données projet'!$A$114,$BV$205^A15,IF(A15='Données projet'!$A$114,'Données projet'!$B$114,BY14+BX15-CG14)))</f>
        <v>18.550943870641678</v>
      </c>
      <c r="BZ15" s="14">
        <f>BY15*VLOOKUP('Données projet'!$B$12,Paramètres!$A$1:$I$88,3,0)*VLOOKUP('Données projet'!$B$12,Paramètres!$A$1:$I$88,5,0)</f>
        <v>8.681841731460306</v>
      </c>
      <c r="CA15" s="14">
        <f t="shared" si="39"/>
        <v>3.1110680324099604</v>
      </c>
      <c r="CB15" s="22">
        <f t="shared" si="10"/>
        <v>20.539317838740715</v>
      </c>
      <c r="CC15" s="62">
        <f t="shared" si="11"/>
        <v>291.87265117207403</v>
      </c>
      <c r="CD15" s="62">
        <f ca="1">AVERAGE(OFFSET($CC$3,0,0,'Données projet'!$E$12+1,1))-AVERAGE(OFFSET($H$3,0,0,'Données projet'!$E$12+1,1))</f>
        <v>218.39403703215032</v>
      </c>
      <c r="CE15" s="62">
        <f t="shared" si="40"/>
        <v>254.08208375594052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373.09674935534343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IF('Données projet'!$A$62&gt;35,AI15+AH16-AQ15,IF(A16&lt;'Données projet'!$A$62,$AF$205^A16,IF(A16='Données projet'!$A$62,'Données projet'!$B$62,AI15+AH16-AQ15)))</f>
        <v>9.5136569200217629</v>
      </c>
      <c r="AJ16" s="14">
        <f>AI16*VLOOKUP('Données projet'!$B$10,Paramètres!$A$1:$I$88,3,0)*VLOOKUP('Données projet'!$B$10,Paramètres!$A$1:$I$88,5,0)</f>
        <v>9.0531959250927105</v>
      </c>
      <c r="AK16" s="14">
        <f t="shared" si="35"/>
        <v>3.2283621041558384</v>
      </c>
      <c r="AL16" s="22">
        <f t="shared" si="4"/>
        <v>21.390380234274556</v>
      </c>
      <c r="AM16" s="62">
        <f t="shared" si="5"/>
        <v>293.94593578983012</v>
      </c>
      <c r="AN16" s="62">
        <f ca="1">AVERAGE(OFFSET($AM$3,0,0,'Données projet'!$E$10+1,1))-AVERAGE(OFFSET($H$3,0,0,'Données projet'!$E$10+1,1))</f>
        <v>509.66893546110458</v>
      </c>
      <c r="AO16" s="62">
        <f t="shared" si="36"/>
        <v>280.1645836141924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</v>
      </c>
      <c r="BD16" s="13">
        <f>IF('Données projet'!$A$88&gt;35,BD15+BC16-BL15,IF(A16&lt;'Données projet'!$A$88,$BA$205^A16,IF(A16='Données projet'!$A$88,'Données projet'!$B$88,BD15+BC16-BL15)))</f>
        <v>42.174806134599301</v>
      </c>
      <c r="BE16" s="14">
        <f>BD16*VLOOKUP('Données projet'!$B$11,Paramètres!$A$1:$I$88,3,0)*VLOOKUP('Données projet'!$B$11,Paramètres!$A$1:$I$88,5,0)</f>
        <v>25.22053406849038</v>
      </c>
      <c r="BF16" s="14">
        <f t="shared" si="37"/>
        <v>7.9825591578345199</v>
      </c>
      <c r="BG16" s="22">
        <f t="shared" si="7"/>
        <v>57.828720702515874</v>
      </c>
      <c r="BH16" s="62">
        <f t="shared" si="8"/>
        <v>330.3842762580714</v>
      </c>
      <c r="BI16" s="62">
        <f ca="1">AVERAGE(OFFSET($BH$3,0,0,'Données projet'!$E$11+1,1))-AVERAGE(OFFSET($H$3,0,0,'Données projet'!$E$11+1,1))</f>
        <v>311.82072478731385</v>
      </c>
      <c r="BJ16" s="62">
        <f t="shared" si="38"/>
        <v>356.36714671797864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6.5</v>
      </c>
      <c r="BY16" s="13">
        <f>IF('Données projet'!$A$114&gt;35,BY15+BX16-CG15,IF(A16&lt;'Données projet'!$A$114,$BV$205^A16,IF(A16='Données projet'!$A$114,'Données projet'!$B$114,BY15+BX16-CG15)))</f>
        <v>23.662639047427042</v>
      </c>
      <c r="BZ16" s="14">
        <f>BY16*VLOOKUP('Données projet'!$B$12,Paramètres!$A$1:$I$88,3,0)*VLOOKUP('Données projet'!$B$12,Paramètres!$A$1:$I$88,5,0)</f>
        <v>11.074115074195856</v>
      </c>
      <c r="CA16" s="14">
        <f t="shared" si="39"/>
        <v>3.8574786016724607</v>
      </c>
      <c r="CB16" s="22">
        <f t="shared" si="10"/>
        <v>26.005858985470649</v>
      </c>
      <c r="CC16" s="62">
        <f t="shared" si="11"/>
        <v>298.56141454102618</v>
      </c>
      <c r="CD16" s="62">
        <f ca="1">AVERAGE(OFFSET($CC$3,0,0,'Données projet'!$E$12+1,1))-AVERAGE(OFFSET($H$3,0,0,'Données projet'!$E$12+1,1))</f>
        <v>218.39403703215032</v>
      </c>
      <c r="CE16" s="62">
        <f t="shared" si="40"/>
        <v>254.08208375594052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373.09674935534343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IF('Données projet'!$A$62&gt;35,AI16+AH17-AQ16,IF(A17&lt;'Données projet'!$A$62,$AF$205^A17,IF(A17='Données projet'!$A$62,'Données projet'!$B$62,AI16+AH17-AQ16)))</f>
        <v>11.313708498984752</v>
      </c>
      <c r="AJ17" s="14">
        <f>AI17*VLOOKUP('Données projet'!$B$10,Paramètres!$A$1:$I$88,3,0)*VLOOKUP('Données projet'!$B$10,Paramètres!$A$1:$I$88,5,0)</f>
        <v>10.766125007633891</v>
      </c>
      <c r="AK17" s="14">
        <f t="shared" si="35"/>
        <v>3.7625282272679526</v>
      </c>
      <c r="AL17" s="22">
        <f t="shared" si="4"/>
        <v>25.304071050787371</v>
      </c>
      <c r="AM17" s="62">
        <f t="shared" si="5"/>
        <v>299.08184882856517</v>
      </c>
      <c r="AN17" s="62">
        <f ca="1">AVERAGE(OFFSET($AM$3,0,0,'Données projet'!$E$10+1,1))-AVERAGE(OFFSET($H$3,0,0,'Données projet'!$E$10+1,1))</f>
        <v>509.66893546110458</v>
      </c>
      <c r="AO17" s="62">
        <f t="shared" si="36"/>
        <v>280.1645836141924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</v>
      </c>
      <c r="BD17" s="13">
        <f>IF('Données projet'!$A$88&gt;35,BD16+BC17-BL16,IF(A17&lt;'Données projet'!$A$88,$BA$205^A17,IF(A17='Données projet'!$A$88,'Données projet'!$B$88,BD16+BC17-BL16)))</f>
        <v>56.24153678639076</v>
      </c>
      <c r="BE17" s="14">
        <f>BD17*VLOOKUP('Données projet'!$B$11,Paramètres!$A$1:$I$88,3,0)*VLOOKUP('Données projet'!$B$11,Paramètres!$A$1:$I$88,5,0)</f>
        <v>33.632438998261676</v>
      </c>
      <c r="BF17" s="14">
        <f t="shared" si="37"/>
        <v>10.294274734373817</v>
      </c>
      <c r="BG17" s="22">
        <f t="shared" si="7"/>
        <v>76.505693084340137</v>
      </c>
      <c r="BH17" s="62">
        <f t="shared" si="8"/>
        <v>350.28347086211789</v>
      </c>
      <c r="BI17" s="62">
        <f ca="1">AVERAGE(OFFSET($BH$3,0,0,'Données projet'!$E$11+1,1))-AVERAGE(OFFSET($H$3,0,0,'Données projet'!$E$11+1,1))</f>
        <v>311.82072478731385</v>
      </c>
      <c r="BJ17" s="62">
        <f t="shared" si="38"/>
        <v>356.36714671797864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6.5</v>
      </c>
      <c r="BY17" s="13">
        <f>IF('Données projet'!$A$114&gt;35,BY16+BX17-CG16,IF(A17&lt;'Données projet'!$A$114,$BV$205^A17,IF(A17='Données projet'!$A$114,'Données projet'!$B$114,BY16+BX17-CG16)))</f>
        <v>30.182857033756495</v>
      </c>
      <c r="BZ17" s="14">
        <f>BY17*VLOOKUP('Données projet'!$B$12,Paramètres!$A$1:$I$88,3,0)*VLOOKUP('Données projet'!$B$12,Paramètres!$A$1:$I$88,5,0)</f>
        <v>14.125577091798039</v>
      </c>
      <c r="CA17" s="14">
        <f t="shared" si="39"/>
        <v>4.7829687449278158</v>
      </c>
      <c r="CB17" s="22">
        <f t="shared" si="10"/>
        <v>32.932383998964205</v>
      </c>
      <c r="CC17" s="62">
        <f t="shared" si="11"/>
        <v>306.71016177674198</v>
      </c>
      <c r="CD17" s="62">
        <f ca="1">AVERAGE(OFFSET($CC$3,0,0,'Données projet'!$E$12+1,1))-AVERAGE(OFFSET($H$3,0,0,'Données projet'!$E$12+1,1))</f>
        <v>218.39403703215032</v>
      </c>
      <c r="CE17" s="62">
        <f t="shared" si="40"/>
        <v>254.08208375594052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373.09674935534343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IF('Données projet'!$A$62&gt;35,AI17+AH18-AQ17,IF(A18&lt;'Données projet'!$A$62,$AF$205^A18,IF(A18='Données projet'!$A$62,'Données projet'!$B$62,AI17+AH18-AQ17)))</f>
        <v>13.454342644059421</v>
      </c>
      <c r="AJ18" s="14">
        <f>AI18*VLOOKUP('Données projet'!$B$10,Paramètres!$A$1:$I$88,3,0)*VLOOKUP('Données projet'!$B$10,Paramètres!$A$1:$I$88,5,0)</f>
        <v>12.803152460086945</v>
      </c>
      <c r="AK18" s="14">
        <f t="shared" si="35"/>
        <v>4.3850776970664018</v>
      </c>
      <c r="AL18" s="22">
        <f t="shared" si="4"/>
        <v>29.936167523708747</v>
      </c>
      <c r="AM18" s="62">
        <f t="shared" si="5"/>
        <v>304.93616752370872</v>
      </c>
      <c r="AN18" s="62">
        <f ca="1">AVERAGE(OFFSET($AM$3,0,0,'Données projet'!$E$10+1,1))-AVERAGE(OFFSET($H$3,0,0,'Données projet'!$E$10+1,1))</f>
        <v>509.66893546110458</v>
      </c>
      <c r="AO18" s="62">
        <f t="shared" si="36"/>
        <v>280.1645836141924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75</v>
      </c>
      <c r="BB18" s="13">
        <f>VLOOKUP(A18,'Données projet'!$A$87:$I$107,9,0)</f>
        <v>5</v>
      </c>
      <c r="BC18" s="13">
        <f t="array" ref="BC18">INDEX(BB:BB,MIN(IF(ISNUMBER(BB18:BB214),ROW(BB18:BB214),"")))</f>
        <v>5</v>
      </c>
      <c r="BD18" s="13">
        <f>IF('Données projet'!$A$88&gt;35,BD17+BC18-BL17,IF(A18&lt;'Données projet'!$A$88,$BA$205^A18,IF(A18='Données projet'!$A$88,'Données projet'!$B$88,BD17+BC18-BL17)))</f>
        <v>75</v>
      </c>
      <c r="BE18" s="14">
        <f>BD18*VLOOKUP('Données projet'!$B$11,Paramètres!$A$1:$I$88,3,0)*VLOOKUP('Données projet'!$B$11,Paramètres!$A$1:$I$88,5,0)</f>
        <v>44.85</v>
      </c>
      <c r="BF18" s="14">
        <f t="shared" si="37"/>
        <v>13.275453424327006</v>
      </c>
      <c r="BG18" s="22">
        <f t="shared" si="7"/>
        <v>101.2351647140362</v>
      </c>
      <c r="BH18" s="62">
        <f t="shared" si="8"/>
        <v>376.23516471403622</v>
      </c>
      <c r="BI18" s="62">
        <f ca="1">AVERAGE(OFFSET($BH$3,0,0,'Données projet'!$E$11+1,1))-AVERAGE(OFFSET($H$3,0,0,'Données projet'!$E$11+1,1))</f>
        <v>311.82072478731385</v>
      </c>
      <c r="BJ18" s="62">
        <f t="shared" si="38"/>
        <v>356.36714671797864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0.25200000000000006</v>
      </c>
      <c r="BO18" s="17">
        <f>IF(ISNA(VLOOKUP(A18,'Données projet'!$A$87:$I$107,7,0)),0%,VLOOKUP(A18,'Données projet'!$A$87:$I$107,7,0))</f>
        <v>0.44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6.5</v>
      </c>
      <c r="BY18" s="13">
        <f>IF('Données projet'!$A$114&gt;35,BY17+BX18-CG17,IF(A18&lt;'Données projet'!$A$114,$BV$205^A18,IF(A18='Données projet'!$A$114,'Données projet'!$B$114,BY17+BX18-CG17)))</f>
        <v>38.499714968151096</v>
      </c>
      <c r="BZ18" s="14">
        <f>BY18*VLOOKUP('Données projet'!$B$12,Paramètres!$A$1:$I$88,3,0)*VLOOKUP('Données projet'!$B$12,Paramètres!$A$1:$I$88,5,0)</f>
        <v>18.017866605094714</v>
      </c>
      <c r="CA18" s="14">
        <f t="shared" si="39"/>
        <v>5.9305034135608254</v>
      </c>
      <c r="CB18" s="22">
        <f t="shared" si="10"/>
        <v>41.71007778249173</v>
      </c>
      <c r="CC18" s="62">
        <f t="shared" si="11"/>
        <v>316.71007778249174</v>
      </c>
      <c r="CD18" s="62">
        <f ca="1">AVERAGE(OFFSET($CC$3,0,0,'Données projet'!$E$12+1,1))-AVERAGE(OFFSET($H$3,0,0,'Données projet'!$E$12+1,1))</f>
        <v>218.39403703215032</v>
      </c>
      <c r="CE18" s="62">
        <f t="shared" si="40"/>
        <v>254.08208375594052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373.09674935534343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IF('Données projet'!$A$62&gt;35,AI18+AH19-AQ18,IF(A19&lt;'Données projet'!$A$62,$AF$205^A19,IF(A19='Données projet'!$A$62,'Données projet'!$B$62,AI18+AH19-AQ18)))</f>
        <v>15.999999999999986</v>
      </c>
      <c r="AJ19" s="14">
        <f>AI19*VLOOKUP('Données projet'!$B$10,Paramètres!$A$1:$I$88,3,0)*VLOOKUP('Données projet'!$B$10,Paramètres!$A$1:$I$88,5,0)</f>
        <v>15.225599999999986</v>
      </c>
      <c r="AK19" s="14">
        <f t="shared" si="35"/>
        <v>5.1106344584879499</v>
      </c>
      <c r="AL19" s="22">
        <f t="shared" si="4"/>
        <v>35.418941681866485</v>
      </c>
      <c r="AM19" s="62">
        <f t="shared" si="5"/>
        <v>311.64116390408873</v>
      </c>
      <c r="AN19" s="62">
        <f ca="1">AVERAGE(OFFSET($AM$3,0,0,'Données projet'!$E$10+1,1))-AVERAGE(OFFSET($H$3,0,0,'Données projet'!$E$10+1,1))</f>
        <v>509.66893546110458</v>
      </c>
      <c r="AO19" s="62">
        <f t="shared" si="36"/>
        <v>280.1645836141924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15.4</v>
      </c>
      <c r="BD19" s="13">
        <f>IF('Données projet'!$A$88&gt;35,BD18+BC19-BL18,IF(A19&lt;'Données projet'!$A$88,$BA$205^A19,IF(A19='Données projet'!$A$88,'Données projet'!$B$88,BD18+BC19-BL18)))</f>
        <v>90.4</v>
      </c>
      <c r="BE19" s="14">
        <f>BD19*VLOOKUP('Données projet'!$B$11,Paramètres!$A$1:$I$88,3,0)*VLOOKUP('Données projet'!$B$11,Paramètres!$A$1:$I$88,5,0)</f>
        <v>54.059200000000004</v>
      </c>
      <c r="BF19" s="14">
        <f t="shared" si="37"/>
        <v>15.657256135361452</v>
      </c>
      <c r="BG19" s="22">
        <f t="shared" si="7"/>
        <v>121.42282776908787</v>
      </c>
      <c r="BH19" s="62">
        <f t="shared" si="8"/>
        <v>397.64504999131009</v>
      </c>
      <c r="BI19" s="62">
        <f ca="1">AVERAGE(OFFSET($BH$3,0,0,'Données projet'!$E$11+1,1))-AVERAGE(OFFSET($H$3,0,0,'Données projet'!$E$11+1,1))</f>
        <v>311.82072478731385</v>
      </c>
      <c r="BJ19" s="62">
        <f t="shared" si="38"/>
        <v>356.36714671797864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6.5</v>
      </c>
      <c r="BY19" s="13">
        <f>IF('Données projet'!$A$114&gt;35,BY18+BX19-CG18,IF(A19&lt;'Données projet'!$A$114,$BV$205^A19,IF(A19='Données projet'!$A$114,'Données projet'!$B$114,BY18+BX19-CG18)))</f>
        <v>49.108275302472357</v>
      </c>
      <c r="BZ19" s="14">
        <f>BY19*VLOOKUP('Données projet'!$B$12,Paramètres!$A$1:$I$88,3,0)*VLOOKUP('Données projet'!$B$12,Paramètres!$A$1:$I$88,5,0)</f>
        <v>22.982672841557061</v>
      </c>
      <c r="CA19" s="14">
        <f t="shared" si="39"/>
        <v>7.3533557532764968</v>
      </c>
      <c r="CB19" s="22">
        <f t="shared" si="10"/>
        <v>52.835249802668443</v>
      </c>
      <c r="CC19" s="62">
        <f t="shared" si="11"/>
        <v>329.05747202489067</v>
      </c>
      <c r="CD19" s="62">
        <f ca="1">AVERAGE(OFFSET($CC$3,0,0,'Données projet'!$E$12+1,1))-AVERAGE(OFFSET($H$3,0,0,'Données projet'!$E$12+1,1))</f>
        <v>218.39403703215032</v>
      </c>
      <c r="CE19" s="62">
        <f t="shared" si="40"/>
        <v>254.08208375594052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373.09674935534343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IF('Données projet'!$A$62&gt;35,AI19+AH20-AQ19,IF(A20&lt;'Données projet'!$A$62,$AF$205^A20,IF(A20='Données projet'!$A$62,'Données projet'!$B$62,AI19+AH20-AQ19)))</f>
        <v>19.027313840043519</v>
      </c>
      <c r="AJ20" s="14">
        <f>AI20*VLOOKUP('Données projet'!$B$10,Paramètres!$A$1:$I$88,3,0)*VLOOKUP('Données projet'!$B$10,Paramètres!$A$1:$I$88,5,0)</f>
        <v>18.106391850185414</v>
      </c>
      <c r="AK20" s="14">
        <f t="shared" si="35"/>
        <v>5.9562421404203727</v>
      </c>
      <c r="AL20" s="22">
        <f t="shared" si="4"/>
        <v>41.909087533638413</v>
      </c>
      <c r="AM20" s="62">
        <f t="shared" si="5"/>
        <v>319.35353197808286</v>
      </c>
      <c r="AN20" s="62">
        <f ca="1">AVERAGE(OFFSET($AM$3,0,0,'Données projet'!$E$10+1,1))-AVERAGE(OFFSET($H$3,0,0,'Données projet'!$E$10+1,1))</f>
        <v>509.66893546110458</v>
      </c>
      <c r="AO20" s="62">
        <f t="shared" si="36"/>
        <v>280.1645836141924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15.4</v>
      </c>
      <c r="BD20" s="13">
        <f>IF('Données projet'!$A$88&gt;35,BD19+BC20-BL19,IF(A20&lt;'Données projet'!$A$88,$BA$205^A20,IF(A20='Données projet'!$A$88,'Données projet'!$B$88,BD19+BC20-BL19)))</f>
        <v>105.80000000000001</v>
      </c>
      <c r="BE20" s="14">
        <f>BD20*VLOOKUP('Données projet'!$B$11,Paramètres!$A$1:$I$88,3,0)*VLOOKUP('Données projet'!$B$11,Paramètres!$A$1:$I$88,5,0)</f>
        <v>63.268400000000014</v>
      </c>
      <c r="BF20" s="14">
        <f t="shared" si="37"/>
        <v>17.992054875474441</v>
      </c>
      <c r="BG20" s="22">
        <f t="shared" si="7"/>
        <v>141.52862557478466</v>
      </c>
      <c r="BH20" s="62">
        <f t="shared" si="8"/>
        <v>418.97307001922911</v>
      </c>
      <c r="BI20" s="62">
        <f ca="1">AVERAGE(OFFSET($BH$3,0,0,'Données projet'!$E$11+1,1))-AVERAGE(OFFSET($H$3,0,0,'Données projet'!$E$11+1,1))</f>
        <v>311.82072478731385</v>
      </c>
      <c r="BJ20" s="62">
        <f t="shared" si="38"/>
        <v>356.36714671797864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6.5</v>
      </c>
      <c r="BY20" s="13">
        <f>IF('Données projet'!$A$114&gt;35,BY19+BX20-CG19,IF(A20&lt;'Données projet'!$A$114,$BV$205^A20,IF(A20='Données projet'!$A$114,'Données projet'!$B$114,BY19+BX20-CG19)))</f>
        <v>62.640014482663886</v>
      </c>
      <c r="BZ20" s="14">
        <f>BY20*VLOOKUP('Données projet'!$B$12,Paramètres!$A$1:$I$88,3,0)*VLOOKUP('Données projet'!$B$12,Paramètres!$A$1:$I$88,5,0)</f>
        <v>29.315526777886699</v>
      </c>
      <c r="CA20" s="14">
        <f t="shared" si="39"/>
        <v>9.1175802564420785</v>
      </c>
      <c r="CB20" s="22">
        <f t="shared" si="10"/>
        <v>66.93766141812263</v>
      </c>
      <c r="CC20" s="62">
        <f t="shared" si="11"/>
        <v>344.38210586256707</v>
      </c>
      <c r="CD20" s="62">
        <f ca="1">AVERAGE(OFFSET($CC$3,0,0,'Données projet'!$E$12+1,1))-AVERAGE(OFFSET($H$3,0,0,'Données projet'!$E$12+1,1))</f>
        <v>218.39403703215032</v>
      </c>
      <c r="CE20" s="62">
        <f t="shared" si="40"/>
        <v>254.08208375594052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373.09674935534343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IF('Données projet'!$A$62&gt;35,AI20+AH21-AQ20,IF(A21&lt;'Données projet'!$A$62,$AF$205^A21,IF(A21='Données projet'!$A$62,'Données projet'!$B$62,AI20+AH21-AQ20)))</f>
        <v>22.627416997969497</v>
      </c>
      <c r="AJ21" s="14">
        <f>AI21*VLOOKUP('Données projet'!$B$10,Paramètres!$A$1:$I$88,3,0)*VLOOKUP('Données projet'!$B$10,Paramètres!$A$1:$I$88,5,0)</f>
        <v>21.532250015267774</v>
      </c>
      <c r="AK21" s="14">
        <f t="shared" si="35"/>
        <v>6.9417644176053512</v>
      </c>
      <c r="AL21" s="22">
        <f t="shared" si="4"/>
        <v>49.592241803920693</v>
      </c>
      <c r="AM21" s="62">
        <f t="shared" si="5"/>
        <v>328.25890847058736</v>
      </c>
      <c r="AN21" s="62">
        <f ca="1">AVERAGE(OFFSET($AM$3,0,0,'Données projet'!$E$10+1,1))-AVERAGE(OFFSET($H$3,0,0,'Données projet'!$E$10+1,1))</f>
        <v>509.66893546110458</v>
      </c>
      <c r="AO21" s="62">
        <f t="shared" si="36"/>
        <v>280.1645836141924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15.4</v>
      </c>
      <c r="BD21" s="13">
        <f>IF('Données projet'!$A$88&gt;35,BD20+BC21-BL20,IF(A21&lt;'Données projet'!$A$88,$BA$205^A21,IF(A21='Données projet'!$A$88,'Données projet'!$B$88,BD20+BC21-BL20)))</f>
        <v>121.20000000000002</v>
      </c>
      <c r="BE21" s="14">
        <f>BD21*VLOOKUP('Données projet'!$B$11,Paramètres!$A$1:$I$88,3,0)*VLOOKUP('Données projet'!$B$11,Paramètres!$A$1:$I$88,5,0)</f>
        <v>72.47760000000001</v>
      </c>
      <c r="BF21" s="14">
        <f t="shared" si="37"/>
        <v>20.287481925986448</v>
      </c>
      <c r="BG21" s="22">
        <f t="shared" si="7"/>
        <v>161.5658510210931</v>
      </c>
      <c r="BH21" s="62">
        <f t="shared" si="8"/>
        <v>440.23251768775981</v>
      </c>
      <c r="BI21" s="62">
        <f ca="1">AVERAGE(OFFSET($BH$3,0,0,'Données projet'!$E$11+1,1))-AVERAGE(OFFSET($H$3,0,0,'Données projet'!$E$11+1,1))</f>
        <v>311.82072478731385</v>
      </c>
      <c r="BJ21" s="62">
        <f t="shared" si="38"/>
        <v>356.36714671797864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6.5</v>
      </c>
      <c r="BY21" s="13">
        <f>IF('Données projet'!$A$114&gt;35,BY20+BX21-CG20,IF(A21&lt;'Données projet'!$A$114,$BV$205^A21,IF(A21='Données projet'!$A$114,'Données projet'!$B$114,BY20+BX21-CG20)))</f>
        <v>79.900411696820456</v>
      </c>
      <c r="BZ21" s="14">
        <f>BY21*VLOOKUP('Données projet'!$B$12,Paramètres!$A$1:$I$88,3,0)*VLOOKUP('Données projet'!$B$12,Paramètres!$A$1:$I$88,5,0)</f>
        <v>37.393392674111972</v>
      </c>
      <c r="CA21" s="14">
        <f t="shared" si="39"/>
        <v>11.305079275624784</v>
      </c>
      <c r="CB21" s="22">
        <f t="shared" si="10"/>
        <v>84.816505312458176</v>
      </c>
      <c r="CC21" s="62">
        <f t="shared" si="11"/>
        <v>363.48317197912485</v>
      </c>
      <c r="CD21" s="62">
        <f ca="1">AVERAGE(OFFSET($CC$3,0,0,'Données projet'!$E$12+1,1))-AVERAGE(OFFSET($H$3,0,0,'Données projet'!$E$12+1,1))</f>
        <v>218.39403703215032</v>
      </c>
      <c r="CE21" s="62">
        <f t="shared" si="40"/>
        <v>254.08208375594052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373.09674935534343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IF('Données projet'!$A$62&gt;35,AI21+AH22-AQ21,IF(A22&lt;'Données projet'!$A$62,$AF$205^A22,IF(A22='Données projet'!$A$62,'Données projet'!$B$62,AI21+AH22-AQ21)))</f>
        <v>26.908685288118836</v>
      </c>
      <c r="AJ22" s="14">
        <f>AI22*VLOOKUP('Données projet'!$B$10,Paramètres!$A$1:$I$88,3,0)*VLOOKUP('Données projet'!$B$10,Paramètres!$A$1:$I$88,5,0)</f>
        <v>25.606304920173887</v>
      </c>
      <c r="AK22" s="14">
        <f t="shared" si="35"/>
        <v>8.0903516165866964</v>
      </c>
      <c r="AL22" s="22">
        <f t="shared" si="4"/>
        <v>58.688343468191341</v>
      </c>
      <c r="AM22" s="62">
        <f t="shared" si="5"/>
        <v>338.57723235708022</v>
      </c>
      <c r="AN22" s="62">
        <f ca="1">AVERAGE(OFFSET($AM$3,0,0,'Données projet'!$E$10+1,1))-AVERAGE(OFFSET($H$3,0,0,'Données projet'!$E$10+1,1))</f>
        <v>509.66893546110458</v>
      </c>
      <c r="AO22" s="62">
        <f t="shared" si="36"/>
        <v>280.1645836141924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15.4</v>
      </c>
      <c r="BD22" s="13">
        <f>IF('Données projet'!$A$88&gt;35,BD21+BC22-BL21,IF(A22&lt;'Données projet'!$A$88,$BA$205^A22,IF(A22='Données projet'!$A$88,'Données projet'!$B$88,BD21+BC22-BL21)))</f>
        <v>136.60000000000002</v>
      </c>
      <c r="BE22" s="14">
        <f>BD22*VLOOKUP('Données projet'!$B$11,Paramètres!$A$1:$I$88,3,0)*VLOOKUP('Données projet'!$B$11,Paramètres!$A$1:$I$88,5,0)</f>
        <v>81.686800000000019</v>
      </c>
      <c r="BF22" s="14">
        <f t="shared" si="37"/>
        <v>22.549113311372079</v>
      </c>
      <c r="BG22" s="22">
        <f t="shared" si="7"/>
        <v>181.54421568397308</v>
      </c>
      <c r="BH22" s="62">
        <f t="shared" si="8"/>
        <v>461.43310457286191</v>
      </c>
      <c r="BI22" s="62">
        <f ca="1">AVERAGE(OFFSET($BH$3,0,0,'Données projet'!$E$11+1,1))-AVERAGE(OFFSET($H$3,0,0,'Données projet'!$E$11+1,1))</f>
        <v>311.82072478731385</v>
      </c>
      <c r="BJ22" s="62">
        <f t="shared" si="38"/>
        <v>356.36714671797864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6.5</v>
      </c>
      <c r="BY22" s="13">
        <f>IF('Données projet'!$A$114&gt;35,BY21+BX22-CG21,IF(A22&lt;'Données projet'!$A$114,$BV$205^A22,IF(A22='Données projet'!$A$114,'Données projet'!$B$114,BY21+BX22-CG21)))</f>
        <v>101.916895167517</v>
      </c>
      <c r="BZ22" s="14">
        <f>BY22*VLOOKUP('Données projet'!$B$12,Paramètres!$A$1:$I$88,3,0)*VLOOKUP('Données projet'!$B$12,Paramètres!$A$1:$I$88,5,0)</f>
        <v>47.697106938397958</v>
      </c>
      <c r="CA22" s="14">
        <f t="shared" si="39"/>
        <v>14.017405258139599</v>
      </c>
      <c r="CB22" s="22">
        <f t="shared" si="10"/>
        <v>107.4861087423029</v>
      </c>
      <c r="CC22" s="62">
        <f t="shared" si="11"/>
        <v>387.37499763119177</v>
      </c>
      <c r="CD22" s="62">
        <f ca="1">AVERAGE(OFFSET($CC$3,0,0,'Données projet'!$E$12+1,1))-AVERAGE(OFFSET($H$3,0,0,'Données projet'!$E$12+1,1))</f>
        <v>218.39403703215032</v>
      </c>
      <c r="CE22" s="62">
        <f t="shared" si="40"/>
        <v>254.08208375594052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373.09674935534343</v>
      </c>
      <c r="T23" s="62">
        <f t="shared" si="34"/>
        <v>231.36959598460686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32</v>
      </c>
      <c r="AG23" s="13">
        <f>VLOOKUP(A23,'Données projet'!$A$61:$I$81,9,0)</f>
        <v>1.6</v>
      </c>
      <c r="AH23" s="13">
        <f t="array" ref="AH23">INDEX(AG:AG,MIN(IF(ISNUMBER(AG23:AG219),ROW(AG23:AG219),"")))</f>
        <v>1.6</v>
      </c>
      <c r="AI23" s="14">
        <f>IF('Données projet'!$A$62&gt;35,AI22+AH23-AQ22,IF(A23&lt;'Données projet'!$A$62,$AF$205^A23,IF(A23='Données projet'!$A$62,'Données projet'!$B$62,AI22+AH23-AQ22)))</f>
        <v>32</v>
      </c>
      <c r="AJ23" s="14">
        <f>AI23*VLOOKUP('Données projet'!$B$10,Paramètres!$A$1:$I$88,3,0)*VLOOKUP('Données projet'!$B$10,Paramètres!$A$1:$I$88,5,0)</f>
        <v>30.4512</v>
      </c>
      <c r="AK23" s="14">
        <f t="shared" si="35"/>
        <v>9.4289845264708934</v>
      </c>
      <c r="AL23" s="22">
        <f t="shared" si="4"/>
        <v>69.457988050270131</v>
      </c>
      <c r="AM23" s="62">
        <f t="shared" si="5"/>
        <v>350.56909916138125</v>
      </c>
      <c r="AN23" s="62">
        <f ca="1">AVERAGE(OFFSET($AM$3,0,0,'Données projet'!$E$10+1,1))-AVERAGE(OFFSET($H$3,0,0,'Données projet'!$E$10+1,1))</f>
        <v>509.66893546110458</v>
      </c>
      <c r="AO23" s="62">
        <f t="shared" si="36"/>
        <v>280.1645836141924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152</v>
      </c>
      <c r="BB23" s="13">
        <f>VLOOKUP(A23,'Données projet'!$A$87:$I$107,9,0)</f>
        <v>15.4</v>
      </c>
      <c r="BC23" s="13">
        <f t="array" ref="BC23">INDEX(BB:BB,MIN(IF(ISNUMBER(BB23:BB219),ROW(BB23:BB219),"")))</f>
        <v>15.4</v>
      </c>
      <c r="BD23" s="13">
        <f>IF('Données projet'!$A$88&gt;35,BD22+BC23-BL22,IF(A23&lt;'Données projet'!$A$88,$BA$205^A23,IF(A23='Données projet'!$A$88,'Données projet'!$B$88,BD22+BC23-BL22)))</f>
        <v>152.00000000000003</v>
      </c>
      <c r="BE23" s="14">
        <f>BD23*VLOOKUP('Données projet'!$B$11,Paramètres!$A$1:$I$88,3,0)*VLOOKUP('Données projet'!$B$11,Paramètres!$A$1:$I$88,5,0)</f>
        <v>90.896000000000029</v>
      </c>
      <c r="BF23" s="14">
        <f t="shared" si="37"/>
        <v>24.781193872187952</v>
      </c>
      <c r="BG23" s="22">
        <f t="shared" si="7"/>
        <v>201.47111266072739</v>
      </c>
      <c r="BH23" s="62">
        <f t="shared" si="8"/>
        <v>482.58222377183853</v>
      </c>
      <c r="BI23" s="62">
        <f ca="1">AVERAGE(OFFSET($BH$3,0,0,'Données projet'!$E$11+1,1))-AVERAGE(OFFSET($H$3,0,0,'Données projet'!$E$11+1,1))</f>
        <v>311.82072478731385</v>
      </c>
      <c r="BJ23" s="62">
        <f t="shared" si="38"/>
        <v>356.36714671797864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42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0.25200000000000006</v>
      </c>
      <c r="BO23" s="17">
        <f>IF(ISNA(VLOOKUP(A23,'Données projet'!$A$87:$I$107,7,0)),0%,VLOOKUP(A23,'Données projet'!$A$87:$I$107,7,0))</f>
        <v>0.44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8.3630754219015397</v>
      </c>
      <c r="BR23" s="23">
        <f>EXP(-LN(2)/2)*BR22+(1-EXP(-LN(2)/2))/(LN(2)/2)*BL23*BO23*VLOOKUP('Données projet'!$B$11,Paramètres!$A$1:$I$88,3,0)*0.475*44/12</f>
        <v>12.512344409256876</v>
      </c>
      <c r="BS23" s="24">
        <f t="shared" si="9"/>
        <v>20.875419831158418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130</v>
      </c>
      <c r="BW23" s="13">
        <f>VLOOKUP(A23,'Données projet'!$A$113:$I$133,9,0)</f>
        <v>6.5</v>
      </c>
      <c r="BX23" s="13">
        <f t="array" ref="BX23">INDEX(BW:BW,MIN(IF(ISNUMBER(BW23:BW219),ROW(BW23:BW219),"")))</f>
        <v>6.5</v>
      </c>
      <c r="BY23" s="13">
        <f>IF('Données projet'!$A$114&gt;35,BY22+BX23-CG22,IF(A23&lt;'Données projet'!$A$114,$BV$205^A23,IF(A23='Données projet'!$A$114,'Données projet'!$B$114,BY22+BX23-CG22)))</f>
        <v>130</v>
      </c>
      <c r="BZ23" s="14">
        <f>BY23*VLOOKUP('Données projet'!$B$12,Paramètres!$A$1:$I$88,3,0)*VLOOKUP('Données projet'!$B$12,Paramètres!$A$1:$I$88,5,0)</f>
        <v>60.839999999999996</v>
      </c>
      <c r="CA23" s="14">
        <f t="shared" si="39"/>
        <v>17.380475216531455</v>
      </c>
      <c r="CB23" s="22">
        <f t="shared" si="10"/>
        <v>136.23399433545893</v>
      </c>
      <c r="CC23" s="62">
        <f t="shared" si="11"/>
        <v>417.34510544657007</v>
      </c>
      <c r="CD23" s="62">
        <f ca="1">AVERAGE(OFFSET($CC$3,0,0,'Données projet'!$E$12+1,1))-AVERAGE(OFFSET($H$3,0,0,'Données projet'!$E$12+1,1))</f>
        <v>218.39403703215032</v>
      </c>
      <c r="CE23" s="62">
        <f t="shared" si="40"/>
        <v>254.08208375594052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0.30800000000000005</v>
      </c>
      <c r="CJ23" s="17">
        <f>IF(ISNA(VLOOKUP(A23,'Données projet'!$A$113:$I$133,7,0)),0%,VLOOKUP(A23,'Données projet'!$A$113:$I$133,7,0))</f>
        <v>0.44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7.6185366162250032</v>
      </c>
      <c r="CM23" s="23">
        <f>EXP(-LN(2)/2)*CM22+(1-EXP(-LN(2)/2))/(LN(2)/2)*CG23*CJ23*VLOOKUP('Données projet'!$B$12,Paramètres!$A$1:$I$88,3,0)*0.475*44/12</f>
        <v>9.3259709882659934</v>
      </c>
      <c r="CN23" s="24">
        <f t="shared" si="12"/>
        <v>16.944507604490997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373.09674935534343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8.8000000000000007</v>
      </c>
      <c r="AI24" s="14">
        <f>IF('Données projet'!$A$62&gt;35,AI23+AH24-AQ23,IF(A24&lt;'Données projet'!$A$62,$AF$205^A24,IF(A24='Données projet'!$A$62,'Données projet'!$B$62,AI23+AH24-AQ23)))</f>
        <v>40.799999999999997</v>
      </c>
      <c r="AJ24" s="14">
        <f>AI24*VLOOKUP('Données projet'!$B$10,Paramètres!$A$1:$I$88,3,0)*VLOOKUP('Données projet'!$B$10,Paramètres!$A$1:$I$88,5,0)</f>
        <v>38.825279999999999</v>
      </c>
      <c r="AK24" s="14">
        <f t="shared" si="35"/>
        <v>11.686749151685682</v>
      </c>
      <c r="AL24" s="22">
        <f t="shared" si="4"/>
        <v>87.975117439185894</v>
      </c>
      <c r="AM24" s="62">
        <f t="shared" si="5"/>
        <v>370.30845077251922</v>
      </c>
      <c r="AN24" s="62">
        <f ca="1">AVERAGE(OFFSET($AM$3,0,0,'Données projet'!$E$10+1,1))-AVERAGE(OFFSET($H$3,0,0,'Données projet'!$E$10+1,1))</f>
        <v>509.66893546110458</v>
      </c>
      <c r="AO24" s="62">
        <f t="shared" si="36"/>
        <v>280.1645836141924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127.80000000000004</v>
      </c>
      <c r="BE24" s="14">
        <f>BD24*VLOOKUP('Données projet'!$B$11,Paramètres!$A$1:$I$88,3,0)*VLOOKUP('Données projet'!$B$11,Paramètres!$A$1:$I$88,5,0)</f>
        <v>76.42440000000002</v>
      </c>
      <c r="BF24" s="14">
        <f t="shared" si="37"/>
        <v>21.260618446015872</v>
      </c>
      <c r="BG24" s="22">
        <f t="shared" si="7"/>
        <v>170.13474046014434</v>
      </c>
      <c r="BH24" s="62">
        <f t="shared" si="8"/>
        <v>452.46807379347763</v>
      </c>
      <c r="BI24" s="62">
        <f ca="1">AVERAGE(OFFSET($BH$3,0,0,'Données projet'!$E$11+1,1))-AVERAGE(OFFSET($H$3,0,0,'Données projet'!$E$11+1,1))</f>
        <v>311.82072478731385</v>
      </c>
      <c r="BJ24" s="62">
        <f t="shared" si="38"/>
        <v>356.36714671797864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8.1343866846946202</v>
      </c>
      <c r="BR24" s="23">
        <f>EXP(-LN(2)/2)*BR23+(1-EXP(-LN(2)/2))/(LN(2)/2)*BL24*BO24*VLOOKUP('Données projet'!$B$11,Paramètres!$A$1:$I$88,3,0)*0.475*44/12</f>
        <v>8.8475635803271242</v>
      </c>
      <c r="BS24" s="24">
        <f t="shared" si="9"/>
        <v>16.981950265021744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</v>
      </c>
      <c r="BY24" s="13">
        <f>IF('Données projet'!$A$114&gt;35,BY23+BX24-CG23,IF(A24&lt;'Données projet'!$A$114,$BV$205^A24,IF(A24='Données projet'!$A$114,'Données projet'!$B$114,BY23+BX24-CG23)))</f>
        <v>102</v>
      </c>
      <c r="BZ24" s="14">
        <f>BY24*VLOOKUP('Données projet'!$B$12,Paramètres!$A$1:$I$88,3,0)*VLOOKUP('Données projet'!$B$12,Paramètres!$A$1:$I$88,5,0)</f>
        <v>47.735999999999997</v>
      </c>
      <c r="CA24" s="14">
        <f t="shared" si="39"/>
        <v>14.027504361700418</v>
      </c>
      <c r="CB24" s="22">
        <f t="shared" si="10"/>
        <v>107.5714367632949</v>
      </c>
      <c r="CC24" s="62">
        <f t="shared" si="11"/>
        <v>389.90477009662823</v>
      </c>
      <c r="CD24" s="62">
        <f ca="1">AVERAGE(OFFSET($CC$3,0,0,'Données projet'!$E$12+1,1))-AVERAGE(OFFSET($H$3,0,0,'Données projet'!$E$12+1,1))</f>
        <v>218.39403703215032</v>
      </c>
      <c r="CE24" s="62">
        <f t="shared" si="40"/>
        <v>254.08208375594052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7.4102073318129023</v>
      </c>
      <c r="CM24" s="23">
        <f>EXP(-LN(2)/2)*CM23+(1-EXP(-LN(2)/2))/(LN(2)/2)*CG24*CJ24*VLOOKUP('Données projet'!$B$12,Paramètres!$A$1:$I$88,3,0)*0.475*44/12</f>
        <v>6.5944573269518925</v>
      </c>
      <c r="CN24" s="24">
        <f t="shared" si="12"/>
        <v>14.004664658764796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373.09674935534343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8.8000000000000007</v>
      </c>
      <c r="AI25" s="14">
        <f>IF('Données projet'!$A$62&gt;35,AI24+AH25-AQ24,IF(A25&lt;'Données projet'!$A$62,$AF$205^A25,IF(A25='Données projet'!$A$62,'Données projet'!$B$62,AI24+AH25-AQ24)))</f>
        <v>49.599999999999994</v>
      </c>
      <c r="AJ25" s="14">
        <f>AI25*VLOOKUP('Données projet'!$B$10,Paramètres!$A$1:$I$88,3,0)*VLOOKUP('Données projet'!$B$10,Paramètres!$A$1:$I$88,5,0)</f>
        <v>47.199359999999999</v>
      </c>
      <c r="AK25" s="14">
        <f t="shared" si="35"/>
        <v>13.888073668781496</v>
      </c>
      <c r="AL25" s="22">
        <f t="shared" si="4"/>
        <v>106.39394697312775</v>
      </c>
      <c r="AM25" s="62">
        <f t="shared" si="5"/>
        <v>389.9495025286833</v>
      </c>
      <c r="AN25" s="62">
        <f ca="1">AVERAGE(OFFSET($AM$3,0,0,'Données projet'!$E$10+1,1))-AVERAGE(OFFSET($H$3,0,0,'Données projet'!$E$10+1,1))</f>
        <v>509.66893546110458</v>
      </c>
      <c r="AO25" s="62">
        <f t="shared" si="36"/>
        <v>280.1645836141924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145.60000000000005</v>
      </c>
      <c r="BE25" s="14">
        <f>BD25*VLOOKUP('Données projet'!$B$11,Paramètres!$A$1:$I$88,3,0)*VLOOKUP('Données projet'!$B$11,Paramètres!$A$1:$I$88,5,0)</f>
        <v>87.068800000000039</v>
      </c>
      <c r="BF25" s="14">
        <f t="shared" si="37"/>
        <v>23.856933608981997</v>
      </c>
      <c r="BG25" s="22">
        <f t="shared" si="7"/>
        <v>193.19565270231035</v>
      </c>
      <c r="BH25" s="62">
        <f t="shared" si="8"/>
        <v>476.75120825786587</v>
      </c>
      <c r="BI25" s="62">
        <f ca="1">AVERAGE(OFFSET($BH$3,0,0,'Données projet'!$E$11+1,1))-AVERAGE(OFFSET($H$3,0,0,'Données projet'!$E$11+1,1))</f>
        <v>311.82072478731385</v>
      </c>
      <c r="BJ25" s="62">
        <f t="shared" si="38"/>
        <v>356.36714671797864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7.9119514530328416</v>
      </c>
      <c r="BR25" s="23">
        <f>EXP(-LN(2)/2)*BR24+(1-EXP(-LN(2)/2))/(LN(2)/2)*BL25*BO25*VLOOKUP('Données projet'!$B$11,Paramètres!$A$1:$I$88,3,0)*0.475*44/12</f>
        <v>6.2561722046284389</v>
      </c>
      <c r="BS25" s="24">
        <f t="shared" si="9"/>
        <v>14.16812365766128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</v>
      </c>
      <c r="BY25" s="13">
        <f>IF('Données projet'!$A$114&gt;35,BY24+BX25-CG24,IF(A25&lt;'Données projet'!$A$114,$BV$205^A25,IF(A25='Données projet'!$A$114,'Données projet'!$B$114,BY24+BX25-CG24)))</f>
        <v>114</v>
      </c>
      <c r="BZ25" s="14">
        <f>BY25*VLOOKUP('Données projet'!$B$12,Paramètres!$A$1:$I$88,3,0)*VLOOKUP('Données projet'!$B$12,Paramètres!$A$1:$I$88,5,0)</f>
        <v>53.352000000000004</v>
      </c>
      <c r="CA25" s="14">
        <f t="shared" si="39"/>
        <v>15.476132071622843</v>
      </c>
      <c r="CB25" s="22">
        <f t="shared" si="10"/>
        <v>119.87566335807645</v>
      </c>
      <c r="CC25" s="62">
        <f t="shared" si="11"/>
        <v>403.43121891363199</v>
      </c>
      <c r="CD25" s="62">
        <f ca="1">AVERAGE(OFFSET($CC$3,0,0,'Données projet'!$E$12+1,1))-AVERAGE(OFFSET($H$3,0,0,'Données projet'!$E$12+1,1))</f>
        <v>218.39403703215032</v>
      </c>
      <c r="CE25" s="62">
        <f t="shared" si="40"/>
        <v>254.08208375594052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7.2075748226386107</v>
      </c>
      <c r="CM25" s="23">
        <f>EXP(-LN(2)/2)*CM24+(1-EXP(-LN(2)/2))/(LN(2)/2)*CG25*CJ25*VLOOKUP('Données projet'!$B$12,Paramètres!$A$1:$I$88,3,0)*0.475*44/12</f>
        <v>4.6629854941329976</v>
      </c>
      <c r="CN25" s="24">
        <f t="shared" si="12"/>
        <v>11.870560316771609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373.09674935534343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8.8000000000000007</v>
      </c>
      <c r="AI26" s="14">
        <f>IF('Données projet'!$A$62&gt;35,AI25+AH26-AQ25,IF(A26&lt;'Données projet'!$A$62,$AF$205^A26,IF(A26='Données projet'!$A$62,'Données projet'!$B$62,AI25+AH26-AQ25)))</f>
        <v>58.399999999999991</v>
      </c>
      <c r="AJ26" s="14">
        <f>AI26*VLOOKUP('Données projet'!$B$10,Paramètres!$A$1:$I$88,3,0)*VLOOKUP('Données projet'!$B$10,Paramètres!$A$1:$I$88,5,0)</f>
        <v>55.573439999999998</v>
      </c>
      <c r="AK26" s="14">
        <f t="shared" si="35"/>
        <v>16.044152965199856</v>
      </c>
      <c r="AL26" s="22">
        <f t="shared" si="4"/>
        <v>124.73397441438976</v>
      </c>
      <c r="AM26" s="62">
        <f t="shared" si="5"/>
        <v>409.51175219216753</v>
      </c>
      <c r="AN26" s="62">
        <f ca="1">AVERAGE(OFFSET($AM$3,0,0,'Données projet'!$E$10+1,1))-AVERAGE(OFFSET($H$3,0,0,'Données projet'!$E$10+1,1))</f>
        <v>509.66893546110458</v>
      </c>
      <c r="AO26" s="62">
        <f t="shared" si="36"/>
        <v>280.1645836141924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163.40000000000006</v>
      </c>
      <c r="BE26" s="14">
        <f>BD26*VLOOKUP('Données projet'!$B$11,Paramètres!$A$1:$I$88,3,0)*VLOOKUP('Données projet'!$B$11,Paramètres!$A$1:$I$88,5,0)</f>
        <v>97.713200000000043</v>
      </c>
      <c r="BF26" s="14">
        <f t="shared" si="37"/>
        <v>26.416467654404475</v>
      </c>
      <c r="BG26" s="22">
        <f t="shared" si="7"/>
        <v>216.19250449808783</v>
      </c>
      <c r="BH26" s="62">
        <f t="shared" si="8"/>
        <v>500.9702822758656</v>
      </c>
      <c r="BI26" s="62">
        <f ca="1">AVERAGE(OFFSET($BH$3,0,0,'Données projet'!$E$11+1,1))-AVERAGE(OFFSET($H$3,0,0,'Données projet'!$E$11+1,1))</f>
        <v>311.82072478731385</v>
      </c>
      <c r="BJ26" s="62">
        <f t="shared" si="38"/>
        <v>356.36714671797864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7.6955987244782147</v>
      </c>
      <c r="BR26" s="23">
        <f>EXP(-LN(2)/2)*BR25+(1-EXP(-LN(2)/2))/(LN(2)/2)*BL26*BO26*VLOOKUP('Données projet'!$B$11,Paramètres!$A$1:$I$88,3,0)*0.475*44/12</f>
        <v>4.4237817901635621</v>
      </c>
      <c r="BS26" s="24">
        <f t="shared" si="9"/>
        <v>12.119380514641776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</v>
      </c>
      <c r="BY26" s="13">
        <f>IF('Données projet'!$A$114&gt;35,BY25+BX26-CG25,IF(A26&lt;'Données projet'!$A$114,$BV$205^A26,IF(A26='Données projet'!$A$114,'Données projet'!$B$114,BY25+BX26-CG25)))</f>
        <v>126</v>
      </c>
      <c r="BZ26" s="14">
        <f>BY26*VLOOKUP('Données projet'!$B$12,Paramètres!$A$1:$I$88,3,0)*VLOOKUP('Données projet'!$B$12,Paramètres!$A$1:$I$88,5,0)</f>
        <v>58.968000000000004</v>
      </c>
      <c r="CA26" s="14">
        <f t="shared" si="39"/>
        <v>16.90708415297112</v>
      </c>
      <c r="CB26" s="22">
        <f t="shared" si="10"/>
        <v>132.14910489975804</v>
      </c>
      <c r="CC26" s="62">
        <f t="shared" si="11"/>
        <v>416.92688267753579</v>
      </c>
      <c r="CD26" s="62">
        <f ca="1">AVERAGE(OFFSET($CC$3,0,0,'Données projet'!$E$12+1,1))-AVERAGE(OFFSET($H$3,0,0,'Données projet'!$E$12+1,1))</f>
        <v>218.39403703215032</v>
      </c>
      <c r="CE26" s="62">
        <f t="shared" si="40"/>
        <v>254.08208375594052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7.0104833100836714</v>
      </c>
      <c r="CM26" s="23">
        <f>EXP(-LN(2)/2)*CM25+(1-EXP(-LN(2)/2))/(LN(2)/2)*CG26*CJ26*VLOOKUP('Données projet'!$B$12,Paramètres!$A$1:$I$88,3,0)*0.475*44/12</f>
        <v>3.2972286634759471</v>
      </c>
      <c r="CN26" s="24">
        <f t="shared" si="12"/>
        <v>10.307711973559618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373.09674935534343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8.8000000000000007</v>
      </c>
      <c r="AI27" s="14">
        <f>IF('Données projet'!$A$62&gt;35,AI26+AH27-AQ26,IF(A27&lt;'Données projet'!$A$62,$AF$205^A27,IF(A27='Données projet'!$A$62,'Données projet'!$B$62,AI26+AH27-AQ26)))</f>
        <v>67.199999999999989</v>
      </c>
      <c r="AJ27" s="14">
        <f>AI27*VLOOKUP('Données projet'!$B$10,Paramètres!$A$1:$I$88,3,0)*VLOOKUP('Données projet'!$B$10,Paramètres!$A$1:$I$88,5,0)</f>
        <v>63.94751999999999</v>
      </c>
      <c r="AK27" s="14">
        <f t="shared" si="35"/>
        <v>18.162594705540755</v>
      </c>
      <c r="AL27" s="22">
        <f t="shared" si="4"/>
        <v>143.00844977881681</v>
      </c>
      <c r="AM27" s="62">
        <f t="shared" si="5"/>
        <v>429.00844977881684</v>
      </c>
      <c r="AN27" s="62">
        <f ca="1">AVERAGE(OFFSET($AM$3,0,0,'Données projet'!$E$10+1,1))-AVERAGE(OFFSET($H$3,0,0,'Données projet'!$E$10+1,1))</f>
        <v>509.66893546110458</v>
      </c>
      <c r="AO27" s="62">
        <f t="shared" si="36"/>
        <v>280.1645836141924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17.8</v>
      </c>
      <c r="BD27" s="13">
        <f>IF('Données projet'!$A$88&gt;35,BD26+BC27-BL26,IF(A27&lt;'Données projet'!$A$88,$BA$205^A27,IF(A27='Données projet'!$A$88,'Données projet'!$B$88,BD26+BC27-BL26)))</f>
        <v>181.20000000000007</v>
      </c>
      <c r="BE27" s="14">
        <f>BD27*VLOOKUP('Données projet'!$B$11,Paramètres!$A$1:$I$88,3,0)*VLOOKUP('Données projet'!$B$11,Paramètres!$A$1:$I$88,5,0)</f>
        <v>108.35760000000005</v>
      </c>
      <c r="BF27" s="14">
        <f t="shared" si="37"/>
        <v>28.943684177010258</v>
      </c>
      <c r="BG27" s="22">
        <f t="shared" si="7"/>
        <v>239.13306994162625</v>
      </c>
      <c r="BH27" s="62">
        <f t="shared" si="8"/>
        <v>525.13306994162622</v>
      </c>
      <c r="BI27" s="62">
        <f ca="1">AVERAGE(OFFSET($BH$3,0,0,'Données projet'!$E$11+1,1))-AVERAGE(OFFSET($H$3,0,0,'Données projet'!$E$11+1,1))</f>
        <v>311.82072478731385</v>
      </c>
      <c r="BJ27" s="62">
        <f t="shared" si="38"/>
        <v>356.36714671797864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7.4851621726634097</v>
      </c>
      <c r="BR27" s="23">
        <f>EXP(-LN(2)/2)*BR26+(1-EXP(-LN(2)/2))/(LN(2)/2)*BL27*BO27*VLOOKUP('Données projet'!$B$11,Paramètres!$A$1:$I$88,3,0)*0.475*44/12</f>
        <v>3.1280861023142195</v>
      </c>
      <c r="BS27" s="24">
        <f t="shared" si="9"/>
        <v>10.613248274977629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</v>
      </c>
      <c r="BY27" s="13">
        <f>IF('Données projet'!$A$114&gt;35,BY26+BX27-CG26,IF(A27&lt;'Données projet'!$A$114,$BV$205^A27,IF(A27='Données projet'!$A$114,'Données projet'!$B$114,BY26+BX27-CG26)))</f>
        <v>138</v>
      </c>
      <c r="BZ27" s="14">
        <f>BY27*VLOOKUP('Données projet'!$B$12,Paramètres!$A$1:$I$88,3,0)*VLOOKUP('Données projet'!$B$12,Paramètres!$A$1:$I$88,5,0)</f>
        <v>64.584000000000003</v>
      </c>
      <c r="CA27" s="14">
        <f t="shared" si="39"/>
        <v>18.322235519392734</v>
      </c>
      <c r="CB27" s="22">
        <f t="shared" si="10"/>
        <v>144.39502686294233</v>
      </c>
      <c r="CC27" s="62">
        <f t="shared" si="11"/>
        <v>430.39502686294236</v>
      </c>
      <c r="CD27" s="62">
        <f ca="1">AVERAGE(OFFSET($CC$3,0,0,'Données projet'!$E$12+1,1))-AVERAGE(OFFSET($H$3,0,0,'Données projet'!$E$12+1,1))</f>
        <v>218.39403703215032</v>
      </c>
      <c r="CE27" s="62">
        <f t="shared" si="40"/>
        <v>254.08208375594052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6.818781275304139</v>
      </c>
      <c r="CM27" s="23">
        <f>EXP(-LN(2)/2)*CM26+(1-EXP(-LN(2)/2))/(LN(2)/2)*CG27*CJ27*VLOOKUP('Données projet'!$B$12,Paramètres!$A$1:$I$88,3,0)*0.475*44/12</f>
        <v>2.3314927470664992</v>
      </c>
      <c r="CN27" s="24">
        <f t="shared" si="12"/>
        <v>9.1502740223706382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373.09674935534343</v>
      </c>
      <c r="T28" s="62">
        <f t="shared" si="34"/>
        <v>231.36959598460686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76</v>
      </c>
      <c r="AG28" s="13">
        <f>VLOOKUP(A28,'Données projet'!$A$61:$I$81,9,0)</f>
        <v>8.8000000000000007</v>
      </c>
      <c r="AH28" s="13">
        <f t="array" ref="AH28">INDEX(AG:AG,MIN(IF(ISNUMBER(AG28:AG224),ROW(AG28:AG224),"")))</f>
        <v>8.8000000000000007</v>
      </c>
      <c r="AI28" s="14">
        <f>IF('Données projet'!$A$62&gt;35,AI27+AH28-AQ27,IF(A28&lt;'Données projet'!$A$62,$AF$205^A28,IF(A28='Données projet'!$A$62,'Données projet'!$B$62,AI27+AH28-AQ27)))</f>
        <v>75.999999999999986</v>
      </c>
      <c r="AJ28" s="14">
        <f>AI28*VLOOKUP('Données projet'!$B$10,Paramètres!$A$1:$I$88,3,0)*VLOOKUP('Données projet'!$B$10,Paramètres!$A$1:$I$88,5,0)</f>
        <v>72.321599999999989</v>
      </c>
      <c r="AK28" s="14">
        <f t="shared" si="35"/>
        <v>20.248893319861061</v>
      </c>
      <c r="AL28" s="22">
        <f t="shared" si="4"/>
        <v>161.22694253209133</v>
      </c>
      <c r="AM28" s="62">
        <f t="shared" si="5"/>
        <v>448.44916475431353</v>
      </c>
      <c r="AN28" s="62">
        <f ca="1">AVERAGE(OFFSET($AM$3,0,0,'Données projet'!$E$10+1,1))-AVERAGE(OFFSET($H$3,0,0,'Données projet'!$E$10+1,1))</f>
        <v>509.66893546110458</v>
      </c>
      <c r="AO28" s="62">
        <f t="shared" si="36"/>
        <v>280.1645836141924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7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199</v>
      </c>
      <c r="BB28" s="13">
        <f>VLOOKUP(A28,'Données projet'!$A$87:$I$107,9,0)</f>
        <v>17.8</v>
      </c>
      <c r="BC28" s="13">
        <f t="array" ref="BC28">INDEX(BB:BB,MIN(IF(ISNUMBER(BB28:BB224),ROW(BB28:BB224),"")))</f>
        <v>17.8</v>
      </c>
      <c r="BD28" s="13">
        <f>IF('Données projet'!$A$88&gt;35,BD27+BC28-BL27,IF(A28&lt;'Données projet'!$A$88,$BA$205^A28,IF(A28='Données projet'!$A$88,'Données projet'!$B$88,BD27+BC28-BL27)))</f>
        <v>199.00000000000009</v>
      </c>
      <c r="BE28" s="14">
        <f>BD28*VLOOKUP('Données projet'!$B$11,Paramètres!$A$1:$I$88,3,0)*VLOOKUP('Données projet'!$B$11,Paramètres!$A$1:$I$88,5,0)</f>
        <v>119.00200000000007</v>
      </c>
      <c r="BF28" s="14">
        <f t="shared" si="37"/>
        <v>31.442119166644687</v>
      </c>
      <c r="BG28" s="22">
        <f t="shared" si="7"/>
        <v>262.02350754857292</v>
      </c>
      <c r="BH28" s="62">
        <f t="shared" si="8"/>
        <v>549.24572977079515</v>
      </c>
      <c r="BI28" s="62">
        <f ca="1">AVERAGE(OFFSET($BH$3,0,0,'Données projet'!$E$11+1,1))-AVERAGE(OFFSET($H$3,0,0,'Données projet'!$E$11+1,1))</f>
        <v>311.82072478731385</v>
      </c>
      <c r="BJ28" s="62">
        <f t="shared" si="38"/>
        <v>356.36714671797864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49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0.25200000000000006</v>
      </c>
      <c r="BO28" s="17">
        <f>IF(ISNA(VLOOKUP(A28,'Données projet'!$A$87:$I$107,7,0)),0%,VLOOKUP(A28,'Données projet'!$A$87:$I$107,7,0))</f>
        <v>0.44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17.037401344976153</v>
      </c>
      <c r="BR28" s="23">
        <f>EXP(-LN(2)/2)*BR27+(1-EXP(-LN(2)/2))/(LN(2)/2)*BL28*BO28*VLOOKUP('Données projet'!$B$11,Paramètres!$A$1:$I$88,3,0)*0.475*44/12</f>
        <v>16.809626039214798</v>
      </c>
      <c r="BS28" s="24">
        <f t="shared" si="9"/>
        <v>33.847027384190952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12</v>
      </c>
      <c r="BY28" s="13">
        <f>IF('Données projet'!$A$114&gt;35,BY27+BX28-CG27,IF(A28&lt;'Données projet'!$A$114,$BV$205^A28,IF(A28='Données projet'!$A$114,'Données projet'!$B$114,BY27+BX28-CG27)))</f>
        <v>150</v>
      </c>
      <c r="BZ28" s="14">
        <f>BY28*VLOOKUP('Données projet'!$B$12,Paramètres!$A$1:$I$88,3,0)*VLOOKUP('Données projet'!$B$12,Paramètres!$A$1:$I$88,5,0)</f>
        <v>70.2</v>
      </c>
      <c r="CA28" s="14">
        <f t="shared" si="39"/>
        <v>19.723116370112194</v>
      </c>
      <c r="CB28" s="22">
        <f t="shared" si="10"/>
        <v>156.61609434461207</v>
      </c>
      <c r="CC28" s="62">
        <f t="shared" si="11"/>
        <v>443.83831656683429</v>
      </c>
      <c r="CD28" s="62">
        <f ca="1">AVERAGE(OFFSET($CC$3,0,0,'Données projet'!$E$12+1,1))-AVERAGE(OFFSET($H$3,0,0,'Données projet'!$E$12+1,1))</f>
        <v>218.39403703215032</v>
      </c>
      <c r="CE28" s="62">
        <f t="shared" si="40"/>
        <v>254.08208375594052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6.6323213427468248</v>
      </c>
      <c r="CM28" s="23">
        <f>EXP(-LN(2)/2)*CM27+(1-EXP(-LN(2)/2))/(LN(2)/2)*CG28*CJ28*VLOOKUP('Données projet'!$B$12,Paramètres!$A$1:$I$88,3,0)*0.475*44/12</f>
        <v>1.6486143317379738</v>
      </c>
      <c r="CN28" s="24">
        <f t="shared" si="12"/>
        <v>8.2809356744847982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373.09674935534343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9.4</v>
      </c>
      <c r="AI29" s="14">
        <f>IF('Données projet'!$A$62&gt;35,AI28+AH29-AQ28,IF(A29&lt;'Données projet'!$A$62,$AF$205^A29,IF(A29='Données projet'!$A$62,'Données projet'!$B$62,AI28+AH29-AQ28)))</f>
        <v>78.399999999999991</v>
      </c>
      <c r="AJ29" s="14">
        <f>AI29*VLOOKUP('Données projet'!$B$10,Paramètres!$A$1:$I$88,3,0)*VLOOKUP('Données projet'!$B$10,Paramètres!$A$1:$I$88,5,0)</f>
        <v>74.605439999999987</v>
      </c>
      <c r="AK29" s="14">
        <f t="shared" si="35"/>
        <v>20.81287496517584</v>
      </c>
      <c r="AL29" s="22">
        <f t="shared" si="4"/>
        <v>166.18689856434787</v>
      </c>
      <c r="AM29" s="62">
        <f t="shared" si="5"/>
        <v>454.63134300879233</v>
      </c>
      <c r="AN29" s="62">
        <f ca="1">AVERAGE(OFFSET($AM$3,0,0,'Données projet'!$E$10+1,1))-AVERAGE(OFFSET($H$3,0,0,'Données projet'!$E$10+1,1))</f>
        <v>509.66893546110458</v>
      </c>
      <c r="AO29" s="62">
        <f t="shared" si="36"/>
        <v>280.1645836141924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18.8</v>
      </c>
      <c r="BD29" s="13">
        <f>IF('Données projet'!$A$88&gt;35,BD28+BC29-BL28,IF(A29&lt;'Données projet'!$A$88,$BA$205^A29,IF(A29='Données projet'!$A$88,'Données projet'!$B$88,BD28+BC29-BL28)))</f>
        <v>168.8000000000001</v>
      </c>
      <c r="BE29" s="14">
        <f>BD29*VLOOKUP('Données projet'!$B$11,Paramètres!$A$1:$I$88,3,0)*VLOOKUP('Données projet'!$B$11,Paramètres!$A$1:$I$88,5,0)</f>
        <v>100.94240000000008</v>
      </c>
      <c r="BF29" s="14">
        <f t="shared" si="37"/>
        <v>27.186388642071176</v>
      </c>
      <c r="BG29" s="22">
        <f t="shared" si="7"/>
        <v>223.15764021827408</v>
      </c>
      <c r="BH29" s="62">
        <f t="shared" si="8"/>
        <v>511.60208466271854</v>
      </c>
      <c r="BI29" s="62">
        <f ca="1">AVERAGE(OFFSET($BH$3,0,0,'Données projet'!$E$11+1,1))-AVERAGE(OFFSET($H$3,0,0,'Données projet'!$E$11+1,1))</f>
        <v>311.82072478731385</v>
      </c>
      <c r="BJ29" s="62">
        <f t="shared" si="38"/>
        <v>356.36714671797864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16.571512709239784</v>
      </c>
      <c r="BR29" s="23">
        <f>EXP(-LN(2)/2)*BR28+(1-EXP(-LN(2)/2))/(LN(2)/2)*BL29*BO29*VLOOKUP('Données projet'!$B$11,Paramètres!$A$1:$I$88,3,0)*0.475*44/12</f>
        <v>11.88620056153875</v>
      </c>
      <c r="BS29" s="24">
        <f t="shared" si="9"/>
        <v>28.457713270778534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162</v>
      </c>
      <c r="BZ29" s="14">
        <f>BY29*VLOOKUP('Données projet'!$B$12,Paramètres!$A$1:$I$88,3,0)*VLOOKUP('Données projet'!$B$12,Paramètres!$A$1:$I$88,5,0)</f>
        <v>75.816000000000003</v>
      </c>
      <c r="CA29" s="14">
        <f t="shared" si="39"/>
        <v>21.110998140607162</v>
      </c>
      <c r="CB29" s="22">
        <f t="shared" si="10"/>
        <v>168.81452176155747</v>
      </c>
      <c r="CC29" s="62">
        <f t="shared" si="11"/>
        <v>457.2589662060019</v>
      </c>
      <c r="CD29" s="62">
        <f ca="1">AVERAGE(OFFSET($CC$3,0,0,'Données projet'!$E$12+1,1))-AVERAGE(OFFSET($H$3,0,0,'Données projet'!$E$12+1,1))</f>
        <v>218.39403703215032</v>
      </c>
      <c r="CE29" s="62">
        <f t="shared" si="40"/>
        <v>254.08208375594052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6.4509601668507921</v>
      </c>
      <c r="CM29" s="23">
        <f>EXP(-LN(2)/2)*CM28+(1-EXP(-LN(2)/2))/(LN(2)/2)*CG29*CJ29*VLOOKUP('Données projet'!$B$12,Paramètres!$A$1:$I$88,3,0)*0.475*44/12</f>
        <v>1.1657463735332498</v>
      </c>
      <c r="CN29" s="24">
        <f t="shared" si="12"/>
        <v>7.6167065403840422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373.09674935534343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9.4</v>
      </c>
      <c r="AI30" s="14">
        <f>IF('Données projet'!$A$62&gt;35,AI29+AH30-AQ29,IF(A30&lt;'Données projet'!$A$62,$AF$205^A30,IF(A30='Données projet'!$A$62,'Données projet'!$B$62,AI29+AH30-AQ29)))</f>
        <v>87.8</v>
      </c>
      <c r="AJ30" s="14">
        <f>AI30*VLOOKUP('Données projet'!$B$10,Paramètres!$A$1:$I$88,3,0)*VLOOKUP('Données projet'!$B$10,Paramètres!$A$1:$I$88,5,0)</f>
        <v>83.550480000000007</v>
      </c>
      <c r="AK30" s="14">
        <f t="shared" si="35"/>
        <v>23.00308882560369</v>
      </c>
      <c r="AL30" s="22">
        <f t="shared" si="4"/>
        <v>185.58079903792643</v>
      </c>
      <c r="AM30" s="62">
        <f t="shared" si="5"/>
        <v>475.24746570459308</v>
      </c>
      <c r="AN30" s="62">
        <f ca="1">AVERAGE(OFFSET($AM$3,0,0,'Données projet'!$E$10+1,1))-AVERAGE(OFFSET($H$3,0,0,'Données projet'!$E$10+1,1))</f>
        <v>509.66893546110458</v>
      </c>
      <c r="AO30" s="62">
        <f t="shared" si="36"/>
        <v>280.1645836141924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18.8</v>
      </c>
      <c r="BD30" s="13">
        <f>IF('Données projet'!$A$88&gt;35,BD29+BC30-BL29,IF(A30&lt;'Données projet'!$A$88,$BA$205^A30,IF(A30='Données projet'!$A$88,'Données projet'!$B$88,BD29+BC30-BL29)))</f>
        <v>187.60000000000011</v>
      </c>
      <c r="BE30" s="14">
        <f>BD30*VLOOKUP('Données projet'!$B$11,Paramètres!$A$1:$I$88,3,0)*VLOOKUP('Données projet'!$B$11,Paramètres!$A$1:$I$88,5,0)</f>
        <v>112.18480000000007</v>
      </c>
      <c r="BF30" s="14">
        <f t="shared" si="37"/>
        <v>29.845149809641946</v>
      </c>
      <c r="BG30" s="22">
        <f t="shared" si="7"/>
        <v>247.36882925179316</v>
      </c>
      <c r="BH30" s="62">
        <f t="shared" si="8"/>
        <v>537.0354959184599</v>
      </c>
      <c r="BI30" s="62">
        <f ca="1">AVERAGE(OFFSET($BH$3,0,0,'Données projet'!$E$11+1,1))-AVERAGE(OFFSET($H$3,0,0,'Données projet'!$E$11+1,1))</f>
        <v>311.82072478731385</v>
      </c>
      <c r="BJ30" s="62">
        <f t="shared" si="38"/>
        <v>356.36714671797864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16.118363822747643</v>
      </c>
      <c r="BR30" s="23">
        <f>EXP(-LN(2)/2)*BR29+(1-EXP(-LN(2)/2))/(LN(2)/2)*BL30*BO30*VLOOKUP('Données projet'!$B$11,Paramètres!$A$1:$I$88,3,0)*0.475*44/12</f>
        <v>8.4048130196073991</v>
      </c>
      <c r="BS30" s="24">
        <f t="shared" si="9"/>
        <v>24.523176842355042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174</v>
      </c>
      <c r="BZ30" s="14">
        <f>BY30*VLOOKUP('Données projet'!$B$12,Paramètres!$A$1:$I$88,3,0)*VLOOKUP('Données projet'!$B$12,Paramètres!$A$1:$I$88,5,0)</f>
        <v>81.432000000000002</v>
      </c>
      <c r="CA30" s="14">
        <f t="shared" si="39"/>
        <v>22.486953220240881</v>
      </c>
      <c r="CB30" s="22">
        <f t="shared" si="10"/>
        <v>180.99217685858619</v>
      </c>
      <c r="CC30" s="62">
        <f t="shared" si="11"/>
        <v>470.65884352525291</v>
      </c>
      <c r="CD30" s="62">
        <f ca="1">AVERAGE(OFFSET($CC$3,0,0,'Données projet'!$E$12+1,1))-AVERAGE(OFFSET($H$3,0,0,'Données projet'!$E$12+1,1))</f>
        <v>218.39403703215032</v>
      </c>
      <c r="CE30" s="62">
        <f t="shared" si="40"/>
        <v>254.08208375594052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6.2745583218470058</v>
      </c>
      <c r="CM30" s="23">
        <f>EXP(-LN(2)/2)*CM29+(1-EXP(-LN(2)/2))/(LN(2)/2)*CG30*CJ30*VLOOKUP('Données projet'!$B$12,Paramètres!$A$1:$I$88,3,0)*0.475*44/12</f>
        <v>0.824307165868987</v>
      </c>
      <c r="CN30" s="24">
        <f t="shared" si="12"/>
        <v>7.0988654877159929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373.09674935534343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9.4</v>
      </c>
      <c r="AI31" s="14">
        <f>IF('Données projet'!$A$62&gt;35,AI30+AH31-AQ30,IF(A31&lt;'Données projet'!$A$62,$AF$205^A31,IF(A31='Données projet'!$A$62,'Données projet'!$B$62,AI30+AH31-AQ30)))</f>
        <v>97.2</v>
      </c>
      <c r="AJ31" s="14">
        <f>AI31*VLOOKUP('Données projet'!$B$10,Paramètres!$A$1:$I$88,3,0)*VLOOKUP('Données projet'!$B$10,Paramètres!$A$1:$I$88,5,0)</f>
        <v>92.495519999999999</v>
      </c>
      <c r="AK31" s="14">
        <f t="shared" si="35"/>
        <v>25.166122941067407</v>
      </c>
      <c r="AL31" s="22">
        <f t="shared" si="4"/>
        <v>204.92736145569242</v>
      </c>
      <c r="AM31" s="62">
        <f t="shared" si="5"/>
        <v>495.81625034458125</v>
      </c>
      <c r="AN31" s="62">
        <f ca="1">AVERAGE(OFFSET($AM$3,0,0,'Données projet'!$E$10+1,1))-AVERAGE(OFFSET($H$3,0,0,'Données projet'!$E$10+1,1))</f>
        <v>509.66893546110458</v>
      </c>
      <c r="AO31" s="62">
        <f t="shared" si="36"/>
        <v>280.1645836141924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18.8</v>
      </c>
      <c r="BD31" s="13">
        <f>IF('Données projet'!$A$88&gt;35,BD30+BC31-BL30,IF(A31&lt;'Données projet'!$A$88,$BA$205^A31,IF(A31='Données projet'!$A$88,'Données projet'!$B$88,BD30+BC31-BL30)))</f>
        <v>206.40000000000012</v>
      </c>
      <c r="BE31" s="14">
        <f>BD31*VLOOKUP('Données projet'!$B$11,Paramètres!$A$1:$I$88,3,0)*VLOOKUP('Données projet'!$B$11,Paramètres!$A$1:$I$88,5,0)</f>
        <v>123.42720000000008</v>
      </c>
      <c r="BF31" s="14">
        <f t="shared" si="37"/>
        <v>32.473022671122109</v>
      </c>
      <c r="BG31" s="22">
        <f t="shared" si="7"/>
        <v>271.52622115220447</v>
      </c>
      <c r="BH31" s="62">
        <f t="shared" si="8"/>
        <v>562.41511004109339</v>
      </c>
      <c r="BI31" s="62">
        <f ca="1">AVERAGE(OFFSET($BH$3,0,0,'Données projet'!$E$11+1,1))-AVERAGE(OFFSET($H$3,0,0,'Données projet'!$E$11+1,1))</f>
        <v>311.82072478731385</v>
      </c>
      <c r="BJ31" s="62">
        <f t="shared" si="38"/>
        <v>356.36714671797864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15.677606316386694</v>
      </c>
      <c r="BR31" s="23">
        <f>EXP(-LN(2)/2)*BR30+(1-EXP(-LN(2)/2))/(LN(2)/2)*BL31*BO31*VLOOKUP('Données projet'!$B$11,Paramètres!$A$1:$I$88,3,0)*0.475*44/12</f>
        <v>5.9431002807693751</v>
      </c>
      <c r="BS31" s="24">
        <f t="shared" si="9"/>
        <v>21.620706597156069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186</v>
      </c>
      <c r="BZ31" s="14">
        <f>BY31*VLOOKUP('Données projet'!$B$12,Paramètres!$A$1:$I$88,3,0)*VLOOKUP('Données projet'!$B$12,Paramètres!$A$1:$I$88,5,0)</f>
        <v>87.048000000000002</v>
      </c>
      <c r="CA31" s="14">
        <f t="shared" si="39"/>
        <v>23.851897708444891</v>
      </c>
      <c r="CB31" s="22">
        <f t="shared" si="10"/>
        <v>193.15065517554152</v>
      </c>
      <c r="CC31" s="62">
        <f t="shared" si="11"/>
        <v>484.0395440644304</v>
      </c>
      <c r="CD31" s="62">
        <f ca="1">AVERAGE(OFFSET($CC$3,0,0,'Données projet'!$E$12+1,1))-AVERAGE(OFFSET($H$3,0,0,'Données projet'!$E$12+1,1))</f>
        <v>218.39403703215032</v>
      </c>
      <c r="CE31" s="62">
        <f t="shared" si="40"/>
        <v>254.08208375594052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6.1029801945714182</v>
      </c>
      <c r="CM31" s="23">
        <f>EXP(-LN(2)/2)*CM30+(1-EXP(-LN(2)/2))/(LN(2)/2)*CG31*CJ31*VLOOKUP('Données projet'!$B$12,Paramètres!$A$1:$I$88,3,0)*0.475*44/12</f>
        <v>0.58287318676662492</v>
      </c>
      <c r="CN31" s="24">
        <f t="shared" si="12"/>
        <v>6.6858533813380427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373.09674935534343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9.4</v>
      </c>
      <c r="AI32" s="14">
        <f>IF('Données projet'!$A$62&gt;35,AI31+AH32-AQ31,IF(A32&lt;'Données projet'!$A$62,$AF$205^A32,IF(A32='Données projet'!$A$62,'Données projet'!$B$62,AI31+AH32-AQ31)))</f>
        <v>106.60000000000001</v>
      </c>
      <c r="AJ32" s="14">
        <f>AI32*VLOOKUP('Données projet'!$B$10,Paramètres!$A$1:$I$88,3,0)*VLOOKUP('Données projet'!$B$10,Paramètres!$A$1:$I$88,5,0)</f>
        <v>101.44056000000002</v>
      </c>
      <c r="AK32" s="14">
        <f t="shared" si="35"/>
        <v>27.304904898847315</v>
      </c>
      <c r="AL32" s="22">
        <f t="shared" si="4"/>
        <v>224.23168469882577</v>
      </c>
      <c r="AM32" s="62">
        <f t="shared" si="5"/>
        <v>516.34279580993689</v>
      </c>
      <c r="AN32" s="62">
        <f ca="1">AVERAGE(OFFSET($AM$3,0,0,'Données projet'!$E$10+1,1))-AVERAGE(OFFSET($H$3,0,0,'Données projet'!$E$10+1,1))</f>
        <v>509.66893546110458</v>
      </c>
      <c r="AO32" s="62">
        <f t="shared" si="36"/>
        <v>280.1645836141924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18.8</v>
      </c>
      <c r="BD32" s="13">
        <f>IF('Données projet'!$A$88&gt;35,BD31+BC32-BL31,IF(A32&lt;'Données projet'!$A$88,$BA$205^A32,IF(A32='Données projet'!$A$88,'Données projet'!$B$88,BD31+BC32-BL31)))</f>
        <v>225.20000000000013</v>
      </c>
      <c r="BE32" s="14">
        <f>BD32*VLOOKUP('Données projet'!$B$11,Paramètres!$A$1:$I$88,3,0)*VLOOKUP('Données projet'!$B$11,Paramètres!$A$1:$I$88,5,0)</f>
        <v>134.66960000000009</v>
      </c>
      <c r="BF32" s="14">
        <f t="shared" si="37"/>
        <v>35.073140668601305</v>
      </c>
      <c r="BG32" s="22">
        <f t="shared" si="7"/>
        <v>295.6352733311474</v>
      </c>
      <c r="BH32" s="62">
        <f t="shared" si="8"/>
        <v>587.74638444225855</v>
      </c>
      <c r="BI32" s="62">
        <f ca="1">AVERAGE(OFFSET($BH$3,0,0,'Données projet'!$E$11+1,1))-AVERAGE(OFFSET($H$3,0,0,'Données projet'!$E$11+1,1))</f>
        <v>311.82072478731385</v>
      </c>
      <c r="BJ32" s="62">
        <f t="shared" si="38"/>
        <v>356.36714671797864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15.248901347215615</v>
      </c>
      <c r="BR32" s="23">
        <f>EXP(-LN(2)/2)*BR31+(1-EXP(-LN(2)/2))/(LN(2)/2)*BL32*BO32*VLOOKUP('Données projet'!$B$11,Paramètres!$A$1:$I$88,3,0)*0.475*44/12</f>
        <v>4.2024065098036996</v>
      </c>
      <c r="BS32" s="24">
        <f t="shared" si="9"/>
        <v>19.451307857019316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198</v>
      </c>
      <c r="BZ32" s="14">
        <f>BY32*VLOOKUP('Données projet'!$B$12,Paramètres!$A$1:$I$88,3,0)*VLOOKUP('Données projet'!$B$12,Paramètres!$A$1:$I$88,5,0)</f>
        <v>92.664000000000001</v>
      </c>
      <c r="CA32" s="14">
        <f t="shared" si="39"/>
        <v>25.206622814445748</v>
      </c>
      <c r="CB32" s="22">
        <f t="shared" si="10"/>
        <v>205.29133473515969</v>
      </c>
      <c r="CC32" s="62">
        <f t="shared" si="11"/>
        <v>497.40244584627084</v>
      </c>
      <c r="CD32" s="62">
        <f ca="1">AVERAGE(OFFSET($CC$3,0,0,'Données projet'!$E$12+1,1))-AVERAGE(OFFSET($H$3,0,0,'Données projet'!$E$12+1,1))</f>
        <v>218.39403703215032</v>
      </c>
      <c r="CE32" s="62">
        <f t="shared" si="40"/>
        <v>254.08208375594052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5.936093880209083</v>
      </c>
      <c r="CM32" s="23">
        <f>EXP(-LN(2)/2)*CM31+(1-EXP(-LN(2)/2))/(LN(2)/2)*CG32*CJ32*VLOOKUP('Données projet'!$B$12,Paramètres!$A$1:$I$88,3,0)*0.475*44/12</f>
        <v>0.4121535829344935</v>
      </c>
      <c r="CN32" s="24">
        <f t="shared" si="12"/>
        <v>6.3482474631435766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373.09674935534343</v>
      </c>
      <c r="T33" s="62">
        <f t="shared" si="34"/>
        <v>231.36959598460686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116</v>
      </c>
      <c r="AG33" s="13">
        <f>VLOOKUP(A33,'Données projet'!$A$61:$I$81,9,0)</f>
        <v>9.4</v>
      </c>
      <c r="AH33" s="13">
        <f t="array" ref="AH33">INDEX(AG:AG,MIN(IF(ISNUMBER(AG33:AG229),ROW(AG33:AG229),"")))</f>
        <v>9.4</v>
      </c>
      <c r="AI33" s="14">
        <f>IF('Données projet'!$A$62&gt;35,AI32+AH33-AQ32,IF(A33&lt;'Données projet'!$A$62,$AF$205^A33,IF(A33='Données projet'!$A$62,'Données projet'!$B$62,AI32+AH33-AQ32)))</f>
        <v>116.00000000000001</v>
      </c>
      <c r="AJ33" s="14">
        <f>AI33*VLOOKUP('Données projet'!$B$10,Paramètres!$A$1:$I$88,3,0)*VLOOKUP('Données projet'!$B$10,Paramètres!$A$1:$I$88,5,0)</f>
        <v>110.38560000000001</v>
      </c>
      <c r="AK33" s="14">
        <f t="shared" si="35"/>
        <v>29.421816429201407</v>
      </c>
      <c r="AL33" s="22">
        <f t="shared" si="4"/>
        <v>243.49791694752579</v>
      </c>
      <c r="AM33" s="62">
        <f t="shared" si="5"/>
        <v>536.83125028085908</v>
      </c>
      <c r="AN33" s="62">
        <f ca="1">AVERAGE(OFFSET($AM$3,0,0,'Données projet'!$E$10+1,1))-AVERAGE(OFFSET($H$3,0,0,'Données projet'!$E$10+1,1))</f>
        <v>509.66893546110458</v>
      </c>
      <c r="AO33" s="62">
        <f t="shared" si="36"/>
        <v>280.1645836141924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244</v>
      </c>
      <c r="BB33" s="13">
        <f>VLOOKUP(A33,'Données projet'!$A$87:$I$107,9,0)</f>
        <v>18.8</v>
      </c>
      <c r="BC33" s="13">
        <f t="array" ref="BC33">INDEX(BB:BB,MIN(IF(ISNUMBER(BB33:BB229),ROW(BB33:BB229),"")))</f>
        <v>18.8</v>
      </c>
      <c r="BD33" s="13">
        <f>IF('Données projet'!$A$88&gt;35,BD32+BC33-BL32,IF(A33&lt;'Données projet'!$A$88,$BA$205^A33,IF(A33='Données projet'!$A$88,'Données projet'!$B$88,BD32+BC33-BL32)))</f>
        <v>244.00000000000014</v>
      </c>
      <c r="BE33" s="14">
        <f>BD33*VLOOKUP('Données projet'!$B$11,Paramètres!$A$1:$I$88,3,0)*VLOOKUP('Données projet'!$B$11,Paramètres!$A$1:$I$88,5,0)</f>
        <v>145.91200000000009</v>
      </c>
      <c r="BF33" s="14">
        <f t="shared" si="37"/>
        <v>37.648084239987661</v>
      </c>
      <c r="BG33" s="22">
        <f t="shared" si="7"/>
        <v>319.70048005131201</v>
      </c>
      <c r="BH33" s="62">
        <f t="shared" si="8"/>
        <v>613.03381338464533</v>
      </c>
      <c r="BI33" s="62">
        <f ca="1">AVERAGE(OFFSET($BH$3,0,0,'Données projet'!$E$11+1,1))-AVERAGE(OFFSET($H$3,0,0,'Données projet'!$E$11+1,1))</f>
        <v>311.82072478731385</v>
      </c>
      <c r="BJ33" s="62">
        <f t="shared" si="38"/>
        <v>356.36714671797864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49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0.25200000000000006</v>
      </c>
      <c r="BO33" s="17">
        <f>IF(ISNA(VLOOKUP(A33,'Données projet'!$A$87:$I$107,7,0)),0%,VLOOKUP(A33,'Données projet'!$A$87:$I$107,7,0))</f>
        <v>0.44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24.58884066352293</v>
      </c>
      <c r="BR33" s="23">
        <f>EXP(-LN(2)/2)*BR32+(1-EXP(-LN(2)/2))/(LN(2)/2)*BL33*BO33*VLOOKUP('Données projet'!$B$11,Paramètres!$A$1:$I$88,3,0)*0.475*44/12</f>
        <v>17.569285284517704</v>
      </c>
      <c r="BS33" s="24">
        <f t="shared" si="9"/>
        <v>42.158125948040635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210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210</v>
      </c>
      <c r="BZ33" s="14">
        <f>BY33*VLOOKUP('Données projet'!$B$12,Paramètres!$A$1:$I$88,3,0)*VLOOKUP('Données projet'!$B$12,Paramètres!$A$1:$I$88,5,0)</f>
        <v>98.28</v>
      </c>
      <c r="CA33" s="14">
        <f t="shared" si="39"/>
        <v>26.551818424463473</v>
      </c>
      <c r="CB33" s="22">
        <f t="shared" si="10"/>
        <v>217.41541708927389</v>
      </c>
      <c r="CC33" s="62">
        <f t="shared" si="11"/>
        <v>510.7487504226072</v>
      </c>
      <c r="CD33" s="62">
        <f ca="1">AVERAGE(OFFSET($CC$3,0,0,'Données projet'!$E$12+1,1))-AVERAGE(OFFSET($H$3,0,0,'Données projet'!$E$12+1,1))</f>
        <v>218.39403703215032</v>
      </c>
      <c r="CE33" s="62">
        <f t="shared" si="40"/>
        <v>254.08208375594052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60</v>
      </c>
      <c r="CH33" s="17">
        <f>IF(ISNA(VLOOKUP(A33,'Données projet'!$A$113:$I$133,5,0)),0%,VLOOKUP(A33,'Données projet'!$A$113:$I$133,5,0)*VLOOKUP('Données projet'!$B$12,Paramètres!$A$1:$I$88,7,0))</f>
        <v>0.16500000000000001</v>
      </c>
      <c r="CI33" s="17">
        <f>IF(ISNA(VLOOKUP(A33,'Données projet'!$A$113:$I$133,6,0)),0%,VLOOKUP(A33,'Données projet'!$A$113:$I$133,6,0)*VLOOKUP('Données projet'!$B$12,Paramètres!$A$1:$I$88,7,0))</f>
        <v>0.21560000000000001</v>
      </c>
      <c r="CJ33" s="17">
        <f>IF(ISNA(VLOOKUP(A33,'Données projet'!$A$113:$I$133,7,0)),0%,VLOOKUP(A33,'Données projet'!$A$113:$I$133,7,0))</f>
        <v>0.308</v>
      </c>
      <c r="CK33" s="23">
        <f>EXP(-LN(2)/35)*CK32+(1-EXP(-LN(2)/35))/(LN(2)/35)*CG33*CH33*VLOOKUP('Données projet'!$B$12,Paramètres!$A$1:$I$88,3,0)*0.475*44/12</f>
        <v>6.1462384349424779</v>
      </c>
      <c r="CL33" s="23">
        <f>EXP(-LN(2)/25)*CL32+(1-EXP(-LN(2)/25))/(LN(2)/25)*Calculateur!CG33*Calculateur!CI33*VLOOKUP('Données projet'!$B$12,Paramètres!$A$1:$I$88,3,0)*0.475*44/12</f>
        <v>13.773234527925409</v>
      </c>
      <c r="CM33" s="23">
        <f>EXP(-LN(2)/2)*CM32+(1-EXP(-LN(2)/2))/(LN(2)/2)*CG33*CJ33*VLOOKUP('Données projet'!$B$12,Paramètres!$A$1:$I$88,3,0)*0.475*44/12</f>
        <v>10.083706131062607</v>
      </c>
      <c r="CN33" s="24">
        <f t="shared" si="12"/>
        <v>30.003179093930491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projet'!$B$9,Paramètres!$A$1:$I$88,3,0)*VLOOKUP('Données projet'!$B$9,Paramètres!$A$1:$I$88,5,0)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373.09674935534343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10.199999999999999</v>
      </c>
      <c r="AI34" s="14">
        <f>IF('Données projet'!$A$62&gt;35,AI33+AH34-AQ33,IF(A34&lt;'Données projet'!$A$62,$AF$205^A34,IF(A34='Données projet'!$A$62,'Données projet'!$B$62,AI33+AH34-AQ33)))</f>
        <v>98.200000000000017</v>
      </c>
      <c r="AJ34" s="14">
        <f>AI34*VLOOKUP('Données projet'!$B$10,Paramètres!$A$1:$I$88,3,0)*VLOOKUP('Données projet'!$B$10,Paramètres!$A$1:$I$88,5,0)</f>
        <v>93.447120000000012</v>
      </c>
      <c r="AK34" s="14">
        <f t="shared" si="35"/>
        <v>25.394760001885768</v>
      </c>
      <c r="AL34" s="22">
        <f t="shared" si="4"/>
        <v>206.9829410032844</v>
      </c>
      <c r="AM34" s="62">
        <f t="shared" si="5"/>
        <v>500.31627433661771</v>
      </c>
      <c r="AN34" s="62">
        <f ca="1">AVERAGE(OFFSET($AM$3,0,0,'Données projet'!$E$10+1,1))-AVERAGE(OFFSET($H$3,0,0,'Données projet'!$E$10+1,1))</f>
        <v>509.66893546110458</v>
      </c>
      <c r="AO34" s="62">
        <f t="shared" si="36"/>
        <v>280.1645836141924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19</v>
      </c>
      <c r="BD34" s="13">
        <f>IF('Données projet'!$A$88&gt;35,BD33+BC34-BL33,IF(A34&lt;'Données projet'!$A$88,$BA$205^A34,IF(A34='Données projet'!$A$88,'Données projet'!$B$88,BD33+BC34-BL33)))</f>
        <v>214.00000000000011</v>
      </c>
      <c r="BE34" s="14">
        <f>BD34*VLOOKUP('Données projet'!$B$11,Paramètres!$A$1:$I$88,3,0)*VLOOKUP('Données projet'!$B$11,Paramètres!$A$1:$I$88,5,0)</f>
        <v>127.97200000000008</v>
      </c>
      <c r="BF34" s="14">
        <f t="shared" si="37"/>
        <v>33.527320123852874</v>
      </c>
      <c r="BG34" s="22">
        <f t="shared" si="7"/>
        <v>281.27798254904388</v>
      </c>
      <c r="BH34" s="62">
        <f t="shared" si="8"/>
        <v>574.6113158823772</v>
      </c>
      <c r="BI34" s="62">
        <f ca="1">AVERAGE(OFFSET($BH$3,0,0,'Données projet'!$E$11+1,1))-AVERAGE(OFFSET($H$3,0,0,'Données projet'!$E$11+1,1))</f>
        <v>311.82072478731385</v>
      </c>
      <c r="BJ34" s="62">
        <f t="shared" si="38"/>
        <v>356.36714671797864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23.916457522507965</v>
      </c>
      <c r="BR34" s="23">
        <f>EXP(-LN(2)/2)*BR33+(1-EXP(-LN(2)/2))/(LN(2)/2)*BL34*BO34*VLOOKUP('Données projet'!$B$11,Paramètres!$A$1:$I$88,3,0)*0.475*44/12</f>
        <v>12.423360765283491</v>
      </c>
      <c r="BS34" s="24">
        <f t="shared" si="9"/>
        <v>36.339818287791459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</v>
      </c>
      <c r="BY34" s="13">
        <f>IF('Données projet'!$A$114&gt;35,BY33+BX34-CG33,IF(A34&lt;'Données projet'!$A$114,$BV$205^A34,IF(A34='Données projet'!$A$114,'Données projet'!$B$114,BY33+BX34-CG33)))</f>
        <v>164</v>
      </c>
      <c r="BZ34" s="14">
        <f>BY34*VLOOKUP('Données projet'!$B$12,Paramètres!$A$1:$I$88,3,0)*VLOOKUP('Données projet'!$B$12,Paramètres!$A$1:$I$88,5,0)</f>
        <v>76.751999999999995</v>
      </c>
      <c r="CA34" s="14">
        <f t="shared" si="39"/>
        <v>21.341125747045119</v>
      </c>
      <c r="CB34" s="22">
        <f t="shared" si="10"/>
        <v>170.84552734277023</v>
      </c>
      <c r="CC34" s="62">
        <f t="shared" si="11"/>
        <v>464.17886067610357</v>
      </c>
      <c r="CD34" s="62">
        <f ca="1">AVERAGE(OFFSET($CC$3,0,0,'Données projet'!$E$12+1,1))-AVERAGE(OFFSET($H$3,0,0,'Données projet'!$E$12+1,1))</f>
        <v>218.39403703215032</v>
      </c>
      <c r="CE34" s="62">
        <f t="shared" si="40"/>
        <v>254.08208375594052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6.0257144480685341</v>
      </c>
      <c r="CL34" s="23">
        <f>EXP(-LN(2)/25)*CL33+(1-EXP(-LN(2)/25))/(LN(2)/25)*Calculateur!CG34*Calculateur!CI34*VLOOKUP('Données projet'!$B$12,Paramètres!$A$1:$I$88,3,0)*0.475*44/12</f>
        <v>13.396604705456364</v>
      </c>
      <c r="CM34" s="23">
        <f>EXP(-LN(2)/2)*CM33+(1-EXP(-LN(2)/2))/(LN(2)/2)*CG34*CJ34*VLOOKUP('Données projet'!$B$12,Paramètres!$A$1:$I$88,3,0)*0.475*44/12</f>
        <v>7.130256984766735</v>
      </c>
      <c r="CN34" s="24">
        <f t="shared" si="12"/>
        <v>26.552576138291631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projet'!$B$9,Paramètres!$A$1:$I$88,3,0)*VLOOKUP('Données projet'!$B$9,Paramètres!$A$1:$I$88,5,0)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373.09674935534343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10.199999999999999</v>
      </c>
      <c r="AI35" s="14">
        <f>IF('Données projet'!$A$62&gt;35,AI34+AH35-AQ34,IF(A35&lt;'Données projet'!$A$62,$AF$205^A35,IF(A35='Données projet'!$A$62,'Données projet'!$B$62,AI34+AH35-AQ34)))</f>
        <v>108.40000000000002</v>
      </c>
      <c r="AJ35" s="14">
        <f>AI35*VLOOKUP('Données projet'!$B$10,Paramètres!$A$1:$I$88,3,0)*VLOOKUP('Données projet'!$B$10,Paramètres!$A$1:$I$88,5,0)</f>
        <v>103.15344000000002</v>
      </c>
      <c r="AK35" s="14">
        <f t="shared" si="35"/>
        <v>27.711898263236939</v>
      </c>
      <c r="AL35" s="22">
        <f t="shared" si="4"/>
        <v>227.92379747513769</v>
      </c>
      <c r="AM35" s="62">
        <f t="shared" si="5"/>
        <v>521.25713080847095</v>
      </c>
      <c r="AN35" s="62">
        <f ca="1">AVERAGE(OFFSET($AM$3,0,0,'Données projet'!$E$10+1,1))-AVERAGE(OFFSET($H$3,0,0,'Données projet'!$E$10+1,1))</f>
        <v>509.66893546110458</v>
      </c>
      <c r="AO35" s="62">
        <f t="shared" si="36"/>
        <v>280.1645836141924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19</v>
      </c>
      <c r="BD35" s="13">
        <f>IF('Données projet'!$A$88&gt;35,BD34+BC35-BL34,IF(A35&lt;'Données projet'!$A$88,$BA$205^A35,IF(A35='Données projet'!$A$88,'Données projet'!$B$88,BD34+BC35-BL34)))</f>
        <v>233.00000000000011</v>
      </c>
      <c r="BE35" s="14">
        <f>BD35*VLOOKUP('Données projet'!$B$11,Paramètres!$A$1:$I$88,3,0)*VLOOKUP('Données projet'!$B$11,Paramètres!$A$1:$I$88,5,0)</f>
        <v>139.33400000000009</v>
      </c>
      <c r="BF35" s="14">
        <f t="shared" si="37"/>
        <v>36.144391930570897</v>
      </c>
      <c r="BG35" s="22">
        <f t="shared" si="7"/>
        <v>305.62486594574449</v>
      </c>
      <c r="BH35" s="62">
        <f t="shared" si="8"/>
        <v>598.9581992790778</v>
      </c>
      <c r="BI35" s="62">
        <f ca="1">AVERAGE(OFFSET($BH$3,0,0,'Données projet'!$E$11+1,1))-AVERAGE(OFFSET($H$3,0,0,'Données projet'!$E$11+1,1))</f>
        <v>311.82072478731385</v>
      </c>
      <c r="BJ35" s="62">
        <f t="shared" si="38"/>
        <v>356.36714671797864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23.262460733843145</v>
      </c>
      <c r="BR35" s="23">
        <f>EXP(-LN(2)/2)*BR34+(1-EXP(-LN(2)/2))/(LN(2)/2)*BL35*BO35*VLOOKUP('Données projet'!$B$11,Paramètres!$A$1:$I$88,3,0)*0.475*44/12</f>
        <v>8.7846426422588539</v>
      </c>
      <c r="BS35" s="24">
        <f t="shared" si="9"/>
        <v>32.047103376102001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</v>
      </c>
      <c r="BY35" s="13">
        <f>IF('Données projet'!$A$114&gt;35,BY34+BX35-CG34,IF(A35&lt;'Données projet'!$A$114,$BV$205^A35,IF(A35='Données projet'!$A$114,'Données projet'!$B$114,BY34+BX35-CG34)))</f>
        <v>178</v>
      </c>
      <c r="BZ35" s="14">
        <f>BY35*VLOOKUP('Données projet'!$B$12,Paramètres!$A$1:$I$88,3,0)*VLOOKUP('Données projet'!$B$12,Paramètres!$A$1:$I$88,5,0)</f>
        <v>83.304000000000002</v>
      </c>
      <c r="CA35" s="14">
        <f t="shared" si="39"/>
        <v>22.943116727725609</v>
      </c>
      <c r="CB35" s="22">
        <f t="shared" si="10"/>
        <v>185.04706163412209</v>
      </c>
      <c r="CC35" s="62">
        <f t="shared" si="11"/>
        <v>478.3803949674554</v>
      </c>
      <c r="CD35" s="62">
        <f ca="1">AVERAGE(OFFSET($CC$3,0,0,'Données projet'!$E$12+1,1))-AVERAGE(OFFSET($H$3,0,0,'Données projet'!$E$12+1,1))</f>
        <v>218.39403703215032</v>
      </c>
      <c r="CE35" s="62">
        <f t="shared" si="40"/>
        <v>254.08208375594052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5.9075538630648152</v>
      </c>
      <c r="CL35" s="23">
        <f>EXP(-LN(2)/25)*CL34+(1-EXP(-LN(2)/25))/(LN(2)/25)*Calculateur!CG35*Calculateur!CI35*VLOOKUP('Données projet'!$B$12,Paramètres!$A$1:$I$88,3,0)*0.475*44/12</f>
        <v>13.030273845288836</v>
      </c>
      <c r="CM35" s="23">
        <f>EXP(-LN(2)/2)*CM34+(1-EXP(-LN(2)/2))/(LN(2)/2)*CG35*CJ35*VLOOKUP('Données projet'!$B$12,Paramètres!$A$1:$I$88,3,0)*0.475*44/12</f>
        <v>5.0418530655313045</v>
      </c>
      <c r="CN35" s="24">
        <f t="shared" si="12"/>
        <v>23.979680773884958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projet'!$B$9,Paramètres!$A$1:$I$88,3,0)*VLOOKUP('Données projet'!$B$9,Paramètres!$A$1:$I$88,5,0)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373.09674935534343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10.199999999999999</v>
      </c>
      <c r="AI36" s="14">
        <f>IF('Données projet'!$A$62&gt;35,AI35+AH36-AQ35,IF(A36&lt;'Données projet'!$A$62,$AF$205^A36,IF(A36='Données projet'!$A$62,'Données projet'!$B$62,AI35+AH36-AQ35)))</f>
        <v>118.60000000000002</v>
      </c>
      <c r="AJ36" s="14">
        <f>AI36*VLOOKUP('Données projet'!$B$10,Paramètres!$A$1:$I$88,3,0)*VLOOKUP('Données projet'!$B$10,Paramètres!$A$1:$I$88,5,0)</f>
        <v>112.85976000000004</v>
      </c>
      <c r="AK36" s="14">
        <f t="shared" si="35"/>
        <v>30.003756582475035</v>
      </c>
      <c r="AL36" s="22">
        <f t="shared" si="4"/>
        <v>248.82062471447747</v>
      </c>
      <c r="AM36" s="62">
        <f t="shared" si="5"/>
        <v>542.15395804781076</v>
      </c>
      <c r="AN36" s="62">
        <f ca="1">AVERAGE(OFFSET($AM$3,0,0,'Données projet'!$E$10+1,1))-AVERAGE(OFFSET($H$3,0,0,'Données projet'!$E$10+1,1))</f>
        <v>509.66893546110458</v>
      </c>
      <c r="AO36" s="62">
        <f t="shared" si="36"/>
        <v>280.1645836141924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19</v>
      </c>
      <c r="BD36" s="13">
        <f>IF('Données projet'!$A$88&gt;35,BD35+BC36-BL35,IF(A36&lt;'Données projet'!$A$88,$BA$205^A36,IF(A36='Données projet'!$A$88,'Données projet'!$B$88,BD35+BC36-BL35)))</f>
        <v>252.00000000000011</v>
      </c>
      <c r="BE36" s="14">
        <f>BD36*VLOOKUP('Données projet'!$B$11,Paramètres!$A$1:$I$88,3,0)*VLOOKUP('Données projet'!$B$11,Paramètres!$A$1:$I$88,5,0)</f>
        <v>150.69600000000008</v>
      </c>
      <c r="BF36" s="14">
        <f t="shared" si="37"/>
        <v>38.736711478840668</v>
      </c>
      <c r="BG36" s="22">
        <f t="shared" si="7"/>
        <v>329.92863915898096</v>
      </c>
      <c r="BH36" s="62">
        <f t="shared" si="8"/>
        <v>623.26197249231427</v>
      </c>
      <c r="BI36" s="62">
        <f ca="1">AVERAGE(OFFSET($BH$3,0,0,'Données projet'!$E$11+1,1))-AVERAGE(OFFSET($H$3,0,0,'Données projet'!$E$11+1,1))</f>
        <v>311.82072478731385</v>
      </c>
      <c r="BJ36" s="62">
        <f t="shared" si="38"/>
        <v>356.36714671797864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22.626347521756561</v>
      </c>
      <c r="BR36" s="23">
        <f>EXP(-LN(2)/2)*BR35+(1-EXP(-LN(2)/2))/(LN(2)/2)*BL36*BO36*VLOOKUP('Données projet'!$B$11,Paramètres!$A$1:$I$88,3,0)*0.475*44/12</f>
        <v>6.2116803826417462</v>
      </c>
      <c r="BS36" s="24">
        <f t="shared" si="9"/>
        <v>28.838027904398306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</v>
      </c>
      <c r="BY36" s="13">
        <f>IF('Données projet'!$A$114&gt;35,BY35+BX36-CG35,IF(A36&lt;'Données projet'!$A$114,$BV$205^A36,IF(A36='Données projet'!$A$114,'Données projet'!$B$114,BY35+BX36-CG35)))</f>
        <v>192</v>
      </c>
      <c r="BZ36" s="14">
        <f>BY36*VLOOKUP('Données projet'!$B$12,Paramètres!$A$1:$I$88,3,0)*VLOOKUP('Données projet'!$B$12,Paramètres!$A$1:$I$88,5,0)</f>
        <v>89.856000000000009</v>
      </c>
      <c r="CA36" s="14">
        <f t="shared" si="39"/>
        <v>24.5304924254994</v>
      </c>
      <c r="CB36" s="22">
        <f t="shared" si="10"/>
        <v>199.22314097441145</v>
      </c>
      <c r="CC36" s="62">
        <f t="shared" si="11"/>
        <v>492.55647430774479</v>
      </c>
      <c r="CD36" s="62">
        <f ca="1">AVERAGE(OFFSET($CC$3,0,0,'Données projet'!$E$12+1,1))-AVERAGE(OFFSET($H$3,0,0,'Données projet'!$E$12+1,1))</f>
        <v>218.39403703215032</v>
      </c>
      <c r="CE36" s="62">
        <f t="shared" si="40"/>
        <v>254.08208375594052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5.791710335062179</v>
      </c>
      <c r="CL36" s="23">
        <f>EXP(-LN(2)/25)*CL35+(1-EXP(-LN(2)/25))/(LN(2)/25)*Calculateur!CG36*Calculateur!CI36*VLOOKUP('Données projet'!$B$12,Paramètres!$A$1:$I$88,3,0)*0.475*44/12</f>
        <v>12.673960321757091</v>
      </c>
      <c r="CM36" s="23">
        <f>EXP(-LN(2)/2)*CM35+(1-EXP(-LN(2)/2))/(LN(2)/2)*CG36*CJ36*VLOOKUP('Données projet'!$B$12,Paramètres!$A$1:$I$88,3,0)*0.475*44/12</f>
        <v>3.5651284923833684</v>
      </c>
      <c r="CN36" s="24">
        <f t="shared" si="12"/>
        <v>22.03079914920264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projet'!$B$9,Paramètres!$A$1:$I$88,3,0)*VLOOKUP('Données projet'!$B$9,Paramètres!$A$1:$I$88,5,0)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373.09674935534343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10.199999999999999</v>
      </c>
      <c r="AI37" s="14">
        <f>IF('Données projet'!$A$62&gt;35,AI36+AH37-AQ36,IF(A37&lt;'Données projet'!$A$62,$AF$205^A37,IF(A37='Données projet'!$A$62,'Données projet'!$B$62,AI36+AH37-AQ36)))</f>
        <v>128.80000000000001</v>
      </c>
      <c r="AJ37" s="14">
        <f>AI37*VLOOKUP('Données projet'!$B$10,Paramètres!$A$1:$I$88,3,0)*VLOOKUP('Données projet'!$B$10,Paramètres!$A$1:$I$88,5,0)</f>
        <v>122.56608000000003</v>
      </c>
      <c r="AK37" s="14">
        <f t="shared" si="35"/>
        <v>32.27275631797108</v>
      </c>
      <c r="AL37" s="22">
        <f t="shared" si="4"/>
        <v>269.67763992046633</v>
      </c>
      <c r="AM37" s="62">
        <f t="shared" si="5"/>
        <v>563.01097325379965</v>
      </c>
      <c r="AN37" s="62">
        <f ca="1">AVERAGE(OFFSET($AM$3,0,0,'Données projet'!$E$10+1,1))-AVERAGE(OFFSET($H$3,0,0,'Données projet'!$E$10+1,1))</f>
        <v>509.66893546110458</v>
      </c>
      <c r="AO37" s="62">
        <f t="shared" si="36"/>
        <v>280.1645836141924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19</v>
      </c>
      <c r="BD37" s="13">
        <f>IF('Données projet'!$A$88&gt;35,BD36+BC37-BL36,IF(A37&lt;'Données projet'!$A$88,$BA$205^A37,IF(A37='Données projet'!$A$88,'Données projet'!$B$88,BD36+BC37-BL36)))</f>
        <v>271.00000000000011</v>
      </c>
      <c r="BE37" s="14">
        <f>BD37*VLOOKUP('Données projet'!$B$11,Paramètres!$A$1:$I$88,3,0)*VLOOKUP('Données projet'!$B$11,Paramètres!$A$1:$I$88,5,0)</f>
        <v>162.05800000000008</v>
      </c>
      <c r="BF37" s="14">
        <f t="shared" si="37"/>
        <v>41.306357213602411</v>
      </c>
      <c r="BG37" s="22">
        <f t="shared" si="7"/>
        <v>354.19292214702432</v>
      </c>
      <c r="BH37" s="62">
        <f t="shared" si="8"/>
        <v>647.52625548035758</v>
      </c>
      <c r="BI37" s="62">
        <f ca="1">AVERAGE(OFFSET($BH$3,0,0,'Données projet'!$E$11+1,1))-AVERAGE(OFFSET($H$3,0,0,'Données projet'!$E$11+1,1))</f>
        <v>311.82072478731385</v>
      </c>
      <c r="BJ37" s="62">
        <f t="shared" si="38"/>
        <v>356.36714671797864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22.007628858906223</v>
      </c>
      <c r="BR37" s="23">
        <f>EXP(-LN(2)/2)*BR36+(1-EXP(-LN(2)/2))/(LN(2)/2)*BL37*BO37*VLOOKUP('Données projet'!$B$11,Paramètres!$A$1:$I$88,3,0)*0.475*44/12</f>
        <v>4.392321321129427</v>
      </c>
      <c r="BS37" s="24">
        <f t="shared" si="9"/>
        <v>26.399950180035649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</v>
      </c>
      <c r="BY37" s="13">
        <f>IF('Données projet'!$A$114&gt;35,BY36+BX37-CG36,IF(A37&lt;'Données projet'!$A$114,$BV$205^A37,IF(A37='Données projet'!$A$114,'Données projet'!$B$114,BY36+BX37-CG36)))</f>
        <v>206</v>
      </c>
      <c r="BZ37" s="14">
        <f>BY37*VLOOKUP('Données projet'!$B$12,Paramètres!$A$1:$I$88,3,0)*VLOOKUP('Données projet'!$B$12,Paramètres!$A$1:$I$88,5,0)</f>
        <v>96.408000000000001</v>
      </c>
      <c r="CA37" s="14">
        <f t="shared" si="39"/>
        <v>26.104439731213546</v>
      </c>
      <c r="CB37" s="22">
        <f t="shared" si="10"/>
        <v>213.37583253186358</v>
      </c>
      <c r="CC37" s="62">
        <f t="shared" si="11"/>
        <v>506.70916586519689</v>
      </c>
      <c r="CD37" s="62">
        <f ca="1">AVERAGE(OFFSET($CC$3,0,0,'Données projet'!$E$12+1,1))-AVERAGE(OFFSET($H$3,0,0,'Données projet'!$E$12+1,1))</f>
        <v>218.39403703215032</v>
      </c>
      <c r="CE37" s="62">
        <f t="shared" si="40"/>
        <v>254.08208375594052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5.6781384279860996</v>
      </c>
      <c r="CL37" s="23">
        <f>EXP(-LN(2)/25)*CL36+(1-EXP(-LN(2)/25))/(LN(2)/25)*Calculateur!CG37*Calculateur!CI37*VLOOKUP('Données projet'!$B$12,Paramètres!$A$1:$I$88,3,0)*0.475*44/12</f>
        <v>12.327390210264037</v>
      </c>
      <c r="CM37" s="23">
        <f>EXP(-LN(2)/2)*CM36+(1-EXP(-LN(2)/2))/(LN(2)/2)*CG37*CJ37*VLOOKUP('Données projet'!$B$12,Paramètres!$A$1:$I$88,3,0)*0.475*44/12</f>
        <v>2.5209265327656527</v>
      </c>
      <c r="CN37" s="24">
        <f t="shared" si="12"/>
        <v>20.52645517101579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projet'!$B$9,Paramètres!$A$1:$I$88,3,0)*VLOOKUP('Données projet'!$B$9,Paramètres!$A$1:$I$88,5,0)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373.09674935534343</v>
      </c>
      <c r="T38" s="62">
        <f t="shared" si="34"/>
        <v>231.36959598460686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139</v>
      </c>
      <c r="AG38" s="13">
        <f>VLOOKUP(A38,'Données projet'!$A$61:$I$81,9,0)</f>
        <v>10.199999999999999</v>
      </c>
      <c r="AH38" s="13">
        <f t="array" ref="AH38">INDEX(AG:AG,MIN(IF(ISNUMBER(AG38:AG234),ROW(AG38:AG234),"")))</f>
        <v>10.199999999999999</v>
      </c>
      <c r="AI38" s="14">
        <f>IF('Données projet'!$A$62&gt;35,AI37+AH38-AQ37,IF(A38&lt;'Données projet'!$A$62,$AF$205^A38,IF(A38='Données projet'!$A$62,'Données projet'!$B$62,AI37+AH38-AQ37)))</f>
        <v>139</v>
      </c>
      <c r="AJ38" s="14">
        <f>AI38*VLOOKUP('Données projet'!$B$10,Paramètres!$A$1:$I$88,3,0)*VLOOKUP('Données projet'!$B$10,Paramètres!$A$1:$I$88,5,0)</f>
        <v>132.2724</v>
      </c>
      <c r="AK38" s="14">
        <f t="shared" si="35"/>
        <v>34.520913508292487</v>
      </c>
      <c r="AL38" s="22">
        <f t="shared" si="4"/>
        <v>290.4983543602761</v>
      </c>
      <c r="AM38" s="62">
        <f t="shared" si="5"/>
        <v>583.83168769360941</v>
      </c>
      <c r="AN38" s="62">
        <f ca="1">AVERAGE(OFFSET($AM$3,0,0,'Données projet'!$E$10+1,1))-AVERAGE(OFFSET($H$3,0,0,'Données projet'!$E$10+1,1))</f>
        <v>509.66893546110458</v>
      </c>
      <c r="AO38" s="62">
        <f t="shared" si="36"/>
        <v>280.1645836141924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290</v>
      </c>
      <c r="BB38" s="13">
        <f>VLOOKUP(A38,'Données projet'!$A$87:$I$107,9,0)</f>
        <v>19</v>
      </c>
      <c r="BC38" s="13">
        <f t="array" ref="BC38">INDEX(BB:BB,MIN(IF(ISNUMBER(BB38:BB234),ROW(BB38:BB234),"")))</f>
        <v>19</v>
      </c>
      <c r="BD38" s="13">
        <f>IF('Données projet'!$A$88&gt;35,BD37+BC38-BL37,IF(A38&lt;'Données projet'!$A$88,$BA$205^A38,IF(A38='Données projet'!$A$88,'Données projet'!$B$88,BD37+BC38-BL37)))</f>
        <v>290.00000000000011</v>
      </c>
      <c r="BE38" s="14">
        <f>BD38*VLOOKUP('Données projet'!$B$11,Paramètres!$A$1:$I$88,3,0)*VLOOKUP('Données projet'!$B$11,Paramètres!$A$1:$I$88,5,0)</f>
        <v>173.4200000000001</v>
      </c>
      <c r="BF38" s="14">
        <f t="shared" si="37"/>
        <v>43.85509963097244</v>
      </c>
      <c r="BG38" s="22">
        <f t="shared" si="7"/>
        <v>378.42079852394386</v>
      </c>
      <c r="BH38" s="62">
        <f t="shared" si="8"/>
        <v>671.75413185727712</v>
      </c>
      <c r="BI38" s="62">
        <f ca="1">AVERAGE(OFFSET($BH$3,0,0,'Données projet'!$E$11+1,1))-AVERAGE(OFFSET($H$3,0,0,'Données projet'!$E$11+1,1))</f>
        <v>311.82072478731385</v>
      </c>
      <c r="BJ38" s="62">
        <f t="shared" si="38"/>
        <v>356.36714671797864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projet'!$B$11,Paramètres!$A$1:$I$88,7,0))</f>
        <v>9.0000000000000011E-2</v>
      </c>
      <c r="BN38" s="17">
        <f>IF(ISNA(VLOOKUP(A38,'Données projet'!$A$87:$I$107,6,0)),0%,VLOOKUP(A38,'Données projet'!$A$87:$I$107,6,0)*VLOOKUP('Données projet'!$B$11,Paramètres!$A$1:$I$88,7,0))</f>
        <v>0.20160000000000003</v>
      </c>
      <c r="BO38" s="17">
        <f>IF(ISNA(VLOOKUP(A38,'Données projet'!$A$87:$I$107,7,0)),0%,VLOOKUP(A38,'Données projet'!$A$87:$I$107,7,0))</f>
        <v>0.35200000000000004</v>
      </c>
      <c r="BP38" s="23">
        <f>EXP(-LN(2)/35)*BP37+(1-EXP(-LN(2)/35))/(LN(2)/35)*BL38*BM38*VLOOKUP('Données projet'!$B$11,Paramètres!$A$1:$I$88,3,0)*0.475*44/12</f>
        <v>3.4983892505960466</v>
      </c>
      <c r="BQ38" s="23">
        <f>EXP(-LN(2)/25)*BQ37+(1-EXP(-LN(2)/25))/(LN(2)/25)*Calculateur!BL38*Calculateur!BN38*VLOOKUP('Données projet'!$B$11,Paramètres!$A$1:$I$88,3,0)*0.475*44/12</f>
        <v>29.211366150869964</v>
      </c>
      <c r="BR38" s="23">
        <f>EXP(-LN(2)/2)*BR37+(1-EXP(-LN(2)/2))/(LN(2)/2)*BL38*BO38*VLOOKUP('Données projet'!$B$11,Paramètres!$A$1:$I$88,3,0)*0.475*44/12</f>
        <v>14.78402830662729</v>
      </c>
      <c r="BS38" s="24">
        <f t="shared" si="9"/>
        <v>47.493783708093304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14</v>
      </c>
      <c r="BY38" s="13">
        <f>IF('Données projet'!$A$114&gt;35,BY37+BX38-CG37,IF(A38&lt;'Données projet'!$A$114,$BV$205^A38,IF(A38='Données projet'!$A$114,'Données projet'!$B$114,BY37+BX38-CG37)))</f>
        <v>220</v>
      </c>
      <c r="BZ38" s="14">
        <f>BY38*VLOOKUP('Données projet'!$B$12,Paramètres!$A$1:$I$88,3,0)*VLOOKUP('Données projet'!$B$12,Paramètres!$A$1:$I$88,5,0)</f>
        <v>102.96000000000001</v>
      </c>
      <c r="CA38" s="14">
        <f t="shared" si="39"/>
        <v>27.665975080374633</v>
      </c>
      <c r="CB38" s="22">
        <f t="shared" si="10"/>
        <v>227.50690659831915</v>
      </c>
      <c r="CC38" s="62">
        <f t="shared" si="11"/>
        <v>520.84023993165249</v>
      </c>
      <c r="CD38" s="62">
        <f ca="1">AVERAGE(OFFSET($CC$3,0,0,'Données projet'!$E$12+1,1))-AVERAGE(OFFSET($H$3,0,0,'Données projet'!$E$12+1,1))</f>
        <v>218.39403703215032</v>
      </c>
      <c r="CE38" s="62">
        <f t="shared" si="40"/>
        <v>254.08208375594052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5.5667935967357582</v>
      </c>
      <c r="CL38" s="23">
        <f>EXP(-LN(2)/25)*CL37+(1-EXP(-LN(2)/25))/(LN(2)/25)*Calculateur!CG38*Calculateur!CI38*VLOOKUP('Données projet'!$B$12,Paramètres!$A$1:$I$88,3,0)*0.475*44/12</f>
        <v>11.990297076695089</v>
      </c>
      <c r="CM38" s="23">
        <f>EXP(-LN(2)/2)*CM37+(1-EXP(-LN(2)/2))/(LN(2)/2)*CG38*CJ38*VLOOKUP('Données projet'!$B$12,Paramètres!$A$1:$I$88,3,0)*0.475*44/12</f>
        <v>1.7825642461916844</v>
      </c>
      <c r="CN38" s="24">
        <f t="shared" si="12"/>
        <v>19.339654919622532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projet'!$B$9,Paramètres!$A$1:$I$88,3,0)*VLOOKUP('Données projet'!$B$9,Paramètres!$A$1:$I$88,5,0)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373.09674935534343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10.4</v>
      </c>
      <c r="AI39" s="14">
        <f>IF('Données projet'!$A$62&gt;35,AI38+AH39-AQ38,IF(A39&lt;'Données projet'!$A$62,$AF$205^A39,IF(A39='Données projet'!$A$62,'Données projet'!$B$62,AI38+AH39-AQ38)))</f>
        <v>121.4</v>
      </c>
      <c r="AJ39" s="14">
        <f>AI39*VLOOKUP('Données projet'!$B$10,Paramètres!$A$1:$I$88,3,0)*VLOOKUP('Données projet'!$B$10,Paramètres!$A$1:$I$88,5,0)</f>
        <v>115.52424000000001</v>
      </c>
      <c r="AK39" s="14">
        <f t="shared" si="35"/>
        <v>30.628803652926287</v>
      </c>
      <c r="AL39" s="22">
        <f t="shared" si="4"/>
        <v>254.54988436217999</v>
      </c>
      <c r="AM39" s="62">
        <f t="shared" si="5"/>
        <v>547.88321769551328</v>
      </c>
      <c r="AN39" s="62">
        <f ca="1">AVERAGE(OFFSET($AM$3,0,0,'Données projet'!$E$10+1,1))-AVERAGE(OFFSET($H$3,0,0,'Données projet'!$E$10+1,1))</f>
        <v>509.66893546110458</v>
      </c>
      <c r="AO39" s="62">
        <f t="shared" si="36"/>
        <v>280.1645836141924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18.600000000000001</v>
      </c>
      <c r="BD39" s="13">
        <f>IF('Données projet'!$A$88&gt;35,BD38+BC39-BL38,IF(A39&lt;'Données projet'!$A$88,$BA$205^A39,IF(A39='Données projet'!$A$88,'Données projet'!$B$88,BD38+BC39-BL38)))</f>
        <v>259.60000000000014</v>
      </c>
      <c r="BE39" s="14">
        <f>BD39*VLOOKUP('Données projet'!$B$11,Paramètres!$A$1:$I$88,3,0)*VLOOKUP('Données projet'!$B$11,Paramètres!$A$1:$I$88,5,0)</f>
        <v>155.24080000000009</v>
      </c>
      <c r="BF39" s="14">
        <f t="shared" si="37"/>
        <v>39.767185348358026</v>
      </c>
      <c r="BG39" s="22">
        <f t="shared" si="7"/>
        <v>339.63890781505705</v>
      </c>
      <c r="BH39" s="62">
        <f t="shared" si="8"/>
        <v>632.97224114839037</v>
      </c>
      <c r="BI39" s="62">
        <f ca="1">AVERAGE(OFFSET($BH$3,0,0,'Données projet'!$E$11+1,1))-AVERAGE(OFFSET($H$3,0,0,'Données projet'!$E$11+1,1))</f>
        <v>311.82072478731385</v>
      </c>
      <c r="BJ39" s="62">
        <f t="shared" si="38"/>
        <v>356.36714671797864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3.4297879711986052</v>
      </c>
      <c r="BQ39" s="23">
        <f>EXP(-LN(2)/25)*BQ38+(1-EXP(-LN(2)/25))/(LN(2)/25)*Calculateur!BL39*Calculateur!BN39*VLOOKUP('Données projet'!$B$11,Paramètres!$A$1:$I$88,3,0)*0.475*44/12</f>
        <v>28.412579807315442</v>
      </c>
      <c r="BR39" s="23">
        <f>EXP(-LN(2)/2)*BR38+(1-EXP(-LN(2)/2))/(LN(2)/2)*BL39*BO39*VLOOKUP('Données projet'!$B$11,Paramètres!$A$1:$I$88,3,0)*0.475*44/12</f>
        <v>10.453886668870028</v>
      </c>
      <c r="BS39" s="24">
        <f t="shared" si="9"/>
        <v>42.296254447384072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</v>
      </c>
      <c r="BY39" s="13">
        <f>IF('Données projet'!$A$114&gt;35,BY38+BX39-CG38,IF(A39&lt;'Données projet'!$A$114,$BV$205^A39,IF(A39='Données projet'!$A$114,'Données projet'!$B$114,BY38+BX39-CG38)))</f>
        <v>234</v>
      </c>
      <c r="BZ39" s="14">
        <f>BY39*VLOOKUP('Données projet'!$B$12,Paramètres!$A$1:$I$88,3,0)*VLOOKUP('Données projet'!$B$12,Paramètres!$A$1:$I$88,5,0)</f>
        <v>109.512</v>
      </c>
      <c r="CA39" s="14">
        <f t="shared" si="39"/>
        <v>29.215978230632555</v>
      </c>
      <c r="CB39" s="22">
        <f t="shared" si="10"/>
        <v>241.61789541835171</v>
      </c>
      <c r="CC39" s="62">
        <f t="shared" si="11"/>
        <v>534.95122875168499</v>
      </c>
      <c r="CD39" s="62">
        <f ca="1">AVERAGE(OFFSET($CC$3,0,0,'Données projet'!$E$12+1,1))-AVERAGE(OFFSET($H$3,0,0,'Données projet'!$E$12+1,1))</f>
        <v>218.39403703215032</v>
      </c>
      <c r="CE39" s="62">
        <f t="shared" si="40"/>
        <v>254.08208375594052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5.4576321697125953</v>
      </c>
      <c r="CL39" s="23">
        <f>EXP(-LN(2)/25)*CL38+(1-EXP(-LN(2)/25))/(LN(2)/25)*Calculateur!CG39*Calculateur!CI39*VLOOKUP('Données projet'!$B$12,Paramètres!$A$1:$I$88,3,0)*0.475*44/12</f>
        <v>11.662421772590543</v>
      </c>
      <c r="CM39" s="23">
        <f>EXP(-LN(2)/2)*CM38+(1-EXP(-LN(2)/2))/(LN(2)/2)*CG39*CJ39*VLOOKUP('Données projet'!$B$12,Paramètres!$A$1:$I$88,3,0)*0.475*44/12</f>
        <v>1.2604632663828266</v>
      </c>
      <c r="CN39" s="24">
        <f t="shared" si="12"/>
        <v>18.380517208685966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projet'!$B$9,Paramètres!$A$1:$I$88,3,0)*VLOOKUP('Données projet'!$B$9,Paramètres!$A$1:$I$88,5,0)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373.09674935534343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10.4</v>
      </c>
      <c r="AI40" s="14">
        <f>IF('Données projet'!$A$62&gt;35,AI39+AH40-AQ39,IF(A40&lt;'Données projet'!$A$62,$AF$205^A40,IF(A40='Données projet'!$A$62,'Données projet'!$B$62,AI39+AH40-AQ39)))</f>
        <v>131.80000000000001</v>
      </c>
      <c r="AJ40" s="14">
        <f>AI40*VLOOKUP('Données projet'!$B$10,Paramètres!$A$1:$I$88,3,0)*VLOOKUP('Données projet'!$B$10,Paramètres!$A$1:$I$88,5,0)</f>
        <v>125.42088000000003</v>
      </c>
      <c r="AK40" s="14">
        <f t="shared" si="35"/>
        <v>32.936061027273531</v>
      </c>
      <c r="AL40" s="22">
        <f t="shared" si="4"/>
        <v>275.80500562250148</v>
      </c>
      <c r="AM40" s="62">
        <f t="shared" si="5"/>
        <v>569.1383389558348</v>
      </c>
      <c r="AN40" s="62">
        <f ca="1">AVERAGE(OFFSET($AM$3,0,0,'Données projet'!$E$10+1,1))-AVERAGE(OFFSET($H$3,0,0,'Données projet'!$E$10+1,1))</f>
        <v>509.66893546110458</v>
      </c>
      <c r="AO40" s="62">
        <f t="shared" si="36"/>
        <v>280.1645836141924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18.600000000000001</v>
      </c>
      <c r="BD40" s="13">
        <f>IF('Données projet'!$A$88&gt;35,BD39+BC40-BL39,IF(A40&lt;'Données projet'!$A$88,$BA$205^A40,IF(A40='Données projet'!$A$88,'Données projet'!$B$88,BD39+BC40-BL39)))</f>
        <v>278.20000000000016</v>
      </c>
      <c r="BE40" s="14">
        <f>BD40*VLOOKUP('Données projet'!$B$11,Paramètres!$A$1:$I$88,3,0)*VLOOKUP('Données projet'!$B$11,Paramètres!$A$1:$I$88,5,0)</f>
        <v>166.3636000000001</v>
      </c>
      <c r="BF40" s="14">
        <f t="shared" si="37"/>
        <v>42.274568875588933</v>
      </c>
      <c r="BG40" s="22">
        <f t="shared" si="7"/>
        <v>363.3781441249842</v>
      </c>
      <c r="BH40" s="62">
        <f t="shared" si="8"/>
        <v>656.71147745831752</v>
      </c>
      <c r="BI40" s="62">
        <f ca="1">AVERAGE(OFFSET($BH$3,0,0,'Données projet'!$E$11+1,1))-AVERAGE(OFFSET($H$3,0,0,'Données projet'!$E$11+1,1))</f>
        <v>311.82072478731385</v>
      </c>
      <c r="BJ40" s="62">
        <f t="shared" si="38"/>
        <v>356.36714671797864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3.3625319210474989</v>
      </c>
      <c r="BQ40" s="23">
        <f>EXP(-LN(2)/25)*BQ39+(1-EXP(-LN(2)/25))/(LN(2)/25)*Calculateur!BL40*Calculateur!BN40*VLOOKUP('Données projet'!$B$11,Paramètres!$A$1:$I$88,3,0)*0.475*44/12</f>
        <v>27.635636318331766</v>
      </c>
      <c r="BR40" s="23">
        <f>EXP(-LN(2)/2)*BR39+(1-EXP(-LN(2)/2))/(LN(2)/2)*BL40*BO40*VLOOKUP('Données projet'!$B$11,Paramètres!$A$1:$I$88,3,0)*0.475*44/12</f>
        <v>7.3920141533136459</v>
      </c>
      <c r="BS40" s="24">
        <f t="shared" si="9"/>
        <v>38.390182392692907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</v>
      </c>
      <c r="BY40" s="13">
        <f>IF('Données projet'!$A$114&gt;35,BY39+BX40-CG39,IF(A40&lt;'Données projet'!$A$114,$BV$205^A40,IF(A40='Données projet'!$A$114,'Données projet'!$B$114,BY39+BX40-CG39)))</f>
        <v>248</v>
      </c>
      <c r="BZ40" s="14">
        <f>BY40*VLOOKUP('Données projet'!$B$12,Paramètres!$A$1:$I$88,3,0)*VLOOKUP('Données projet'!$B$12,Paramètres!$A$1:$I$88,5,0)</f>
        <v>116.06400000000001</v>
      </c>
      <c r="CA40" s="14">
        <f t="shared" si="39"/>
        <v>30.755217722036068</v>
      </c>
      <c r="CB40" s="22">
        <f t="shared" si="10"/>
        <v>255.71013753254616</v>
      </c>
      <c r="CC40" s="62">
        <f t="shared" si="11"/>
        <v>549.0434708658795</v>
      </c>
      <c r="CD40" s="62">
        <f ca="1">AVERAGE(OFFSET($CC$3,0,0,'Données projet'!$E$12+1,1))-AVERAGE(OFFSET($H$3,0,0,'Données projet'!$E$12+1,1))</f>
        <v>218.39403703215032</v>
      </c>
      <c r="CE40" s="62">
        <f t="shared" si="40"/>
        <v>254.08208375594052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5.3506113316914607</v>
      </c>
      <c r="CL40" s="23">
        <f>EXP(-LN(2)/25)*CL39+(1-EXP(-LN(2)/25))/(LN(2)/25)*Calculateur!CG40*Calculateur!CI40*VLOOKUP('Données projet'!$B$12,Paramètres!$A$1:$I$88,3,0)*0.475*44/12</f>
        <v>11.343512235918949</v>
      </c>
      <c r="CM40" s="23">
        <f>EXP(-LN(2)/2)*CM39+(1-EXP(-LN(2)/2))/(LN(2)/2)*CG40*CJ40*VLOOKUP('Données projet'!$B$12,Paramètres!$A$1:$I$88,3,0)*0.475*44/12</f>
        <v>0.89128212309584243</v>
      </c>
      <c r="CN40" s="24">
        <f t="shared" si="12"/>
        <v>17.585405690706253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projet'!$B$9,Paramètres!$A$1:$I$88,3,0)*VLOOKUP('Données projet'!$B$9,Paramètres!$A$1:$I$88,5,0)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373.09674935534343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10.4</v>
      </c>
      <c r="AI41" s="14">
        <f>IF('Données projet'!$A$62&gt;35,AI40+AH41-AQ40,IF(A41&lt;'Données projet'!$A$62,$AF$205^A41,IF(A41='Données projet'!$A$62,'Données projet'!$B$62,AI40+AH41-AQ40)))</f>
        <v>142.20000000000002</v>
      </c>
      <c r="AJ41" s="14">
        <f>AI41*VLOOKUP('Données projet'!$B$10,Paramètres!$A$1:$I$88,3,0)*VLOOKUP('Données projet'!$B$10,Paramètres!$A$1:$I$88,5,0)</f>
        <v>135.31752</v>
      </c>
      <c r="AK41" s="14">
        <f t="shared" si="35"/>
        <v>35.222200550607887</v>
      </c>
      <c r="AL41" s="22">
        <f t="shared" si="4"/>
        <v>297.02334662564203</v>
      </c>
      <c r="AM41" s="62">
        <f t="shared" si="5"/>
        <v>590.35667995897529</v>
      </c>
      <c r="AN41" s="62">
        <f ca="1">AVERAGE(OFFSET($AM$3,0,0,'Données projet'!$E$10+1,1))-AVERAGE(OFFSET($H$3,0,0,'Données projet'!$E$10+1,1))</f>
        <v>509.66893546110458</v>
      </c>
      <c r="AO41" s="62">
        <f t="shared" si="36"/>
        <v>280.1645836141924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18.600000000000001</v>
      </c>
      <c r="BD41" s="13">
        <f>IF('Données projet'!$A$88&gt;35,BD40+BC41-BL40,IF(A41&lt;'Données projet'!$A$88,$BA$205^A41,IF(A41='Données projet'!$A$88,'Données projet'!$B$88,BD40+BC41-BL40)))</f>
        <v>296.80000000000018</v>
      </c>
      <c r="BE41" s="14">
        <f>BD41*VLOOKUP('Données projet'!$B$11,Paramètres!$A$1:$I$88,3,0)*VLOOKUP('Données projet'!$B$11,Paramètres!$A$1:$I$88,5,0)</f>
        <v>177.48640000000012</v>
      </c>
      <c r="BF41" s="14">
        <f t="shared" si="37"/>
        <v>44.762499594286361</v>
      </c>
      <c r="BG41" s="22">
        <f t="shared" si="7"/>
        <v>387.08350012671559</v>
      </c>
      <c r="BH41" s="62">
        <f t="shared" si="8"/>
        <v>680.41683346004891</v>
      </c>
      <c r="BI41" s="62">
        <f ca="1">AVERAGE(OFFSET($BH$3,0,0,'Données projet'!$E$11+1,1))-AVERAGE(OFFSET($H$3,0,0,'Données projet'!$E$11+1,1))</f>
        <v>311.82072478731385</v>
      </c>
      <c r="BJ41" s="62">
        <f t="shared" si="38"/>
        <v>356.36714671797864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3.2965947210177156</v>
      </c>
      <c r="BQ41" s="23">
        <f>EXP(-LN(2)/25)*BQ40+(1-EXP(-LN(2)/25))/(LN(2)/25)*Calculateur!BL41*Calculateur!BN41*VLOOKUP('Données projet'!$B$11,Paramètres!$A$1:$I$88,3,0)*0.475*44/12</f>
        <v>26.879938389912031</v>
      </c>
      <c r="BR41" s="23">
        <f>EXP(-LN(2)/2)*BR40+(1-EXP(-LN(2)/2))/(LN(2)/2)*BL41*BO41*VLOOKUP('Données projet'!$B$11,Paramètres!$A$1:$I$88,3,0)*0.475*44/12</f>
        <v>5.2269433344350151</v>
      </c>
      <c r="BS41" s="24">
        <f t="shared" si="9"/>
        <v>35.40347644536476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</v>
      </c>
      <c r="BY41" s="13">
        <f>IF('Données projet'!$A$114&gt;35,BY40+BX41-CG40,IF(A41&lt;'Données projet'!$A$114,$BV$205^A41,IF(A41='Données projet'!$A$114,'Données projet'!$B$114,BY40+BX41-CG40)))</f>
        <v>262</v>
      </c>
      <c r="BZ41" s="14">
        <f>BY41*VLOOKUP('Données projet'!$B$12,Paramètres!$A$1:$I$88,3,0)*VLOOKUP('Données projet'!$B$12,Paramètres!$A$1:$I$88,5,0)</f>
        <v>122.616</v>
      </c>
      <c r="CA41" s="14">
        <f t="shared" si="39"/>
        <v>32.284370423104164</v>
      </c>
      <c r="CB41" s="22">
        <f t="shared" si="10"/>
        <v>269.78481182023978</v>
      </c>
      <c r="CC41" s="62">
        <f t="shared" si="11"/>
        <v>563.1181451535731</v>
      </c>
      <c r="CD41" s="62">
        <f ca="1">AVERAGE(OFFSET($CC$3,0,0,'Données projet'!$E$12+1,1))-AVERAGE(OFFSET($H$3,0,0,'Données projet'!$E$12+1,1))</f>
        <v>218.39403703215032</v>
      </c>
      <c r="CE41" s="62">
        <f t="shared" si="40"/>
        <v>254.08208375594052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5.2456891070276548</v>
      </c>
      <c r="CL41" s="23">
        <f>EXP(-LN(2)/25)*CL40+(1-EXP(-LN(2)/25))/(LN(2)/25)*Calculateur!CG41*Calculateur!CI41*VLOOKUP('Données projet'!$B$12,Paramètres!$A$1:$I$88,3,0)*0.475*44/12</f>
        <v>11.033323297298363</v>
      </c>
      <c r="CM41" s="23">
        <f>EXP(-LN(2)/2)*CM40+(1-EXP(-LN(2)/2))/(LN(2)/2)*CG41*CJ41*VLOOKUP('Données projet'!$B$12,Paramètres!$A$1:$I$88,3,0)*0.475*44/12</f>
        <v>0.6302316331914134</v>
      </c>
      <c r="CN41" s="24">
        <f t="shared" si="12"/>
        <v>16.909244037517432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projet'!$B$9,Paramètres!$A$1:$I$88,3,0)*VLOOKUP('Données projet'!$B$9,Paramètres!$A$1:$I$88,5,0)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373.09674935534343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10.4</v>
      </c>
      <c r="AI42" s="14">
        <f>IF('Données projet'!$A$62&gt;35,AI41+AH42-AQ41,IF(A42&lt;'Données projet'!$A$62,$AF$205^A42,IF(A42='Données projet'!$A$62,'Données projet'!$B$62,AI41+AH42-AQ41)))</f>
        <v>152.60000000000002</v>
      </c>
      <c r="AJ42" s="14">
        <f>AI42*VLOOKUP('Données projet'!$B$10,Paramètres!$A$1:$I$88,3,0)*VLOOKUP('Données projet'!$B$10,Paramètres!$A$1:$I$88,5,0)</f>
        <v>145.21416000000002</v>
      </c>
      <c r="AK42" s="14">
        <f t="shared" si="35"/>
        <v>37.488942346268111</v>
      </c>
      <c r="AL42" s="22">
        <f t="shared" si="4"/>
        <v>318.20790325308366</v>
      </c>
      <c r="AM42" s="62">
        <f t="shared" si="5"/>
        <v>611.54123658641697</v>
      </c>
      <c r="AN42" s="62">
        <f ca="1">AVERAGE(OFFSET($AM$3,0,0,'Données projet'!$E$10+1,1))-AVERAGE(OFFSET($H$3,0,0,'Données projet'!$E$10+1,1))</f>
        <v>509.66893546110458</v>
      </c>
      <c r="AO42" s="62">
        <f t="shared" si="36"/>
        <v>280.1645836141924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18.600000000000001</v>
      </c>
      <c r="BD42" s="13">
        <f>IF('Données projet'!$A$88&gt;35,BD41+BC42-BL41,IF(A42&lt;'Données projet'!$A$88,$BA$205^A42,IF(A42='Données projet'!$A$88,'Données projet'!$B$88,BD41+BC42-BL41)))</f>
        <v>315.4000000000002</v>
      </c>
      <c r="BE42" s="14">
        <f>BD42*VLOOKUP('Données projet'!$B$11,Paramètres!$A$1:$I$88,3,0)*VLOOKUP('Données projet'!$B$11,Paramètres!$A$1:$I$88,5,0)</f>
        <v>188.60920000000013</v>
      </c>
      <c r="BF42" s="14">
        <f t="shared" si="37"/>
        <v>47.232335363406804</v>
      </c>
      <c r="BG42" s="22">
        <f t="shared" si="7"/>
        <v>410.75734075793372</v>
      </c>
      <c r="BH42" s="62">
        <f t="shared" si="8"/>
        <v>704.09067409126703</v>
      </c>
      <c r="BI42" s="62">
        <f ca="1">AVERAGE(OFFSET($BH$3,0,0,'Données projet'!$E$11+1,1))-AVERAGE(OFFSET($H$3,0,0,'Données projet'!$E$11+1,1))</f>
        <v>311.82072478731385</v>
      </c>
      <c r="BJ42" s="62">
        <f t="shared" si="38"/>
        <v>356.36714671797864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3.2319505092627954</v>
      </c>
      <c r="BQ42" s="23">
        <f>EXP(-LN(2)/25)*BQ41+(1-EXP(-LN(2)/25))/(LN(2)/25)*Calculateur!BL42*Calculateur!BN42*VLOOKUP('Données projet'!$B$11,Paramètres!$A$1:$I$88,3,0)*0.475*44/12</f>
        <v>26.14490506108536</v>
      </c>
      <c r="BR42" s="23">
        <f>EXP(-LN(2)/2)*BR41+(1-EXP(-LN(2)/2))/(LN(2)/2)*BL42*BO42*VLOOKUP('Données projet'!$B$11,Paramètres!$A$1:$I$88,3,0)*0.475*44/12</f>
        <v>3.6960070766568234</v>
      </c>
      <c r="BS42" s="24">
        <f t="shared" si="9"/>
        <v>33.072862647004982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</v>
      </c>
      <c r="BY42" s="13">
        <f>IF('Données projet'!$A$114&gt;35,BY41+BX42-CG41,IF(A42&lt;'Données projet'!$A$114,$BV$205^A42,IF(A42='Données projet'!$A$114,'Données projet'!$B$114,BY41+BX42-CG41)))</f>
        <v>276</v>
      </c>
      <c r="BZ42" s="14">
        <f>BY42*VLOOKUP('Données projet'!$B$12,Paramètres!$A$1:$I$88,3,0)*VLOOKUP('Données projet'!$B$12,Paramètres!$A$1:$I$88,5,0)</f>
        <v>129.16800000000001</v>
      </c>
      <c r="CA42" s="14">
        <f t="shared" si="39"/>
        <v>33.804036779774435</v>
      </c>
      <c r="CB42" s="22">
        <f t="shared" si="10"/>
        <v>283.84296405810716</v>
      </c>
      <c r="CC42" s="62">
        <f t="shared" si="11"/>
        <v>577.17629739144047</v>
      </c>
      <c r="CD42" s="62">
        <f ca="1">AVERAGE(OFFSET($CC$3,0,0,'Données projet'!$E$12+1,1))-AVERAGE(OFFSET($H$3,0,0,'Données projet'!$E$12+1,1))</f>
        <v>218.39403703215032</v>
      </c>
      <c r="CE42" s="62">
        <f t="shared" si="40"/>
        <v>254.08208375594052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5.1428243431932676</v>
      </c>
      <c r="CL42" s="23">
        <f>EXP(-LN(2)/25)*CL41+(1-EXP(-LN(2)/25))/(LN(2)/25)*Calculateur!CG42*Calculateur!CI42*VLOOKUP('Données projet'!$B$12,Paramètres!$A$1:$I$88,3,0)*0.475*44/12</f>
        <v>10.731616491516483</v>
      </c>
      <c r="CM42" s="23">
        <f>EXP(-LN(2)/2)*CM41+(1-EXP(-LN(2)/2))/(LN(2)/2)*CG42*CJ42*VLOOKUP('Données projet'!$B$12,Paramètres!$A$1:$I$88,3,0)*0.475*44/12</f>
        <v>0.44564106154792127</v>
      </c>
      <c r="CN42" s="24">
        <f t="shared" si="12"/>
        <v>16.320081896257673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projet'!$B$9,Paramètres!$A$1:$I$88,3,0)*VLOOKUP('Données projet'!$B$9,Paramètres!$A$1:$I$88,5,0)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373.09674935534343</v>
      </c>
      <c r="T43" s="62">
        <f t="shared" si="34"/>
        <v>231.36959598460686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projet'!$B$9,Paramètres!$A$1:$I$88,7,0))</f>
        <v>8.6000000000000007E-2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1.8064146565189523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1.8064146565189523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163</v>
      </c>
      <c r="AG43" s="13">
        <f>VLOOKUP(A43,'Données projet'!$A$61:$I$81,9,0)</f>
        <v>10.4</v>
      </c>
      <c r="AH43" s="13">
        <f t="array" ref="AH43">INDEX(AG:AG,MIN(IF(ISNUMBER(AG43:AG239),ROW(AG43:AG239),"")))</f>
        <v>10.4</v>
      </c>
      <c r="AI43" s="14">
        <f>IF('Données projet'!$A$62&gt;35,AI42+AH43-AQ42,IF(A43&lt;'Données projet'!$A$62,$AF$205^A43,IF(A43='Données projet'!$A$62,'Données projet'!$B$62,AI42+AH43-AQ42)))</f>
        <v>163.00000000000003</v>
      </c>
      <c r="AJ43" s="14">
        <f>AI43*VLOOKUP('Données projet'!$B$10,Paramètres!$A$1:$I$88,3,0)*VLOOKUP('Données projet'!$B$10,Paramètres!$A$1:$I$88,5,0)</f>
        <v>155.11080000000004</v>
      </c>
      <c r="AK43" s="14">
        <f t="shared" si="35"/>
        <v>39.737758807485029</v>
      </c>
      <c r="AL43" s="22">
        <f t="shared" si="4"/>
        <v>339.36123992303646</v>
      </c>
      <c r="AM43" s="62">
        <f t="shared" si="5"/>
        <v>632.69457325636972</v>
      </c>
      <c r="AN43" s="62">
        <f ca="1">AVERAGE(OFFSET($AM$3,0,0,'Données projet'!$E$10+1,1))-AVERAGE(OFFSET($H$3,0,0,'Données projet'!$E$10+1,1))</f>
        <v>509.66893546110458</v>
      </c>
      <c r="AO43" s="62">
        <f t="shared" si="36"/>
        <v>280.1645836141924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projet'!$B$10,Paramètres!$A$1:$I$88,7,0))</f>
        <v>8.6000000000000007E-2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2.5331331964978419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2.5331331964978419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334</v>
      </c>
      <c r="BB43" s="13">
        <f>VLOOKUP(A43,'Données projet'!$A$87:$I$107,9,0)</f>
        <v>18.600000000000001</v>
      </c>
      <c r="BC43" s="13">
        <f t="array" ref="BC43">INDEX(BB:BB,MIN(IF(ISNUMBER(BB43:BB239),ROW(BB43:BB239),"")))</f>
        <v>18.600000000000001</v>
      </c>
      <c r="BD43" s="13">
        <f>IF('Données projet'!$A$88&gt;35,BD42+BC43-BL42,IF(A43&lt;'Données projet'!$A$88,$BA$205^A43,IF(A43='Données projet'!$A$88,'Données projet'!$B$88,BD42+BC43-BL42)))</f>
        <v>334.00000000000023</v>
      </c>
      <c r="BE43" s="14">
        <f>BD43*VLOOKUP('Données projet'!$B$11,Paramètres!$A$1:$I$88,3,0)*VLOOKUP('Données projet'!$B$11,Paramètres!$A$1:$I$88,5,0)</f>
        <v>199.73200000000014</v>
      </c>
      <c r="BF43" s="14">
        <f t="shared" si="37"/>
        <v>49.685264841284457</v>
      </c>
      <c r="BG43" s="22">
        <f t="shared" si="7"/>
        <v>434.40173626523733</v>
      </c>
      <c r="BH43" s="62">
        <f t="shared" si="8"/>
        <v>727.73506959857059</v>
      </c>
      <c r="BI43" s="62">
        <f ca="1">AVERAGE(OFFSET($BH$3,0,0,'Données projet'!$E$11+1,1))-AVERAGE(OFFSET($H$3,0,0,'Données projet'!$E$11+1,1))</f>
        <v>311.82072478731385</v>
      </c>
      <c r="BJ43" s="62">
        <f t="shared" si="38"/>
        <v>356.36714671797864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49</v>
      </c>
      <c r="BM43" s="17">
        <f>IF(ISNA(VLOOKUP(A43,'Données projet'!$A$87:$I$107,5,0)),0%,VLOOKUP(A43,'Données projet'!$A$87:$I$107,5,0)*VLOOKUP('Données projet'!$B$11,Paramètres!$A$1:$I$88,7,0))</f>
        <v>9.0000000000000011E-2</v>
      </c>
      <c r="BN43" s="17">
        <f>IF(ISNA(VLOOKUP(A43,'Données projet'!$A$87:$I$107,6,0)),0%,VLOOKUP(A43,'Données projet'!$A$87:$I$107,6,0)*VLOOKUP('Données projet'!$B$11,Paramètres!$A$1:$I$88,7,0))</f>
        <v>0.20160000000000003</v>
      </c>
      <c r="BO43" s="17">
        <f>IF(ISNA(VLOOKUP(A43,'Données projet'!$A$87:$I$107,7,0)),0%,VLOOKUP(A43,'Données projet'!$A$87:$I$107,7,0))</f>
        <v>0.35200000000000004</v>
      </c>
      <c r="BP43" s="23">
        <f>EXP(-LN(2)/35)*BP42+(1-EXP(-LN(2)/35))/(LN(2)/35)*BL43*BM43*VLOOKUP('Données projet'!$B$11,Paramètres!$A$1:$I$88,3,0)*0.475*44/12</f>
        <v>6.6669631816673594</v>
      </c>
      <c r="BQ43" s="23">
        <f>EXP(-LN(2)/25)*BQ42+(1-EXP(-LN(2)/25))/(LN(2)/25)*Calculateur!BL43*Calculateur!BN43*VLOOKUP('Données projet'!$B$11,Paramètres!$A$1:$I$88,3,0)*0.475*44/12</f>
        <v>33.235508317730613</v>
      </c>
      <c r="BR43" s="23">
        <f>EXP(-LN(2)/2)*BR42+(1-EXP(-LN(2)/2))/(LN(2)/2)*BL43*BO43*VLOOKUP('Données projet'!$B$11,Paramètres!$A$1:$I$88,3,0)*0.475*44/12</f>
        <v>14.291659782523926</v>
      </c>
      <c r="BS43" s="24">
        <f t="shared" si="9"/>
        <v>54.194131281921898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290</v>
      </c>
      <c r="BW43" s="13">
        <f>VLOOKUP(A43,'Données projet'!$A$113:$I$133,9,0)</f>
        <v>14</v>
      </c>
      <c r="BX43" s="13">
        <f t="array" ref="BX43">INDEX(BW:BW,MIN(IF(ISNUMBER(BW43:BW239),ROW(BW43:BW239),"")))</f>
        <v>14</v>
      </c>
      <c r="BY43" s="13">
        <f>IF('Données projet'!$A$114&gt;35,BY42+BX43-CG42,IF(A43&lt;'Données projet'!$A$114,$BV$205^A43,IF(A43='Données projet'!$A$114,'Données projet'!$B$114,BY42+BX43-CG42)))</f>
        <v>290</v>
      </c>
      <c r="BZ43" s="14">
        <f>BY43*VLOOKUP('Données projet'!$B$12,Paramètres!$A$1:$I$88,3,0)*VLOOKUP('Données projet'!$B$12,Paramètres!$A$1:$I$88,5,0)</f>
        <v>135.72</v>
      </c>
      <c r="CA43" s="14">
        <f t="shared" si="39"/>
        <v>35.314752882348131</v>
      </c>
      <c r="CB43" s="22">
        <f t="shared" si="10"/>
        <v>297.88552793675632</v>
      </c>
      <c r="CC43" s="62">
        <f t="shared" si="11"/>
        <v>591.21886127008963</v>
      </c>
      <c r="CD43" s="62">
        <f ca="1">AVERAGE(OFFSET($CC$3,0,0,'Données projet'!$E$12+1,1))-AVERAGE(OFFSET($H$3,0,0,'Données projet'!$E$12+1,1))</f>
        <v>218.39403703215032</v>
      </c>
      <c r="CE43" s="62">
        <f t="shared" si="40"/>
        <v>254.08208375594052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60</v>
      </c>
      <c r="CH43" s="17">
        <f>IF(ISNA(VLOOKUP(A43,'Données projet'!$A$113:$I$133,5,0)),0%,VLOOKUP(A43,'Données projet'!$A$113:$I$133,5,0)*VLOOKUP('Données projet'!$B$12,Paramètres!$A$1:$I$88,7,0))</f>
        <v>0.27500000000000002</v>
      </c>
      <c r="CI43" s="17">
        <f>IF(ISNA(VLOOKUP(A43,'Données projet'!$A$113:$I$133,6,0)),0%,VLOOKUP(A43,'Données projet'!$A$113:$I$133,6,0)*VLOOKUP('Données projet'!$B$12,Paramètres!$A$1:$I$88,7,0))</f>
        <v>0.15400000000000003</v>
      </c>
      <c r="CJ43" s="17">
        <f>IF(ISNA(VLOOKUP(A43,'Données projet'!$A$113:$I$133,7,0)),0%,VLOOKUP(A43,'Données projet'!$A$113:$I$133,7,0))</f>
        <v>0.22</v>
      </c>
      <c r="CK43" s="23">
        <f>EXP(-LN(2)/35)*CK42+(1-EXP(-LN(2)/35))/(LN(2)/35)*CG43*CH43*VLOOKUP('Données projet'!$B$12,Paramètres!$A$1:$I$88,3,0)*0.475*44/12</f>
        <v>15.285707419540493</v>
      </c>
      <c r="CL43" s="23">
        <f>EXP(-LN(2)/25)*CL42+(1-EXP(-LN(2)/25))/(LN(2)/25)*Calculateur!CG43*Calculateur!CI43*VLOOKUP('Données projet'!$B$12,Paramètres!$A$1:$I$88,3,0)*0.475*44/12</f>
        <v>16.152062336373536</v>
      </c>
      <c r="CM43" s="23">
        <f>EXP(-LN(2)/2)*CM42+(1-EXP(-LN(2)/2))/(LN(2)/2)*CG43*CJ43*VLOOKUP('Données projet'!$B$12,Paramètres!$A$1:$I$88,3,0)*0.475*44/12</f>
        <v>7.3095940577952021</v>
      </c>
      <c r="CN43" s="24">
        <f t="shared" si="12"/>
        <v>38.747363813709228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projet'!$B$9,Paramètres!$A$1:$I$88,3,0)*VLOOKUP('Données projet'!$B$9,Paramètres!$A$1:$I$88,5,0)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373.09674935534343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1.7709919669087619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1.7709919669087619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</v>
      </c>
      <c r="AI44" s="14">
        <f>IF('Données projet'!$A$62&gt;35,AI43+AH44-AQ43,IF(A44&lt;'Données projet'!$A$62,$AF$205^A44,IF(A44='Données projet'!$A$62,'Données projet'!$B$62,AI43+AH44-AQ43)))</f>
        <v>146.00000000000003</v>
      </c>
      <c r="AJ44" s="14">
        <f>AI44*VLOOKUP('Données projet'!$B$10,Paramètres!$A$1:$I$88,3,0)*VLOOKUP('Données projet'!$B$10,Paramètres!$A$1:$I$88,5,0)</f>
        <v>138.93360000000004</v>
      </c>
      <c r="AK44" s="14">
        <f t="shared" si="35"/>
        <v>36.052599620350527</v>
      </c>
      <c r="AL44" s="22">
        <f t="shared" si="4"/>
        <v>304.76763100544389</v>
      </c>
      <c r="AM44" s="62">
        <f t="shared" si="5"/>
        <v>598.1009643387772</v>
      </c>
      <c r="AN44" s="62">
        <f ca="1">AVERAGE(OFFSET($AM$3,0,0,'Données projet'!$E$10+1,1))-AVERAGE(OFFSET($H$3,0,0,'Données projet'!$E$10+1,1))</f>
        <v>509.66893546110458</v>
      </c>
      <c r="AO44" s="62">
        <f t="shared" si="36"/>
        <v>280.1645836141924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2.4834599995732072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2.4834599995732072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17.8</v>
      </c>
      <c r="BD44" s="13">
        <f>IF('Données projet'!$A$88&gt;35,BD43+BC44-BL43,IF(A44&lt;'Données projet'!$A$88,$BA$205^A44,IF(A44='Données projet'!$A$88,'Données projet'!$B$88,BD43+BC44-BL43)))</f>
        <v>302.80000000000024</v>
      </c>
      <c r="BE44" s="14">
        <f>BD44*VLOOKUP('Données projet'!$B$11,Paramètres!$A$1:$I$88,3,0)*VLOOKUP('Données projet'!$B$11,Paramètres!$A$1:$I$88,5,0)</f>
        <v>181.07440000000017</v>
      </c>
      <c r="BF44" s="14">
        <f t="shared" si="37"/>
        <v>45.561137517850739</v>
      </c>
      <c r="BG44" s="22">
        <f t="shared" si="7"/>
        <v>394.72356117692362</v>
      </c>
      <c r="BH44" s="62">
        <f t="shared" si="8"/>
        <v>688.05689451025694</v>
      </c>
      <c r="BI44" s="62">
        <f ca="1">AVERAGE(OFFSET($BH$3,0,0,'Données projet'!$E$11+1,1))-AVERAGE(OFFSET($H$3,0,0,'Données projet'!$E$11+1,1))</f>
        <v>311.82072478731385</v>
      </c>
      <c r="BJ44" s="62">
        <f t="shared" si="38"/>
        <v>356.36714671797864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6.5362281001208746</v>
      </c>
      <c r="BQ44" s="23">
        <f>EXP(-LN(2)/25)*BQ43+(1-EXP(-LN(2)/25))/(LN(2)/25)*Calculateur!BL44*Calculateur!BN44*VLOOKUP('Données projet'!$B$11,Paramètres!$A$1:$I$88,3,0)*0.475*44/12</f>
        <v>32.326681595002846</v>
      </c>
      <c r="BR44" s="23">
        <f>EXP(-LN(2)/2)*BR43+(1-EXP(-LN(2)/2))/(LN(2)/2)*BL44*BO44*VLOOKUP('Données projet'!$B$11,Paramètres!$A$1:$I$88,3,0)*0.475*44/12</f>
        <v>10.105729546633727</v>
      </c>
      <c r="BS44" s="24">
        <f t="shared" si="9"/>
        <v>48.968639241757444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14</v>
      </c>
      <c r="BY44" s="13">
        <f>IF('Données projet'!$A$114&gt;35,BY43+BX44-CG43,IF(A44&lt;'Données projet'!$A$114,$BV$205^A44,IF(A44='Données projet'!$A$114,'Données projet'!$B$114,BY43+BX44-CG43)))</f>
        <v>244</v>
      </c>
      <c r="BZ44" s="14">
        <f>BY44*VLOOKUP('Données projet'!$B$12,Paramètres!$A$1:$I$88,3,0)*VLOOKUP('Données projet'!$B$12,Paramètres!$A$1:$I$88,5,0)</f>
        <v>114.19200000000001</v>
      </c>
      <c r="CA44" s="14">
        <f t="shared" si="39"/>
        <v>30.316492326242802</v>
      </c>
      <c r="CB44" s="22">
        <f t="shared" si="10"/>
        <v>251.68562413487288</v>
      </c>
      <c r="CC44" s="62">
        <f t="shared" si="11"/>
        <v>545.01895746820617</v>
      </c>
      <c r="CD44" s="62">
        <f ca="1">AVERAGE(OFFSET($CC$3,0,0,'Données projet'!$E$12+1,1))-AVERAGE(OFFSET($H$3,0,0,'Données projet'!$E$12+1,1))</f>
        <v>218.39403703215032</v>
      </c>
      <c r="CE44" s="62">
        <f t="shared" si="40"/>
        <v>254.08208375594052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14.985964020404225</v>
      </c>
      <c r="CL44" s="23">
        <f>EXP(-LN(2)/25)*CL43+(1-EXP(-LN(2)/25))/(LN(2)/25)*Calculateur!CG44*Calculateur!CI44*VLOOKUP('Données projet'!$B$12,Paramètres!$A$1:$I$88,3,0)*0.475*44/12</f>
        <v>15.710383342385359</v>
      </c>
      <c r="CM44" s="23">
        <f>EXP(-LN(2)/2)*CM43+(1-EXP(-LN(2)/2))/(LN(2)/2)*CG44*CJ44*VLOOKUP('Données projet'!$B$12,Paramètres!$A$1:$I$88,3,0)*0.475*44/12</f>
        <v>5.1686635259878804</v>
      </c>
      <c r="CN44" s="24">
        <f t="shared" si="12"/>
        <v>35.865010888777462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projet'!$B$9,Paramètres!$A$1:$I$88,3,0)*VLOOKUP('Données projet'!$B$9,Paramètres!$A$1:$I$88,5,0)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373.09674935534343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1.7362638946361202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1.7362638946361202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</v>
      </c>
      <c r="AI45" s="14">
        <f>IF('Données projet'!$A$62&gt;35,AI44+AH45-AQ44,IF(A45&lt;'Données projet'!$A$62,$AF$205^A45,IF(A45='Données projet'!$A$62,'Données projet'!$B$62,AI44+AH45-AQ44)))</f>
        <v>157.00000000000003</v>
      </c>
      <c r="AJ45" s="14">
        <f>AI45*VLOOKUP('Données projet'!$B$10,Paramètres!$A$1:$I$88,3,0)*VLOOKUP('Données projet'!$B$10,Paramètres!$A$1:$I$88,5,0)</f>
        <v>149.40120000000002</v>
      </c>
      <c r="AK45" s="14">
        <f t="shared" si="35"/>
        <v>38.44247450913759</v>
      </c>
      <c r="AL45" s="22">
        <f t="shared" si="4"/>
        <v>327.161066436748</v>
      </c>
      <c r="AM45" s="62">
        <f t="shared" si="5"/>
        <v>620.49439977008137</v>
      </c>
      <c r="AN45" s="62">
        <f ca="1">AVERAGE(OFFSET($AM$3,0,0,'Données projet'!$E$10+1,1))-AVERAGE(OFFSET($H$3,0,0,'Données projet'!$E$10+1,1))</f>
        <v>509.66893546110458</v>
      </c>
      <c r="AO45" s="62">
        <f t="shared" si="36"/>
        <v>280.1645836141924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2.4347608637426061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2.4347608637426061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17.8</v>
      </c>
      <c r="BD45" s="13">
        <f>IF('Données projet'!$A$88&gt;35,BD44+BC45-BL44,IF(A45&lt;'Données projet'!$A$88,$BA$205^A45,IF(A45='Données projet'!$A$88,'Données projet'!$B$88,BD44+BC45-BL44)))</f>
        <v>320.60000000000025</v>
      </c>
      <c r="BE45" s="14">
        <f>BD45*VLOOKUP('Données projet'!$B$11,Paramètres!$A$1:$I$88,3,0)*VLOOKUP('Données projet'!$B$11,Paramètres!$A$1:$I$88,5,0)</f>
        <v>191.71880000000016</v>
      </c>
      <c r="BF45" s="14">
        <f t="shared" si="37"/>
        <v>47.919755728135037</v>
      </c>
      <c r="BG45" s="22">
        <f t="shared" si="7"/>
        <v>417.37048455983546</v>
      </c>
      <c r="BH45" s="62">
        <f t="shared" si="8"/>
        <v>710.70381789316878</v>
      </c>
      <c r="BI45" s="62">
        <f ca="1">AVERAGE(OFFSET($BH$3,0,0,'Données projet'!$E$11+1,1))-AVERAGE(OFFSET($H$3,0,0,'Données projet'!$E$11+1,1))</f>
        <v>311.82072478731385</v>
      </c>
      <c r="BJ45" s="62">
        <f t="shared" si="38"/>
        <v>356.36714671797864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6.4080566537829906</v>
      </c>
      <c r="BQ45" s="23">
        <f>EXP(-LN(2)/25)*BQ44+(1-EXP(-LN(2)/25))/(LN(2)/25)*Calculateur!BL45*Calculateur!BN45*VLOOKUP('Données projet'!$B$11,Paramètres!$A$1:$I$88,3,0)*0.475*44/12</f>
        <v>31.442706786801192</v>
      </c>
      <c r="BR45" s="23">
        <f>EXP(-LN(2)/2)*BR44+(1-EXP(-LN(2)/2))/(LN(2)/2)*BL45*BO45*VLOOKUP('Données projet'!$B$11,Paramètres!$A$1:$I$88,3,0)*0.475*44/12</f>
        <v>7.1458298912619638</v>
      </c>
      <c r="BS45" s="24">
        <f t="shared" si="9"/>
        <v>44.996593331846142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14</v>
      </c>
      <c r="BY45" s="13">
        <f>IF('Données projet'!$A$114&gt;35,BY44+BX45-CG44,IF(A45&lt;'Données projet'!$A$114,$BV$205^A45,IF(A45='Données projet'!$A$114,'Données projet'!$B$114,BY44+BX45-CG44)))</f>
        <v>258</v>
      </c>
      <c r="BZ45" s="14">
        <f>BY45*VLOOKUP('Données projet'!$B$12,Paramètres!$A$1:$I$88,3,0)*VLOOKUP('Données projet'!$B$12,Paramètres!$A$1:$I$88,5,0)</f>
        <v>120.744</v>
      </c>
      <c r="CA45" s="14">
        <f t="shared" si="39"/>
        <v>31.848462605207807</v>
      </c>
      <c r="CB45" s="22">
        <f t="shared" si="10"/>
        <v>265.76520570407024</v>
      </c>
      <c r="CC45" s="62">
        <f t="shared" si="11"/>
        <v>559.0985390374035</v>
      </c>
      <c r="CD45" s="62">
        <f ca="1">AVERAGE(OFFSET($CC$3,0,0,'Données projet'!$E$12+1,1))-AVERAGE(OFFSET($H$3,0,0,'Données projet'!$E$12+1,1))</f>
        <v>218.39403703215032</v>
      </c>
      <c r="CE45" s="62">
        <f t="shared" si="40"/>
        <v>254.08208375594052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14.692098406499598</v>
      </c>
      <c r="CL45" s="23">
        <f>EXP(-LN(2)/25)*CL44+(1-EXP(-LN(2)/25))/(LN(2)/25)*Calculateur!CG45*Calculateur!CI45*VLOOKUP('Données projet'!$B$12,Paramètres!$A$1:$I$88,3,0)*0.475*44/12</f>
        <v>15.280782083714678</v>
      </c>
      <c r="CM45" s="23">
        <f>EXP(-LN(2)/2)*CM44+(1-EXP(-LN(2)/2))/(LN(2)/2)*CG45*CJ45*VLOOKUP('Données projet'!$B$12,Paramètres!$A$1:$I$88,3,0)*0.475*44/12</f>
        <v>3.6547970288976015</v>
      </c>
      <c r="CN45" s="24">
        <f t="shared" si="12"/>
        <v>33.627677519111877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projet'!$B$9,Paramètres!$A$1:$I$88,3,0)*VLOOKUP('Données projet'!$B$9,Paramètres!$A$1:$I$88,5,0)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373.09674935534343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1.7022168186787123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1.7022168186787123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</v>
      </c>
      <c r="AI46" s="14">
        <f>IF('Données projet'!$A$62&gt;35,AI45+AH46-AQ45,IF(A46&lt;'Données projet'!$A$62,$AF$205^A46,IF(A46='Données projet'!$A$62,'Données projet'!$B$62,AI45+AH46-AQ45)))</f>
        <v>168.00000000000003</v>
      </c>
      <c r="AJ46" s="14">
        <f>AI46*VLOOKUP('Données projet'!$B$10,Paramètres!$A$1:$I$88,3,0)*VLOOKUP('Données projet'!$B$10,Paramètres!$A$1:$I$88,5,0)</f>
        <v>159.86880000000002</v>
      </c>
      <c r="AK46" s="14">
        <f t="shared" si="35"/>
        <v>40.812921467768035</v>
      </c>
      <c r="AL46" s="22">
        <f t="shared" si="4"/>
        <v>349.52066488969604</v>
      </c>
      <c r="AM46" s="62">
        <f t="shared" si="5"/>
        <v>642.85399822302929</v>
      </c>
      <c r="AN46" s="62">
        <f ca="1">AVERAGE(OFFSET($AM$3,0,0,'Données projet'!$E$10+1,1))-AVERAGE(OFFSET($H$3,0,0,'Données projet'!$E$10+1,1))</f>
        <v>509.66893546110458</v>
      </c>
      <c r="AO46" s="62">
        <f t="shared" si="36"/>
        <v>280.1645836141924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2.3870166882621033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2.3870166882621033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17.8</v>
      </c>
      <c r="BD46" s="13">
        <f>IF('Données projet'!$A$88&gt;35,BD45+BC46-BL45,IF(A46&lt;'Données projet'!$A$88,$BA$205^A46,IF(A46='Données projet'!$A$88,'Données projet'!$B$88,BD45+BC46-BL45)))</f>
        <v>338.40000000000026</v>
      </c>
      <c r="BE46" s="14">
        <f>BD46*VLOOKUP('Données projet'!$B$11,Paramètres!$A$1:$I$88,3,0)*VLOOKUP('Données projet'!$B$11,Paramètres!$A$1:$I$88,5,0)</f>
        <v>202.36320000000018</v>
      </c>
      <c r="BF46" s="14">
        <f t="shared" si="37"/>
        <v>50.263171959975224</v>
      </c>
      <c r="BG46" s="22">
        <f t="shared" si="7"/>
        <v>439.99093116362383</v>
      </c>
      <c r="BH46" s="62">
        <f t="shared" si="8"/>
        <v>733.32426449695708</v>
      </c>
      <c r="BI46" s="62">
        <f ca="1">AVERAGE(OFFSET($BH$3,0,0,'Données projet'!$E$11+1,1))-AVERAGE(OFFSET($H$3,0,0,'Données projet'!$E$11+1,1))</f>
        <v>311.82072478731385</v>
      </c>
      <c r="BJ46" s="62">
        <f t="shared" si="38"/>
        <v>356.36714671797864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6.2823985713309298</v>
      </c>
      <c r="BQ46" s="23">
        <f>EXP(-LN(2)/25)*BQ45+(1-EXP(-LN(2)/25))/(LN(2)/25)*Calculateur!BL46*Calculateur!BN46*VLOOKUP('Données projet'!$B$11,Paramètres!$A$1:$I$88,3,0)*0.475*44/12</f>
        <v>30.582904316216027</v>
      </c>
      <c r="BR46" s="23">
        <f>EXP(-LN(2)/2)*BR45+(1-EXP(-LN(2)/2))/(LN(2)/2)*BL46*BO46*VLOOKUP('Données projet'!$B$11,Paramètres!$A$1:$I$88,3,0)*0.475*44/12</f>
        <v>5.0528647733168643</v>
      </c>
      <c r="BS46" s="24">
        <f t="shared" si="9"/>
        <v>41.918167660863823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14</v>
      </c>
      <c r="BY46" s="13">
        <f>IF('Données projet'!$A$114&gt;35,BY45+BX46-CG45,IF(A46&lt;'Données projet'!$A$114,$BV$205^A46,IF(A46='Données projet'!$A$114,'Données projet'!$B$114,BY45+BX46-CG45)))</f>
        <v>272</v>
      </c>
      <c r="BZ46" s="14">
        <f>BY46*VLOOKUP('Données projet'!$B$12,Paramètres!$A$1:$I$88,3,0)*VLOOKUP('Données projet'!$B$12,Paramètres!$A$1:$I$88,5,0)</f>
        <v>127.29600000000001</v>
      </c>
      <c r="CA46" s="14">
        <f t="shared" si="39"/>
        <v>33.370782027774453</v>
      </c>
      <c r="CB46" s="22">
        <f t="shared" si="10"/>
        <v>279.82797869837384</v>
      </c>
      <c r="CC46" s="62">
        <f t="shared" si="11"/>
        <v>573.16131203170721</v>
      </c>
      <c r="CD46" s="62">
        <f ca="1">AVERAGE(OFFSET($CC$3,0,0,'Données projet'!$E$12+1,1))-AVERAGE(OFFSET($H$3,0,0,'Données projet'!$E$12+1,1))</f>
        <v>218.39403703215032</v>
      </c>
      <c r="CE46" s="62">
        <f t="shared" si="40"/>
        <v>254.08208375594052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14.403995318043314</v>
      </c>
      <c r="CL46" s="23">
        <f>EXP(-LN(2)/25)*CL45+(1-EXP(-LN(2)/25))/(LN(2)/25)*Calculateur!CG46*Calculateur!CI46*VLOOKUP('Données projet'!$B$12,Paramètres!$A$1:$I$88,3,0)*0.475*44/12</f>
        <v>14.862928294054095</v>
      </c>
      <c r="CM46" s="23">
        <f>EXP(-LN(2)/2)*CM45+(1-EXP(-LN(2)/2))/(LN(2)/2)*CG46*CJ46*VLOOKUP('Données projet'!$B$12,Paramètres!$A$1:$I$88,3,0)*0.475*44/12</f>
        <v>2.5843317629939406</v>
      </c>
      <c r="CN46" s="24">
        <f t="shared" si="12"/>
        <v>31.851255375091348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projet'!$B$9,Paramètres!$A$1:$I$88,3,0)*VLOOKUP('Données projet'!$B$9,Paramètres!$A$1:$I$88,5,0)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373.09674935534343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1.6688373851141636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1.6688373851141636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</v>
      </c>
      <c r="AI47" s="14">
        <f>IF('Données projet'!$A$62&gt;35,AI46+AH47-AQ46,IF(A47&lt;'Données projet'!$A$62,$AF$205^A47,IF(A47='Données projet'!$A$62,'Données projet'!$B$62,AI46+AH47-AQ46)))</f>
        <v>179.00000000000003</v>
      </c>
      <c r="AJ47" s="14">
        <f>AI47*VLOOKUP('Données projet'!$B$10,Paramètres!$A$1:$I$88,3,0)*VLOOKUP('Données projet'!$B$10,Paramètres!$A$1:$I$88,5,0)</f>
        <v>170.33640000000003</v>
      </c>
      <c r="AK47" s="14">
        <f t="shared" si="35"/>
        <v>43.165357324132231</v>
      </c>
      <c r="AL47" s="22">
        <f t="shared" si="4"/>
        <v>371.84889400619704</v>
      </c>
      <c r="AM47" s="62">
        <f t="shared" si="5"/>
        <v>665.1822273395303</v>
      </c>
      <c r="AN47" s="62">
        <f ca="1">AVERAGE(OFFSET($AM$3,0,0,'Données projet'!$E$10+1,1))-AVERAGE(OFFSET($H$3,0,0,'Données projet'!$E$10+1,1))</f>
        <v>509.66893546110458</v>
      </c>
      <c r="AO47" s="62">
        <f t="shared" si="36"/>
        <v>280.1645836141924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2.3402087469417014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2.3402087469417014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17.8</v>
      </c>
      <c r="BD47" s="13">
        <f>IF('Données projet'!$A$88&gt;35,BD46+BC47-BL46,IF(A47&lt;'Données projet'!$A$88,$BA$205^A47,IF(A47='Données projet'!$A$88,'Données projet'!$B$88,BD46+BC47-BL46)))</f>
        <v>356.20000000000027</v>
      </c>
      <c r="BE47" s="14">
        <f>BD47*VLOOKUP('Données projet'!$B$11,Paramètres!$A$1:$I$88,3,0)*VLOOKUP('Données projet'!$B$11,Paramètres!$A$1:$I$88,5,0)</f>
        <v>213.0076000000002</v>
      </c>
      <c r="BF47" s="14">
        <f t="shared" si="37"/>
        <v>52.592277036887687</v>
      </c>
      <c r="BG47" s="22">
        <f t="shared" si="7"/>
        <v>462.58645250591309</v>
      </c>
      <c r="BH47" s="62">
        <f t="shared" si="8"/>
        <v>755.9197858392464</v>
      </c>
      <c r="BI47" s="62">
        <f ca="1">AVERAGE(OFFSET($BH$3,0,0,'Données projet'!$E$11+1,1))-AVERAGE(OFFSET($H$3,0,0,'Données projet'!$E$11+1,1))</f>
        <v>311.82072478731385</v>
      </c>
      <c r="BJ47" s="62">
        <f t="shared" si="38"/>
        <v>356.36714671797864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6.1592045672318916</v>
      </c>
      <c r="BQ47" s="23">
        <f>EXP(-LN(2)/25)*BQ46+(1-EXP(-LN(2)/25))/(LN(2)/25)*Calculateur!BL47*Calculateur!BN47*VLOOKUP('Données projet'!$B$11,Paramètres!$A$1:$I$88,3,0)*0.475*44/12</f>
        <v>29.746613189404059</v>
      </c>
      <c r="BR47" s="23">
        <f>EXP(-LN(2)/2)*BR46+(1-EXP(-LN(2)/2))/(LN(2)/2)*BL47*BO47*VLOOKUP('Données projet'!$B$11,Paramètres!$A$1:$I$88,3,0)*0.475*44/12</f>
        <v>3.5729149456309823</v>
      </c>
      <c r="BS47" s="24">
        <f t="shared" si="9"/>
        <v>39.478732702266932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14</v>
      </c>
      <c r="BY47" s="13">
        <f>IF('Données projet'!$A$114&gt;35,BY46+BX47-CG46,IF(A47&lt;'Données projet'!$A$114,$BV$205^A47,IF(A47='Données projet'!$A$114,'Données projet'!$B$114,BY46+BX47-CG46)))</f>
        <v>286</v>
      </c>
      <c r="BZ47" s="14">
        <f>BY47*VLOOKUP('Données projet'!$B$12,Paramètres!$A$1:$I$88,3,0)*VLOOKUP('Données projet'!$B$12,Paramètres!$A$1:$I$88,5,0)</f>
        <v>133.84799999999998</v>
      </c>
      <c r="CA47" s="14">
        <f t="shared" si="39"/>
        <v>34.884003992121656</v>
      </c>
      <c r="CB47" s="22">
        <f t="shared" si="10"/>
        <v>293.8749069529452</v>
      </c>
      <c r="CC47" s="62">
        <f t="shared" si="11"/>
        <v>587.20824028627851</v>
      </c>
      <c r="CD47" s="62">
        <f ca="1">AVERAGE(OFFSET($CC$3,0,0,'Données projet'!$E$12+1,1))-AVERAGE(OFFSET($H$3,0,0,'Données projet'!$E$12+1,1))</f>
        <v>218.39403703215032</v>
      </c>
      <c r="CE47" s="62">
        <f t="shared" si="40"/>
        <v>254.08208375594052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14.121541755426126</v>
      </c>
      <c r="CL47" s="23">
        <f>EXP(-LN(2)/25)*CL46+(1-EXP(-LN(2)/25))/(LN(2)/25)*Calculateur!CG47*Calculateur!CI47*VLOOKUP('Données projet'!$B$12,Paramètres!$A$1:$I$88,3,0)*0.475*44/12</f>
        <v>14.456500738245756</v>
      </c>
      <c r="CM47" s="23">
        <f>EXP(-LN(2)/2)*CM46+(1-EXP(-LN(2)/2))/(LN(2)/2)*CG47*CJ47*VLOOKUP('Données projet'!$B$12,Paramètres!$A$1:$I$88,3,0)*0.475*44/12</f>
        <v>1.8273985144488012</v>
      </c>
      <c r="CN47" s="24">
        <f t="shared" si="12"/>
        <v>30.405441008120683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projet'!$B$9,Paramètres!$A$1:$I$88,3,0)*VLOOKUP('Données projet'!$B$9,Paramètres!$A$1:$I$88,5,0)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373.09674935534343</v>
      </c>
      <c r="T48" s="62">
        <f t="shared" si="34"/>
        <v>231.36959598460686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projet'!$B$9,Paramètres!$A$1:$I$88,7,0))</f>
        <v>8.6000000000000007E-2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3.4425271584013237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3.4425271584013237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190</v>
      </c>
      <c r="AG48" s="13">
        <f>VLOOKUP(A48,'Données projet'!$A$61:$I$81,9,0)</f>
        <v>11</v>
      </c>
      <c r="AH48" s="13">
        <f t="array" ref="AH48">INDEX(AG:AG,MIN(IF(ISNUMBER(AG48:AG244),ROW(AG48:AG244),"")))</f>
        <v>11</v>
      </c>
      <c r="AI48" s="14">
        <f>IF('Données projet'!$A$62&gt;35,AI47+AH48-AQ47,IF(A48&lt;'Données projet'!$A$62,$AF$205^A48,IF(A48='Données projet'!$A$62,'Données projet'!$B$62,AI47+AH48-AQ47)))</f>
        <v>190.00000000000003</v>
      </c>
      <c r="AJ48" s="14">
        <f>AI48*VLOOKUP('Données projet'!$B$10,Paramètres!$A$1:$I$88,3,0)*VLOOKUP('Données projet'!$B$10,Paramètres!$A$1:$I$88,5,0)</f>
        <v>180.80400000000003</v>
      </c>
      <c r="AK48" s="14">
        <f t="shared" si="35"/>
        <v>45.501014930459895</v>
      </c>
      <c r="AL48" s="22">
        <f t="shared" si="4"/>
        <v>394.14790100388433</v>
      </c>
      <c r="AM48" s="62">
        <f t="shared" si="5"/>
        <v>687.48123433721764</v>
      </c>
      <c r="AN48" s="62">
        <f ca="1">AVERAGE(OFFSET($AM$3,0,0,'Données projet'!$E$10+1,1))-AVERAGE(OFFSET($H$3,0,0,'Données projet'!$E$10+1,1))</f>
        <v>509.66893546110458</v>
      </c>
      <c r="AO48" s="62">
        <f t="shared" si="36"/>
        <v>280.1645836141924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projet'!$B$10,Paramètres!$A$1:$I$88,7,0))</f>
        <v>8.6000000000000007E-2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4.8274518772984099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4.8274518772984099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374</v>
      </c>
      <c r="BB48" s="13">
        <f>VLOOKUP(A48,'Données projet'!$A$87:$I$107,9,0)</f>
        <v>17.8</v>
      </c>
      <c r="BC48" s="13">
        <f t="array" ref="BC48">INDEX(BB:BB,MIN(IF(ISNUMBER(BB48:BB244),ROW(BB48:BB244),"")))</f>
        <v>17.8</v>
      </c>
      <c r="BD48" s="13">
        <f>IF('Données projet'!$A$88&gt;35,BD47+BC48-BL47,IF(A48&lt;'Données projet'!$A$88,$BA$205^A48,IF(A48='Données projet'!$A$88,'Données projet'!$B$88,BD47+BC48-BL47)))</f>
        <v>374.00000000000028</v>
      </c>
      <c r="BE48" s="14">
        <f>BD48*VLOOKUP('Données projet'!$B$11,Paramètres!$A$1:$I$88,3,0)*VLOOKUP('Données projet'!$B$11,Paramètres!$A$1:$I$88,5,0)</f>
        <v>223.65200000000019</v>
      </c>
      <c r="BF48" s="14">
        <f t="shared" si="37"/>
        <v>54.907867720650273</v>
      </c>
      <c r="BG48" s="22">
        <f t="shared" si="7"/>
        <v>485.15843628013289</v>
      </c>
      <c r="BH48" s="62">
        <f t="shared" si="8"/>
        <v>778.4917696134662</v>
      </c>
      <c r="BI48" s="62">
        <f ca="1">AVERAGE(OFFSET($BH$3,0,0,'Données projet'!$E$11+1,1))-AVERAGE(OFFSET($H$3,0,0,'Données projet'!$E$11+1,1))</f>
        <v>311.82072478731385</v>
      </c>
      <c r="BJ48" s="62">
        <f t="shared" si="38"/>
        <v>356.36714671797864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49</v>
      </c>
      <c r="BM48" s="17">
        <f>IF(ISNA(VLOOKUP(A48,'Données projet'!$A$87:$I$107,5,0)),0%,VLOOKUP(A48,'Données projet'!$A$87:$I$107,5,0)*VLOOKUP('Données projet'!$B$11,Paramètres!$A$1:$I$88,7,0))</f>
        <v>0.18000000000000002</v>
      </c>
      <c r="BN48" s="17">
        <f>IF(ISNA(VLOOKUP(A48,'Données projet'!$A$87:$I$107,6,0)),0%,VLOOKUP(A48,'Données projet'!$A$87:$I$107,6,0)*VLOOKUP('Données projet'!$B$11,Paramètres!$A$1:$I$88,7,0))</f>
        <v>0.1512</v>
      </c>
      <c r="BO48" s="17">
        <f>IF(ISNA(VLOOKUP(A48,'Données projet'!$A$87:$I$107,7,0)),0%,VLOOKUP(A48,'Données projet'!$A$87:$I$107,7,0))</f>
        <v>0.26400000000000001</v>
      </c>
      <c r="BP48" s="23">
        <f>EXP(-LN(2)/35)*BP47+(1-EXP(-LN(2)/35))/(LN(2)/35)*BL48*BM48*VLOOKUP('Données projet'!$B$11,Paramètres!$A$1:$I$88,3,0)*0.475*44/12</f>
        <v>13.035204823604406</v>
      </c>
      <c r="BQ48" s="23">
        <f>EXP(-LN(2)/25)*BQ47+(1-EXP(-LN(2)/25))/(LN(2)/25)*Calculateur!BL48*Calculateur!BN48*VLOOKUP('Données projet'!$B$11,Paramètres!$A$1:$I$88,3,0)*0.475*44/12</f>
        <v>34.787343282764482</v>
      </c>
      <c r="BR48" s="23">
        <f>EXP(-LN(2)/2)*BR47+(1-EXP(-LN(2)/2))/(LN(2)/2)*BL48*BO48*VLOOKUP('Données projet'!$B$11,Paramètres!$A$1:$I$88,3,0)*0.475*44/12</f>
        <v>11.285073473138247</v>
      </c>
      <c r="BS48" s="24">
        <f t="shared" si="9"/>
        <v>59.107621579507132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14</v>
      </c>
      <c r="BY48" s="13">
        <f>IF('Données projet'!$A$114&gt;35,BY47+BX48-CG47,IF(A48&lt;'Données projet'!$A$114,$BV$205^A48,IF(A48='Données projet'!$A$114,'Données projet'!$B$114,BY47+BX48-CG47)))</f>
        <v>300</v>
      </c>
      <c r="BZ48" s="14">
        <f>BY48*VLOOKUP('Données projet'!$B$12,Paramètres!$A$1:$I$88,3,0)*VLOOKUP('Données projet'!$B$12,Paramètres!$A$1:$I$88,5,0)</f>
        <v>140.4</v>
      </c>
      <c r="CA48" s="14">
        <f t="shared" si="39"/>
        <v>36.388624656711201</v>
      </c>
      <c r="CB48" s="22">
        <f t="shared" si="10"/>
        <v>307.90685461043864</v>
      </c>
      <c r="CC48" s="62">
        <f t="shared" si="11"/>
        <v>601.24018794377196</v>
      </c>
      <c r="CD48" s="62">
        <f ca="1">AVERAGE(OFFSET($CC$3,0,0,'Données projet'!$E$12+1,1))-AVERAGE(OFFSET($H$3,0,0,'Données projet'!$E$12+1,1))</f>
        <v>218.39403703215032</v>
      </c>
      <c r="CE48" s="62">
        <f t="shared" si="40"/>
        <v>254.08208375594052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13.844626934892199</v>
      </c>
      <c r="CL48" s="23">
        <f>EXP(-LN(2)/25)*CL47+(1-EXP(-LN(2)/25))/(LN(2)/25)*Calculateur!CG48*Calculateur!CI48*VLOOKUP('Données projet'!$B$12,Paramètres!$A$1:$I$88,3,0)*0.475*44/12</f>
        <v>14.061186965324094</v>
      </c>
      <c r="CM48" s="23">
        <f>EXP(-LN(2)/2)*CM47+(1-EXP(-LN(2)/2))/(LN(2)/2)*CG48*CJ48*VLOOKUP('Données projet'!$B$12,Paramètres!$A$1:$I$88,3,0)*0.475*44/12</f>
        <v>1.2921658814969705</v>
      </c>
      <c r="CN48" s="24">
        <f t="shared" si="12"/>
        <v>29.197979781713265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projet'!$B$9,Paramètres!$A$1:$I$88,3,0)*VLOOKUP('Données projet'!$B$9,Paramètres!$A$1:$I$88,5,0)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373.09674935534343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3.3750213005593088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3.3750213005593088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173.00000000000003</v>
      </c>
      <c r="AJ49" s="14">
        <f>AI49*VLOOKUP('Données projet'!$B$10,Paramètres!$A$1:$I$88,3,0)*VLOOKUP('Données projet'!$B$10,Paramètres!$A$1:$I$88,5,0)</f>
        <v>164.62680000000003</v>
      </c>
      <c r="AK49" s="14">
        <f t="shared" si="35"/>
        <v>41.884365321551869</v>
      </c>
      <c r="AL49" s="22">
        <f t="shared" si="4"/>
        <v>359.67361293503626</v>
      </c>
      <c r="AM49" s="62">
        <f t="shared" si="5"/>
        <v>653.00694626836957</v>
      </c>
      <c r="AN49" s="62">
        <f ca="1">AVERAGE(OFFSET($AM$3,0,0,'Données projet'!$E$10+1,1))-AVERAGE(OFFSET($H$3,0,0,'Données projet'!$E$10+1,1))</f>
        <v>509.66893546110458</v>
      </c>
      <c r="AO49" s="62">
        <f t="shared" si="36"/>
        <v>280.1645836141924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4.7327884904394928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4.7327884904394928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16.399999999999999</v>
      </c>
      <c r="BD49" s="13">
        <f>IF('Données projet'!$A$88&gt;35,BD48+BC49-BL48,IF(A49&lt;'Données projet'!$A$88,$BA$205^A49,IF(A49='Données projet'!$A$88,'Données projet'!$B$88,BD48+BC49-BL48)))</f>
        <v>341.40000000000026</v>
      </c>
      <c r="BE49" s="14">
        <f>BD49*VLOOKUP('Données projet'!$B$11,Paramètres!$A$1:$I$88,3,0)*VLOOKUP('Données projet'!$B$11,Paramètres!$A$1:$I$88,5,0)</f>
        <v>204.15720000000016</v>
      </c>
      <c r="BF49" s="14">
        <f t="shared" si="37"/>
        <v>50.656697660408305</v>
      </c>
      <c r="BG49" s="22">
        <f t="shared" si="7"/>
        <v>443.8008717585447</v>
      </c>
      <c r="BH49" s="62">
        <f t="shared" si="8"/>
        <v>737.13420509187802</v>
      </c>
      <c r="BI49" s="62">
        <f ca="1">AVERAGE(OFFSET($BH$3,0,0,'Données projet'!$E$11+1,1))-AVERAGE(OFFSET($H$3,0,0,'Données projet'!$E$11+1,1))</f>
        <v>311.82072478731385</v>
      </c>
      <c r="BJ49" s="62">
        <f t="shared" si="38"/>
        <v>356.36714671797864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12.779592407703401</v>
      </c>
      <c r="BQ49" s="23">
        <f>EXP(-LN(2)/25)*BQ48+(1-EXP(-LN(2)/25))/(LN(2)/25)*Calculateur!BL49*Calculateur!BN49*VLOOKUP('Données projet'!$B$11,Paramètres!$A$1:$I$88,3,0)*0.475*44/12</f>
        <v>33.836081551310414</v>
      </c>
      <c r="BR49" s="23">
        <f>EXP(-LN(2)/2)*BR48+(1-EXP(-LN(2)/2))/(LN(2)/2)*BL49*BO49*VLOOKUP('Données projet'!$B$11,Paramètres!$A$1:$I$88,3,0)*0.475*44/12</f>
        <v>7.9797519790444795</v>
      </c>
      <c r="BS49" s="24">
        <f t="shared" si="9"/>
        <v>54.595425938058298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14</v>
      </c>
      <c r="BY49" s="13">
        <f>IF('Données projet'!$A$114&gt;35,BY48+BX49-CG48,IF(A49&lt;'Données projet'!$A$114,$BV$205^A49,IF(A49='Données projet'!$A$114,'Données projet'!$B$114,BY48+BX49-CG48)))</f>
        <v>314</v>
      </c>
      <c r="BZ49" s="14">
        <f>BY49*VLOOKUP('Données projet'!$B$12,Paramètres!$A$1:$I$88,3,0)*VLOOKUP('Données projet'!$B$12,Paramètres!$A$1:$I$88,5,0)</f>
        <v>146.952</v>
      </c>
      <c r="CA49" s="14">
        <f t="shared" si="39"/>
        <v>37.885091254823713</v>
      </c>
      <c r="CB49" s="22">
        <f t="shared" si="10"/>
        <v>321.92460060215132</v>
      </c>
      <c r="CC49" s="62">
        <f t="shared" si="11"/>
        <v>615.25793393548463</v>
      </c>
      <c r="CD49" s="62">
        <f ca="1">AVERAGE(OFFSET($CC$3,0,0,'Données projet'!$E$12+1,1))-AVERAGE(OFFSET($H$3,0,0,'Données projet'!$E$12+1,1))</f>
        <v>218.39403703215032</v>
      </c>
      <c r="CE49" s="62">
        <f t="shared" si="40"/>
        <v>254.08208375594052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13.573142245087579</v>
      </c>
      <c r="CL49" s="23">
        <f>EXP(-LN(2)/25)*CL48+(1-EXP(-LN(2)/25))/(LN(2)/25)*Calculateur!CG49*Calculateur!CI49*VLOOKUP('Données projet'!$B$12,Paramètres!$A$1:$I$88,3,0)*0.475*44/12</f>
        <v>13.676683068311622</v>
      </c>
      <c r="CM49" s="23">
        <f>EXP(-LN(2)/2)*CM48+(1-EXP(-LN(2)/2))/(LN(2)/2)*CG49*CJ49*VLOOKUP('Données projet'!$B$12,Paramètres!$A$1:$I$88,3,0)*0.475*44/12</f>
        <v>0.91369925722440071</v>
      </c>
      <c r="CN49" s="24">
        <f t="shared" si="12"/>
        <v>28.163524570623601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projet'!$B$9,Paramètres!$A$1:$I$88,3,0)*VLOOKUP('Données projet'!$B$9,Paramètres!$A$1:$I$88,5,0)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373.09674935534343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3.3088391914150681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3.3088391914150681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184.00000000000003</v>
      </c>
      <c r="AJ50" s="14">
        <f>AI50*VLOOKUP('Données projet'!$B$10,Paramètres!$A$1:$I$88,3,0)*VLOOKUP('Données projet'!$B$10,Paramètres!$A$1:$I$88,5,0)</f>
        <v>175.09440000000001</v>
      </c>
      <c r="AK50" s="14">
        <f t="shared" si="35"/>
        <v>44.229031605991956</v>
      </c>
      <c r="AL50" s="22">
        <f t="shared" si="4"/>
        <v>381.98831004710269</v>
      </c>
      <c r="AM50" s="62">
        <f t="shared" si="5"/>
        <v>675.32164338043594</v>
      </c>
      <c r="AN50" s="62">
        <f ca="1">AVERAGE(OFFSET($AM$3,0,0,'Données projet'!$E$10+1,1))-AVERAGE(OFFSET($H$3,0,0,'Données projet'!$E$10+1,1))</f>
        <v>509.66893546110458</v>
      </c>
      <c r="AO50" s="62">
        <f t="shared" si="36"/>
        <v>280.1645836141924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4.6399813948579141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4.6399813948579141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16.399999999999999</v>
      </c>
      <c r="BD50" s="13">
        <f>IF('Données projet'!$A$88&gt;35,BD49+BC50-BL49,IF(A50&lt;'Données projet'!$A$88,$BA$205^A50,IF(A50='Données projet'!$A$88,'Données projet'!$B$88,BD49+BC50-BL49)))</f>
        <v>357.80000000000024</v>
      </c>
      <c r="BE50" s="14">
        <f>BD50*VLOOKUP('Données projet'!$B$11,Paramètres!$A$1:$I$88,3,0)*VLOOKUP('Données projet'!$B$11,Paramètres!$A$1:$I$88,5,0)</f>
        <v>213.96440000000015</v>
      </c>
      <c r="BF50" s="14">
        <f t="shared" si="37"/>
        <v>52.800961630419025</v>
      </c>
      <c r="BG50" s="22">
        <f t="shared" si="7"/>
        <v>464.61633817298008</v>
      </c>
      <c r="BH50" s="62">
        <f t="shared" si="8"/>
        <v>757.94967150631339</v>
      </c>
      <c r="BI50" s="62">
        <f ca="1">AVERAGE(OFFSET($BH$3,0,0,'Données projet'!$E$11+1,1))-AVERAGE(OFFSET($H$3,0,0,'Données projet'!$E$11+1,1))</f>
        <v>311.82072478731385</v>
      </c>
      <c r="BJ50" s="62">
        <f t="shared" si="38"/>
        <v>356.36714671797864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12.528992395370036</v>
      </c>
      <c r="BQ50" s="23">
        <f>EXP(-LN(2)/25)*BQ49+(1-EXP(-LN(2)/25))/(LN(2)/25)*Calculateur!BL50*Calculateur!BN50*VLOOKUP('Données projet'!$B$11,Paramètres!$A$1:$I$88,3,0)*0.475*44/12</f>
        <v>32.910832121927633</v>
      </c>
      <c r="BR50" s="23">
        <f>EXP(-LN(2)/2)*BR49+(1-EXP(-LN(2)/2))/(LN(2)/2)*BL50*BO50*VLOOKUP('Données projet'!$B$11,Paramètres!$A$1:$I$88,3,0)*0.475*44/12</f>
        <v>5.6425367365691246</v>
      </c>
      <c r="BS50" s="24">
        <f t="shared" si="9"/>
        <v>51.082361253866793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14</v>
      </c>
      <c r="BY50" s="13">
        <f>IF('Données projet'!$A$114&gt;35,BY49+BX50-CG49,IF(A50&lt;'Données projet'!$A$114,$BV$205^A50,IF(A50='Données projet'!$A$114,'Données projet'!$B$114,BY49+BX50-CG49)))</f>
        <v>328</v>
      </c>
      <c r="BZ50" s="14">
        <f>BY50*VLOOKUP('Données projet'!$B$12,Paramètres!$A$1:$I$88,3,0)*VLOOKUP('Données projet'!$B$12,Paramètres!$A$1:$I$88,5,0)</f>
        <v>153.50399999999999</v>
      </c>
      <c r="CA50" s="14">
        <f t="shared" si="39"/>
        <v>39.373808884365609</v>
      </c>
      <c r="CB50" s="22">
        <f t="shared" si="10"/>
        <v>335.9288504736034</v>
      </c>
      <c r="CC50" s="62">
        <f t="shared" si="11"/>
        <v>629.26218380693672</v>
      </c>
      <c r="CD50" s="62">
        <f ca="1">AVERAGE(OFFSET($CC$3,0,0,'Données projet'!$E$12+1,1))-AVERAGE(OFFSET($H$3,0,0,'Données projet'!$E$12+1,1))</f>
        <v>218.39403703215032</v>
      </c>
      <c r="CE50" s="62">
        <f t="shared" si="40"/>
        <v>254.08208375594052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13.306981204460717</v>
      </c>
      <c r="CL50" s="23">
        <f>EXP(-LN(2)/25)*CL49+(1-EXP(-LN(2)/25))/(LN(2)/25)*Calculateur!CG50*Calculateur!CI50*VLOOKUP('Données projet'!$B$12,Paramètres!$A$1:$I$88,3,0)*0.475*44/12</f>
        <v>13.302693450583137</v>
      </c>
      <c r="CM50" s="23">
        <f>EXP(-LN(2)/2)*CM49+(1-EXP(-LN(2)/2))/(LN(2)/2)*CG50*CJ50*VLOOKUP('Données projet'!$B$12,Paramètres!$A$1:$I$88,3,0)*0.475*44/12</f>
        <v>0.64608294074848538</v>
      </c>
      <c r="CN50" s="24">
        <f t="shared" si="12"/>
        <v>27.255757595792339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projet'!$B$9,Paramètres!$A$1:$I$88,3,0)*VLOOKUP('Données projet'!$B$9,Paramètres!$A$1:$I$88,5,0)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373.09674935534343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3.2439548730640455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3.2439548730640455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195.00000000000003</v>
      </c>
      <c r="AJ51" s="14">
        <f>AI51*VLOOKUP('Données projet'!$B$10,Paramètres!$A$1:$I$88,3,0)*VLOOKUP('Données projet'!$B$10,Paramètres!$A$1:$I$88,5,0)</f>
        <v>185.56200000000004</v>
      </c>
      <c r="AK51" s="14">
        <f t="shared" si="35"/>
        <v>46.557428480028591</v>
      </c>
      <c r="AL51" s="22">
        <f t="shared" si="4"/>
        <v>404.27467126938319</v>
      </c>
      <c r="AM51" s="62">
        <f t="shared" si="5"/>
        <v>697.60800460271651</v>
      </c>
      <c r="AN51" s="62">
        <f ca="1">AVERAGE(OFFSET($AM$3,0,0,'Données projet'!$E$10+1,1))-AVERAGE(OFFSET($H$3,0,0,'Données projet'!$E$10+1,1))</f>
        <v>509.66893546110458</v>
      </c>
      <c r="AO51" s="62">
        <f t="shared" si="36"/>
        <v>280.1645836141924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4.5489941898139508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4.5489941898139508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16.399999999999999</v>
      </c>
      <c r="BD51" s="13">
        <f>IF('Données projet'!$A$88&gt;35,BD50+BC51-BL50,IF(A51&lt;'Données projet'!$A$88,$BA$205^A51,IF(A51='Données projet'!$A$88,'Données projet'!$B$88,BD50+BC51-BL50)))</f>
        <v>374.20000000000022</v>
      </c>
      <c r="BE51" s="14">
        <f>BD51*VLOOKUP('Données projet'!$B$11,Paramètres!$A$1:$I$88,3,0)*VLOOKUP('Données projet'!$B$11,Paramètres!$A$1:$I$88,5,0)</f>
        <v>223.77160000000015</v>
      </c>
      <c r="BF51" s="14">
        <f t="shared" si="37"/>
        <v>54.933811614894488</v>
      </c>
      <c r="BG51" s="22">
        <f t="shared" si="7"/>
        <v>485.41192522927469</v>
      </c>
      <c r="BH51" s="62">
        <f t="shared" si="8"/>
        <v>778.745258562608</v>
      </c>
      <c r="BI51" s="62">
        <f ca="1">AVERAGE(OFFSET($BH$3,0,0,'Données projet'!$E$11+1,1))-AVERAGE(OFFSET($H$3,0,0,'Données projet'!$E$11+1,1))</f>
        <v>311.82072478731385</v>
      </c>
      <c r="BJ51" s="62">
        <f t="shared" si="38"/>
        <v>356.36714671797864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12.283306496427613</v>
      </c>
      <c r="BQ51" s="23">
        <f>EXP(-LN(2)/25)*BQ50+(1-EXP(-LN(2)/25))/(LN(2)/25)*Calculateur!BL51*Calculateur!BN51*VLOOKUP('Données projet'!$B$11,Paramètres!$A$1:$I$88,3,0)*0.475*44/12</f>
        <v>32.010883686848082</v>
      </c>
      <c r="BR51" s="23">
        <f>EXP(-LN(2)/2)*BR50+(1-EXP(-LN(2)/2))/(LN(2)/2)*BL51*BO51*VLOOKUP('Données projet'!$B$11,Paramètres!$A$1:$I$88,3,0)*0.475*44/12</f>
        <v>3.9898759895222402</v>
      </c>
      <c r="BS51" s="24">
        <f t="shared" si="9"/>
        <v>48.284066172797935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14</v>
      </c>
      <c r="BY51" s="13">
        <f>IF('Données projet'!$A$114&gt;35,BY50+BX51-CG50,IF(A51&lt;'Données projet'!$A$114,$BV$205^A51,IF(A51='Données projet'!$A$114,'Données projet'!$B$114,BY50+BX51-CG50)))</f>
        <v>342</v>
      </c>
      <c r="BZ51" s="14">
        <f>BY51*VLOOKUP('Données projet'!$B$12,Paramètres!$A$1:$I$88,3,0)*VLOOKUP('Données projet'!$B$12,Paramètres!$A$1:$I$88,5,0)</f>
        <v>160.05599999999998</v>
      </c>
      <c r="CA51" s="14">
        <f t="shared" si="39"/>
        <v>40.855146105751423</v>
      </c>
      <c r="CB51" s="22">
        <f t="shared" si="10"/>
        <v>349.92024613418363</v>
      </c>
      <c r="CC51" s="62">
        <f t="shared" si="11"/>
        <v>643.25357946751694</v>
      </c>
      <c r="CD51" s="62">
        <f ca="1">AVERAGE(OFFSET($CC$3,0,0,'Données projet'!$E$12+1,1))-AVERAGE(OFFSET($H$3,0,0,'Données projet'!$E$12+1,1))</f>
        <v>218.39403703215032</v>
      </c>
      <c r="CE51" s="62">
        <f t="shared" si="40"/>
        <v>254.08208375594052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13.046039419498344</v>
      </c>
      <c r="CL51" s="23">
        <f>EXP(-LN(2)/25)*CL50+(1-EXP(-LN(2)/25))/(LN(2)/25)*Calculateur!CG51*Calculateur!CI51*VLOOKUP('Données projet'!$B$12,Paramètres!$A$1:$I$88,3,0)*0.475*44/12</f>
        <v>12.938930598618695</v>
      </c>
      <c r="CM51" s="23">
        <f>EXP(-LN(2)/2)*CM50+(1-EXP(-LN(2)/2))/(LN(2)/2)*CG51*CJ51*VLOOKUP('Données projet'!$B$12,Paramètres!$A$1:$I$88,3,0)*0.475*44/12</f>
        <v>0.45684962861220041</v>
      </c>
      <c r="CN51" s="24">
        <f t="shared" si="12"/>
        <v>26.44181964672924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projet'!$B$9,Paramètres!$A$1:$I$88,3,0)*VLOOKUP('Données projet'!$B$9,Paramètres!$A$1:$I$88,5,0)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373.09674935534343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3.1803428966203597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3.1803428966203597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206.00000000000003</v>
      </c>
      <c r="AJ52" s="14">
        <f>AI52*VLOOKUP('Données projet'!$B$10,Paramètres!$A$1:$I$88,3,0)*VLOOKUP('Données projet'!$B$10,Paramètres!$A$1:$I$88,5,0)</f>
        <v>196.02960000000002</v>
      </c>
      <c r="AK52" s="14">
        <f t="shared" si="35"/>
        <v>48.870578290511943</v>
      </c>
      <c r="AL52" s="22">
        <f t="shared" si="4"/>
        <v>426.53447718930829</v>
      </c>
      <c r="AM52" s="62">
        <f t="shared" si="5"/>
        <v>719.86781052264155</v>
      </c>
      <c r="AN52" s="62">
        <f ca="1">AVERAGE(OFFSET($AM$3,0,0,'Données projet'!$E$10+1,1))-AVERAGE(OFFSET($H$3,0,0,'Données projet'!$E$10+1,1))</f>
        <v>509.66893546110458</v>
      </c>
      <c r="AO52" s="62">
        <f t="shared" si="36"/>
        <v>280.1645836141924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4.4597911883641848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4.4597911883641848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16.399999999999999</v>
      </c>
      <c r="BD52" s="13">
        <f>IF('Données projet'!$A$88&gt;35,BD51+BC52-BL51,IF(A52&lt;'Données projet'!$A$88,$BA$205^A52,IF(A52='Données projet'!$A$88,'Données projet'!$B$88,BD51+BC52-BL51)))</f>
        <v>390.60000000000019</v>
      </c>
      <c r="BE52" s="14">
        <f>BD52*VLOOKUP('Données projet'!$B$11,Paramètres!$A$1:$I$88,3,0)*VLOOKUP('Données projet'!$B$11,Paramètres!$A$1:$I$88,5,0)</f>
        <v>233.57880000000014</v>
      </c>
      <c r="BF52" s="14">
        <f t="shared" si="37"/>
        <v>57.055805022709997</v>
      </c>
      <c r="BG52" s="22">
        <f t="shared" si="7"/>
        <v>506.18860374788687</v>
      </c>
      <c r="BH52" s="62">
        <f t="shared" si="8"/>
        <v>799.52193708122013</v>
      </c>
      <c r="BI52" s="62">
        <f ca="1">AVERAGE(OFFSET($BH$3,0,0,'Données projet'!$E$11+1,1))-AVERAGE(OFFSET($H$3,0,0,'Données projet'!$E$11+1,1))</f>
        <v>311.82072478731385</v>
      </c>
      <c r="BJ52" s="62">
        <f t="shared" si="38"/>
        <v>356.36714671797864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12.042438348109849</v>
      </c>
      <c r="BQ52" s="23">
        <f>EXP(-LN(2)/25)*BQ51+(1-EXP(-LN(2)/25))/(LN(2)/25)*Calculateur!BL52*Calculateur!BN52*VLOOKUP('Données projet'!$B$11,Paramètres!$A$1:$I$88,3,0)*0.475*44/12</f>
        <v>31.135544389052011</v>
      </c>
      <c r="BR52" s="23">
        <f>EXP(-LN(2)/2)*BR51+(1-EXP(-LN(2)/2))/(LN(2)/2)*BL52*BO52*VLOOKUP('Données projet'!$B$11,Paramètres!$A$1:$I$88,3,0)*0.475*44/12</f>
        <v>2.8212683682845627</v>
      </c>
      <c r="BS52" s="24">
        <f t="shared" si="9"/>
        <v>45.999251105446426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14</v>
      </c>
      <c r="BY52" s="13">
        <f>IF('Données projet'!$A$114&gt;35,BY51+BX52-CG51,IF(A52&lt;'Données projet'!$A$114,$BV$205^A52,IF(A52='Données projet'!$A$114,'Données projet'!$B$114,BY51+BX52-CG51)))</f>
        <v>356</v>
      </c>
      <c r="BZ52" s="14">
        <f>BY52*VLOOKUP('Données projet'!$B$12,Paramètres!$A$1:$I$88,3,0)*VLOOKUP('Données projet'!$B$12,Paramètres!$A$1:$I$88,5,0)</f>
        <v>166.608</v>
      </c>
      <c r="CA52" s="14">
        <f t="shared" si="39"/>
        <v>42.329439597357634</v>
      </c>
      <c r="CB52" s="22">
        <f t="shared" si="10"/>
        <v>363.8993739653979</v>
      </c>
      <c r="CC52" s="62">
        <f t="shared" si="11"/>
        <v>657.23270729873116</v>
      </c>
      <c r="CD52" s="62">
        <f ca="1">AVERAGE(OFFSET($CC$3,0,0,'Données projet'!$E$12+1,1))-AVERAGE(OFFSET($H$3,0,0,'Données projet'!$E$12+1,1))</f>
        <v>218.39403703215032</v>
      </c>
      <c r="CE52" s="62">
        <f t="shared" si="40"/>
        <v>254.08208375594052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12.79021454378031</v>
      </c>
      <c r="CL52" s="23">
        <f>EXP(-LN(2)/25)*CL51+(1-EXP(-LN(2)/25))/(LN(2)/25)*Calculateur!CG52*Calculateur!CI52*VLOOKUP('Données projet'!$B$12,Paramètres!$A$1:$I$88,3,0)*0.475*44/12</f>
        <v>12.585114860970679</v>
      </c>
      <c r="CM52" s="23">
        <f>EXP(-LN(2)/2)*CM51+(1-EXP(-LN(2)/2))/(LN(2)/2)*CG52*CJ52*VLOOKUP('Données projet'!$B$12,Paramètres!$A$1:$I$88,3,0)*0.475*44/12</f>
        <v>0.32304147037424275</v>
      </c>
      <c r="CN52" s="24">
        <f t="shared" si="12"/>
        <v>25.698370875125232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projet'!$B$9,Paramètres!$A$1:$I$88,3,0)*VLOOKUP('Données projet'!$B$9,Paramètres!$A$1:$I$88,5,0)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373.09674935534343</v>
      </c>
      <c r="T53" s="62">
        <f t="shared" si="34"/>
        <v>231.36959598460686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projet'!$B$9,Paramètres!$A$1:$I$88,7,0))</f>
        <v>8.6000000000000007E-2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4.9243929687542121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4.9243929687542121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217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217.00000000000003</v>
      </c>
      <c r="AJ53" s="14">
        <f>AI53*VLOOKUP('Données projet'!$B$10,Paramètres!$A$1:$I$88,3,0)*VLOOKUP('Données projet'!$B$10,Paramètres!$A$1:$I$88,5,0)</f>
        <v>206.49720000000002</v>
      </c>
      <c r="AK53" s="14">
        <f t="shared" si="35"/>
        <v>51.16938803514504</v>
      </c>
      <c r="AL53" s="22">
        <f t="shared" si="4"/>
        <v>448.76930749454436</v>
      </c>
      <c r="AM53" s="62">
        <f t="shared" si="5"/>
        <v>742.10264082787762</v>
      </c>
      <c r="AN53" s="62">
        <f ca="1">AVERAGE(OFFSET($AM$3,0,0,'Données projet'!$E$10+1,1))-AVERAGE(OFFSET($H$3,0,0,'Données projet'!$E$10+1,1))</f>
        <v>509.66893546110458</v>
      </c>
      <c r="AO53" s="62">
        <f t="shared" si="36"/>
        <v>280.1645836141924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projet'!$B$10,Paramètres!$A$1:$I$88,7,0))</f>
        <v>8.6000000000000007E-2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6.9054705998622321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6.9054705998622321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407</v>
      </c>
      <c r="BB53" s="13">
        <f>VLOOKUP(A53,'Données projet'!$A$87:$I$107,9,0)</f>
        <v>16.399999999999999</v>
      </c>
      <c r="BC53" s="13">
        <f t="array" ref="BC53">INDEX(BB:BB,MIN(IF(ISNUMBER(BB53:BB249),ROW(BB53:BB249),"")))</f>
        <v>16.399999999999999</v>
      </c>
      <c r="BD53" s="13">
        <f>IF('Données projet'!$A$88&gt;35,BD52+BC53-BL52,IF(A53&lt;'Données projet'!$A$88,$BA$205^A53,IF(A53='Données projet'!$A$88,'Données projet'!$B$88,BD52+BC53-BL52)))</f>
        <v>407.00000000000017</v>
      </c>
      <c r="BE53" s="14">
        <f>BD53*VLOOKUP('Données projet'!$B$11,Paramètres!$A$1:$I$88,3,0)*VLOOKUP('Données projet'!$B$11,Paramètres!$A$1:$I$88,5,0)</f>
        <v>243.38600000000011</v>
      </c>
      <c r="BF53" s="14">
        <f t="shared" si="37"/>
        <v>59.167449807285649</v>
      </c>
      <c r="BG53" s="22">
        <f t="shared" si="7"/>
        <v>526.94725841435593</v>
      </c>
      <c r="BH53" s="62">
        <f t="shared" si="8"/>
        <v>820.28059174768919</v>
      </c>
      <c r="BI53" s="62">
        <f ca="1">AVERAGE(OFFSET($BH$3,0,0,'Données projet'!$E$11+1,1))-AVERAGE(OFFSET($H$3,0,0,'Données projet'!$E$11+1,1))</f>
        <v>311.82072478731385</v>
      </c>
      <c r="BJ53" s="62">
        <f t="shared" si="38"/>
        <v>356.36714671797864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45</v>
      </c>
      <c r="BM53" s="17">
        <f>IF(ISNA(VLOOKUP(A53,'Données projet'!$A$87:$I$107,5,0)),0%,VLOOKUP(A53,'Données projet'!$A$87:$I$107,5,0)*VLOOKUP('Données projet'!$B$11,Paramètres!$A$1:$I$88,7,0))</f>
        <v>0.27</v>
      </c>
      <c r="BN53" s="17">
        <f>IF(ISNA(VLOOKUP(A53,'Données projet'!$A$87:$I$107,6,0)),0%,VLOOKUP(A53,'Données projet'!$A$87:$I$107,6,0)*VLOOKUP('Données projet'!$B$11,Paramètres!$A$1:$I$88,7,0))</f>
        <v>0.10080000000000001</v>
      </c>
      <c r="BO53" s="17">
        <f>IF(ISNA(VLOOKUP(A53,'Données projet'!$A$87:$I$107,7,0)),0%,VLOOKUP(A53,'Données projet'!$A$87:$I$107,7,0))</f>
        <v>0.17600000000000002</v>
      </c>
      <c r="BP53" s="23">
        <f>EXP(-LN(2)/35)*BP52+(1-EXP(-LN(2)/35))/(LN(2)/35)*BL53*BM53*VLOOKUP('Données projet'!$B$11,Paramètres!$A$1:$I$88,3,0)*0.475*44/12</f>
        <v>21.444712841152601</v>
      </c>
      <c r="BQ53" s="23">
        <f>EXP(-LN(2)/25)*BQ52+(1-EXP(-LN(2)/25))/(LN(2)/25)*Calculateur!BL53*Calculateur!BN53*VLOOKUP('Données projet'!$B$11,Paramètres!$A$1:$I$88,3,0)*0.475*44/12</f>
        <v>33.868316471201211</v>
      </c>
      <c r="BR53" s="23">
        <f>EXP(-LN(2)/2)*BR52+(1-EXP(-LN(2)/2))/(LN(2)/2)*BL53*BO53*VLOOKUP('Données projet'!$B$11,Paramètres!$A$1:$I$88,3,0)*0.475*44/12</f>
        <v>7.3573713130140668</v>
      </c>
      <c r="BS53" s="24">
        <f t="shared" si="9"/>
        <v>62.670400625367876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370</v>
      </c>
      <c r="BW53" s="13">
        <f>VLOOKUP(A53,'Données projet'!$A$113:$I$133,9,0)</f>
        <v>14</v>
      </c>
      <c r="BX53" s="13">
        <f t="array" ref="BX53">INDEX(BW:BW,MIN(IF(ISNUMBER(BW53:BW249),ROW(BW53:BW249),"")))</f>
        <v>14</v>
      </c>
      <c r="BY53" s="13">
        <f>IF('Données projet'!$A$114&gt;35,BY52+BX53-CG52,IF(A53&lt;'Données projet'!$A$114,$BV$205^A53,IF(A53='Données projet'!$A$114,'Données projet'!$B$114,BY52+BX53-CG52)))</f>
        <v>370</v>
      </c>
      <c r="BZ53" s="14">
        <f>BY53*VLOOKUP('Données projet'!$B$12,Paramètres!$A$1:$I$88,3,0)*VLOOKUP('Données projet'!$B$12,Paramètres!$A$1:$I$88,5,0)</f>
        <v>173.16</v>
      </c>
      <c r="CA53" s="14">
        <f t="shared" si="39"/>
        <v>43.796998058051557</v>
      </c>
      <c r="CB53" s="22">
        <f t="shared" si="10"/>
        <v>377.86677161777311</v>
      </c>
      <c r="CC53" s="62">
        <f t="shared" si="11"/>
        <v>671.20010495110637</v>
      </c>
      <c r="CD53" s="62">
        <f ca="1">AVERAGE(OFFSET($CC$3,0,0,'Données projet'!$E$12+1,1))-AVERAGE(OFFSET($H$3,0,0,'Données projet'!$E$12+1,1))</f>
        <v>218.39403703215032</v>
      </c>
      <c r="CE53" s="62">
        <f t="shared" si="40"/>
        <v>254.08208375594052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60</v>
      </c>
      <c r="CH53" s="17">
        <f>IF(ISNA(VLOOKUP(A53,'Données projet'!$A$113:$I$133,5,0)),0%,VLOOKUP(A53,'Données projet'!$A$113:$I$133,5,0)*VLOOKUP('Données projet'!$B$12,Paramètres!$A$1:$I$88,7,0))</f>
        <v>0.38500000000000001</v>
      </c>
      <c r="CI53" s="17">
        <f>IF(ISNA(VLOOKUP(A53,'Données projet'!$A$113:$I$133,6,0)),0%,VLOOKUP(A53,'Données projet'!$A$113:$I$133,6,0)*VLOOKUP('Données projet'!$B$12,Paramètres!$A$1:$I$88,7,0))</f>
        <v>9.240000000000001E-2</v>
      </c>
      <c r="CJ53" s="17">
        <f>IF(ISNA(VLOOKUP(A53,'Données projet'!$A$113:$I$133,7,0)),0%,VLOOKUP(A53,'Données projet'!$A$113:$I$133,7,0))</f>
        <v>0.13200000000000001</v>
      </c>
      <c r="CK53" s="23">
        <f>EXP(-LN(2)/35)*CK52+(1-EXP(-LN(2)/35))/(LN(2)/35)*CG53*CH53*VLOOKUP('Données projet'!$B$12,Paramètres!$A$1:$I$88,3,0)*0.475*44/12</f>
        <v>26.880629252703116</v>
      </c>
      <c r="CL53" s="23">
        <f>EXP(-LN(2)/25)*CL52+(1-EXP(-LN(2)/25))/(LN(2)/25)*Calculateur!CG53*Calculateur!CI53*VLOOKUP('Données projet'!$B$12,Paramètres!$A$1:$I$88,3,0)*0.475*44/12</f>
        <v>15.669315710576258</v>
      </c>
      <c r="CM53" s="23">
        <f>EXP(-LN(2)/2)*CM52+(1-EXP(-LN(2)/2))/(LN(2)/2)*CG53*CJ53*VLOOKUP('Données projet'!$B$12,Paramètres!$A$1:$I$88,3,0)*0.475*44/12</f>
        <v>4.4251117590257971</v>
      </c>
      <c r="CN53" s="24">
        <f t="shared" si="12"/>
        <v>46.975056722305169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projet'!$B$9,Paramètres!$A$1:$I$88,3,0)*VLOOKUP('Données projet'!$B$9,Paramètres!$A$1:$I$88,5,0)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373.09674935534343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4.8278286262200734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4.8278286262200734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</v>
      </c>
      <c r="AI54" s="14">
        <f>IF('Données projet'!$A$62&gt;35,AI53+AH54-AQ53,IF(A54&lt;'Données projet'!$A$62,$AF$205^A54,IF(A54='Données projet'!$A$62,'Données projet'!$B$62,AI53+AH54-AQ53)))</f>
        <v>200.00000000000003</v>
      </c>
      <c r="AJ54" s="14">
        <f>AI54*VLOOKUP('Données projet'!$B$10,Paramètres!$A$1:$I$88,3,0)*VLOOKUP('Données projet'!$B$10,Paramètres!$A$1:$I$88,5,0)</f>
        <v>190.32000000000002</v>
      </c>
      <c r="AK54" s="14">
        <f t="shared" si="35"/>
        <v>47.61069337740188</v>
      </c>
      <c r="AL54" s="22">
        <f t="shared" si="4"/>
        <v>414.39595763230824</v>
      </c>
      <c r="AM54" s="62">
        <f t="shared" si="5"/>
        <v>707.72929096564155</v>
      </c>
      <c r="AN54" s="62">
        <f ca="1">AVERAGE(OFFSET($AM$3,0,0,'Données projet'!$E$10+1,1))-AVERAGE(OFFSET($H$3,0,0,'Données projet'!$E$10+1,1))</f>
        <v>509.66893546110458</v>
      </c>
      <c r="AO54" s="62">
        <f t="shared" si="36"/>
        <v>280.1645836141924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6.7700585333201069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6.7700585333201069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15.2</v>
      </c>
      <c r="BD54" s="13">
        <f>IF('Données projet'!$A$88&gt;35,BD53+BC54-BL53,IF(A54&lt;'Données projet'!$A$88,$BA$205^A54,IF(A54='Données projet'!$A$88,'Données projet'!$B$88,BD53+BC54-BL53)))</f>
        <v>377.20000000000016</v>
      </c>
      <c r="BE54" s="14">
        <f>BD54*VLOOKUP('Données projet'!$B$11,Paramètres!$A$1:$I$88,3,0)*VLOOKUP('Données projet'!$B$11,Paramètres!$A$1:$I$88,5,0)</f>
        <v>225.56560000000013</v>
      </c>
      <c r="BF54" s="14">
        <f t="shared" si="37"/>
        <v>55.322776886773624</v>
      </c>
      <c r="BG54" s="22">
        <f t="shared" si="7"/>
        <v>489.21392307779769</v>
      </c>
      <c r="BH54" s="62">
        <f t="shared" si="8"/>
        <v>782.547256411131</v>
      </c>
      <c r="BI54" s="62">
        <f ca="1">AVERAGE(OFFSET($BH$3,0,0,'Données projet'!$E$11+1,1))-AVERAGE(OFFSET($H$3,0,0,'Données projet'!$E$11+1,1))</f>
        <v>311.82072478731385</v>
      </c>
      <c r="BJ54" s="62">
        <f t="shared" si="38"/>
        <v>356.36714671797864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21.024195102320892</v>
      </c>
      <c r="BQ54" s="23">
        <f>EXP(-LN(2)/25)*BQ53+(1-EXP(-LN(2)/25))/(LN(2)/25)*Calculateur!BL54*Calculateur!BN54*VLOOKUP('Données projet'!$B$11,Paramètres!$A$1:$I$88,3,0)*0.475*44/12</f>
        <v>32.942185576238856</v>
      </c>
      <c r="BR54" s="23">
        <f>EXP(-LN(2)/2)*BR53+(1-EXP(-LN(2)/2))/(LN(2)/2)*BL54*BO54*VLOOKUP('Données projet'!$B$11,Paramètres!$A$1:$I$88,3,0)*0.475*44/12</f>
        <v>5.2024471471396199</v>
      </c>
      <c r="BS54" s="24">
        <f t="shared" si="9"/>
        <v>59.168827825699367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</v>
      </c>
      <c r="BY54" s="13">
        <f>IF('Données projet'!$A$114&gt;35,BY53+BX54-CG53,IF(A54&lt;'Données projet'!$A$114,$BV$205^A54,IF(A54='Données projet'!$A$114,'Données projet'!$B$114,BY53+BX54-CG53)))</f>
        <v>323</v>
      </c>
      <c r="BZ54" s="14">
        <f>BY54*VLOOKUP('Données projet'!$B$12,Paramètres!$A$1:$I$88,3,0)*VLOOKUP('Données projet'!$B$12,Paramètres!$A$1:$I$88,5,0)</f>
        <v>151.16400000000002</v>
      </c>
      <c r="CA54" s="14">
        <f t="shared" si="39"/>
        <v>38.84298967415998</v>
      </c>
      <c r="CB54" s="22">
        <f t="shared" si="10"/>
        <v>330.92884034916193</v>
      </c>
      <c r="CC54" s="62">
        <f t="shared" si="11"/>
        <v>624.26217368249524</v>
      </c>
      <c r="CD54" s="62">
        <f ca="1">AVERAGE(OFFSET($CC$3,0,0,'Données projet'!$E$12+1,1))-AVERAGE(OFFSET($H$3,0,0,'Données projet'!$E$12+1,1))</f>
        <v>218.39403703215032</v>
      </c>
      <c r="CE54" s="62">
        <f t="shared" si="40"/>
        <v>254.08208375594052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26.353516508622526</v>
      </c>
      <c r="CL54" s="23">
        <f>EXP(-LN(2)/25)*CL53+(1-EXP(-LN(2)/25))/(LN(2)/25)*Calculateur!CG54*Calculateur!CI54*VLOOKUP('Données projet'!$B$12,Paramètres!$A$1:$I$88,3,0)*0.475*44/12</f>
        <v>15.24083744845705</v>
      </c>
      <c r="CM54" s="23">
        <f>EXP(-LN(2)/2)*CM53+(1-EXP(-LN(2)/2))/(LN(2)/2)*CG54*CJ54*VLOOKUP('Données projet'!$B$12,Paramètres!$A$1:$I$88,3,0)*0.475*44/12</f>
        <v>3.1290265323154731</v>
      </c>
      <c r="CN54" s="24">
        <f t="shared" si="12"/>
        <v>44.723380489395048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projet'!$B$9,Paramètres!$A$1:$I$88,3,0)*VLOOKUP('Données projet'!$B$9,Paramètres!$A$1:$I$88,5,0)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373.09674935534343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4.733157851544596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4.733157851544596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11</v>
      </c>
      <c r="AI55" s="14">
        <f>IF('Données projet'!$A$62&gt;35,AI54+AH55-AQ54,IF(A55&lt;'Données projet'!$A$62,$AF$205^A55,IF(A55='Données projet'!$A$62,'Données projet'!$B$62,AI54+AH55-AQ54)))</f>
        <v>211.00000000000003</v>
      </c>
      <c r="AJ55" s="14">
        <f>AI55*VLOOKUP('Données projet'!$B$10,Paramètres!$A$1:$I$88,3,0)*VLOOKUP('Données projet'!$B$10,Paramètres!$A$1:$I$88,5,0)</f>
        <v>200.78760000000003</v>
      </c>
      <c r="AK55" s="14">
        <f t="shared" si="35"/>
        <v>49.917218754196675</v>
      </c>
      <c r="AL55" s="22">
        <f t="shared" si="4"/>
        <v>436.64422599689254</v>
      </c>
      <c r="AM55" s="62">
        <f t="shared" si="5"/>
        <v>729.97755933022586</v>
      </c>
      <c r="AN55" s="62">
        <f ca="1">AVERAGE(OFFSET($AM$3,0,0,'Données projet'!$E$10+1,1))-AVERAGE(OFFSET($H$3,0,0,'Données projet'!$E$10+1,1))</f>
        <v>509.66893546110458</v>
      </c>
      <c r="AO55" s="62">
        <f t="shared" si="36"/>
        <v>280.1645836141924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6.6373018148096676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6.6373018148096676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15.2</v>
      </c>
      <c r="BD55" s="13">
        <f>IF('Données projet'!$A$88&gt;35,BD54+BC55-BL54,IF(A55&lt;'Données projet'!$A$88,$BA$205^A55,IF(A55='Données projet'!$A$88,'Données projet'!$B$88,BD54+BC55-BL54)))</f>
        <v>392.40000000000015</v>
      </c>
      <c r="BE55" s="14">
        <f>BD55*VLOOKUP('Données projet'!$B$11,Paramètres!$A$1:$I$88,3,0)*VLOOKUP('Données projet'!$B$11,Paramètres!$A$1:$I$88,5,0)</f>
        <v>234.65520000000009</v>
      </c>
      <c r="BF55" s="14">
        <f t="shared" si="37"/>
        <v>57.288067746850999</v>
      </c>
      <c r="BG55" s="22">
        <f t="shared" si="7"/>
        <v>508.46785799243236</v>
      </c>
      <c r="BH55" s="62">
        <f t="shared" si="8"/>
        <v>801.80119132576567</v>
      </c>
      <c r="BI55" s="62">
        <f ca="1">AVERAGE(OFFSET($BH$3,0,0,'Données projet'!$E$11+1,1))-AVERAGE(OFFSET($H$3,0,0,'Données projet'!$E$11+1,1))</f>
        <v>311.82072478731385</v>
      </c>
      <c r="BJ55" s="62">
        <f t="shared" si="38"/>
        <v>356.36714671797864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20.611923459857177</v>
      </c>
      <c r="BQ55" s="23">
        <f>EXP(-LN(2)/25)*BQ54+(1-EXP(-LN(2)/25))/(LN(2)/25)*Calculateur!BL55*Calculateur!BN55*VLOOKUP('Données projet'!$B$11,Paramètres!$A$1:$I$88,3,0)*0.475*44/12</f>
        <v>32.041379779302353</v>
      </c>
      <c r="BR55" s="23">
        <f>EXP(-LN(2)/2)*BR54+(1-EXP(-LN(2)/2))/(LN(2)/2)*BL55*BO55*VLOOKUP('Données projet'!$B$11,Paramètres!$A$1:$I$88,3,0)*0.475*44/12</f>
        <v>3.6786856565070338</v>
      </c>
      <c r="BS55" s="24">
        <f t="shared" si="9"/>
        <v>56.331988895666562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</v>
      </c>
      <c r="BY55" s="13">
        <f>IF('Données projet'!$A$114&gt;35,BY54+BX55-CG54,IF(A55&lt;'Données projet'!$A$114,$BV$205^A55,IF(A55='Données projet'!$A$114,'Données projet'!$B$114,BY54+BX55-CG54)))</f>
        <v>336</v>
      </c>
      <c r="BZ55" s="14">
        <f>BY55*VLOOKUP('Données projet'!$B$12,Paramètres!$A$1:$I$88,3,0)*VLOOKUP('Données projet'!$B$12,Paramètres!$A$1:$I$88,5,0)</f>
        <v>157.24799999999999</v>
      </c>
      <c r="CA55" s="14">
        <f t="shared" si="39"/>
        <v>40.22116874434861</v>
      </c>
      <c r="CB55" s="22">
        <f t="shared" si="10"/>
        <v>343.92546889640715</v>
      </c>
      <c r="CC55" s="62">
        <f t="shared" si="11"/>
        <v>637.25880222974047</v>
      </c>
      <c r="CD55" s="62">
        <f ca="1">AVERAGE(OFFSET($CC$3,0,0,'Données projet'!$E$12+1,1))-AVERAGE(OFFSET($H$3,0,0,'Données projet'!$E$12+1,1))</f>
        <v>218.39403703215032</v>
      </c>
      <c r="CE55" s="62">
        <f t="shared" si="40"/>
        <v>254.08208375594052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25.836740123946328</v>
      </c>
      <c r="CL55" s="23">
        <f>EXP(-LN(2)/25)*CL54+(1-EXP(-LN(2)/25))/(LN(2)/25)*Calculateur!CG55*Calculateur!CI55*VLOOKUP('Données projet'!$B$12,Paramètres!$A$1:$I$88,3,0)*0.475*44/12</f>
        <v>14.824075946948184</v>
      </c>
      <c r="CM55" s="23">
        <f>EXP(-LN(2)/2)*CM54+(1-EXP(-LN(2)/2))/(LN(2)/2)*CG55*CJ55*VLOOKUP('Données projet'!$B$12,Paramètres!$A$1:$I$88,3,0)*0.475*44/12</f>
        <v>2.212555879512899</v>
      </c>
      <c r="CN55" s="24">
        <f t="shared" si="12"/>
        <v>42.87337195040741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projet'!$B$9,Paramètres!$A$1:$I$88,3,0)*VLOOKUP('Données projet'!$B$9,Paramètres!$A$1:$I$88,5,0)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373.09674935534343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4.6403435130170338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4.6403435130170338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11</v>
      </c>
      <c r="AI56" s="14">
        <f>IF('Données projet'!$A$62&gt;35,AI55+AH56-AQ55,IF(A56&lt;'Données projet'!$A$62,$AF$205^A56,IF(A56='Données projet'!$A$62,'Données projet'!$B$62,AI55+AH56-AQ55)))</f>
        <v>222.00000000000003</v>
      </c>
      <c r="AJ56" s="14">
        <f>AI56*VLOOKUP('Données projet'!$B$10,Paramètres!$A$1:$I$88,3,0)*VLOOKUP('Données projet'!$B$10,Paramètres!$A$1:$I$88,5,0)</f>
        <v>211.25520000000003</v>
      </c>
      <c r="AK56" s="14">
        <f t="shared" si="35"/>
        <v>52.209783272091016</v>
      </c>
      <c r="AL56" s="22">
        <f t="shared" si="4"/>
        <v>458.86817919889182</v>
      </c>
      <c r="AM56" s="62">
        <f t="shared" si="5"/>
        <v>752.20151253222514</v>
      </c>
      <c r="AN56" s="62">
        <f ca="1">AVERAGE(OFFSET($AM$3,0,0,'Données projet'!$E$10+1,1))-AVERAGE(OFFSET($H$3,0,0,'Données projet'!$E$10+1,1))</f>
        <v>509.66893546110458</v>
      </c>
      <c r="AO56" s="62">
        <f t="shared" si="36"/>
        <v>280.1645836141924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6.5071483745756149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6.5071483745756149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15.2</v>
      </c>
      <c r="BD56" s="13">
        <f>IF('Données projet'!$A$88&gt;35,BD55+BC56-BL55,IF(A56&lt;'Données projet'!$A$88,$BA$205^A56,IF(A56='Données projet'!$A$88,'Données projet'!$B$88,BD55+BC56-BL55)))</f>
        <v>407.60000000000014</v>
      </c>
      <c r="BE56" s="14">
        <f>BD56*VLOOKUP('Données projet'!$B$11,Paramètres!$A$1:$I$88,3,0)*VLOOKUP('Données projet'!$B$11,Paramètres!$A$1:$I$88,5,0)</f>
        <v>243.74480000000008</v>
      </c>
      <c r="BF56" s="14">
        <f t="shared" si="37"/>
        <v>59.244514980058433</v>
      </c>
      <c r="BG56" s="22">
        <f t="shared" si="7"/>
        <v>527.70639025693515</v>
      </c>
      <c r="BH56" s="62">
        <f t="shared" si="8"/>
        <v>821.03972359026852</v>
      </c>
      <c r="BI56" s="62">
        <f ca="1">AVERAGE(OFFSET($BH$3,0,0,'Données projet'!$E$11+1,1))-AVERAGE(OFFSET($H$3,0,0,'Données projet'!$E$11+1,1))</f>
        <v>311.82072478731385</v>
      </c>
      <c r="BJ56" s="62">
        <f t="shared" si="38"/>
        <v>356.36714671797864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20.207736212841304</v>
      </c>
      <c r="BQ56" s="23">
        <f>EXP(-LN(2)/25)*BQ55+(1-EXP(-LN(2)/25))/(LN(2)/25)*Calculateur!BL56*Calculateur!BN56*VLOOKUP('Données projet'!$B$11,Paramètres!$A$1:$I$88,3,0)*0.475*44/12</f>
        <v>31.165206564254401</v>
      </c>
      <c r="BR56" s="23">
        <f>EXP(-LN(2)/2)*BR55+(1-EXP(-LN(2)/2))/(LN(2)/2)*BL56*BO56*VLOOKUP('Données projet'!$B$11,Paramètres!$A$1:$I$88,3,0)*0.475*44/12</f>
        <v>2.6012235735698104</v>
      </c>
      <c r="BS56" s="24">
        <f t="shared" si="9"/>
        <v>53.974166350665513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</v>
      </c>
      <c r="BY56" s="13">
        <f>IF('Données projet'!$A$114&gt;35,BY55+BX56-CG55,IF(A56&lt;'Données projet'!$A$114,$BV$205^A56,IF(A56='Données projet'!$A$114,'Données projet'!$B$114,BY55+BX56-CG55)))</f>
        <v>349</v>
      </c>
      <c r="BZ56" s="14">
        <f>BY56*VLOOKUP('Données projet'!$B$12,Paramètres!$A$1:$I$88,3,0)*VLOOKUP('Données projet'!$B$12,Paramètres!$A$1:$I$88,5,0)</f>
        <v>163.33199999999999</v>
      </c>
      <c r="CA56" s="14">
        <f t="shared" si="39"/>
        <v>41.593153409603509</v>
      </c>
      <c r="CB56" s="22">
        <f t="shared" si="10"/>
        <v>356.91130885505936</v>
      </c>
      <c r="CC56" s="62">
        <f t="shared" si="11"/>
        <v>650.24464218839262</v>
      </c>
      <c r="CD56" s="62">
        <f ca="1">AVERAGE(OFFSET($CC$3,0,0,'Données projet'!$E$12+1,1))-AVERAGE(OFFSET($H$3,0,0,'Données projet'!$E$12+1,1))</f>
        <v>218.39403703215032</v>
      </c>
      <c r="CE56" s="62">
        <f t="shared" si="40"/>
        <v>254.08208375594052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25.330097408971159</v>
      </c>
      <c r="CL56" s="23">
        <f>EXP(-LN(2)/25)*CL55+(1-EXP(-LN(2)/25))/(LN(2)/25)*Calculateur!CG56*Calculateur!CI56*VLOOKUP('Données projet'!$B$12,Paramètres!$A$1:$I$88,3,0)*0.475*44/12</f>
        <v>14.418710810614613</v>
      </c>
      <c r="CM56" s="23">
        <f>EXP(-LN(2)/2)*CM55+(1-EXP(-LN(2)/2))/(LN(2)/2)*CG56*CJ56*VLOOKUP('Données projet'!$B$12,Paramètres!$A$1:$I$88,3,0)*0.475*44/12</f>
        <v>1.5645132661577368</v>
      </c>
      <c r="CN56" s="24">
        <f t="shared" si="12"/>
        <v>41.313321485743508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projet'!$B$9,Paramètres!$A$1:$I$88,3,0)*VLOOKUP('Données projet'!$B$9,Paramètres!$A$1:$I$88,5,0)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373.09674935534343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4.5493492070568413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4.5493492070568413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11</v>
      </c>
      <c r="AI57" s="14">
        <f>IF('Données projet'!$A$62&gt;35,AI56+AH57-AQ56,IF(A57&lt;'Données projet'!$A$62,$AF$205^A57,IF(A57='Données projet'!$A$62,'Données projet'!$B$62,AI56+AH57-AQ56)))</f>
        <v>233.00000000000003</v>
      </c>
      <c r="AJ57" s="14">
        <f>AI57*VLOOKUP('Données projet'!$B$10,Paramètres!$A$1:$I$88,3,0)*VLOOKUP('Données projet'!$B$10,Paramètres!$A$1:$I$88,5,0)</f>
        <v>221.72280000000003</v>
      </c>
      <c r="AK57" s="14">
        <f t="shared" si="35"/>
        <v>54.489157628530627</v>
      </c>
      <c r="AL57" s="22">
        <f t="shared" si="4"/>
        <v>481.06915953635763</v>
      </c>
      <c r="AM57" s="62">
        <f t="shared" si="5"/>
        <v>774.40249286969095</v>
      </c>
      <c r="AN57" s="62">
        <f ca="1">AVERAGE(OFFSET($AM$3,0,0,'Données projet'!$E$10+1,1))-AVERAGE(OFFSET($H$3,0,0,'Données projet'!$E$10+1,1))</f>
        <v>509.66893546110458</v>
      </c>
      <c r="AO57" s="62">
        <f t="shared" si="36"/>
        <v>280.1645836141924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6.3795471639187928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6.3795471639187928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15.2</v>
      </c>
      <c r="BD57" s="13">
        <f>IF('Données projet'!$A$88&gt;35,BD56+BC57-BL56,IF(A57&lt;'Données projet'!$A$88,$BA$205^A57,IF(A57='Données projet'!$A$88,'Données projet'!$B$88,BD56+BC57-BL56)))</f>
        <v>422.80000000000013</v>
      </c>
      <c r="BE57" s="14">
        <f>BD57*VLOOKUP('Données projet'!$B$11,Paramètres!$A$1:$I$88,3,0)*VLOOKUP('Données projet'!$B$11,Paramètres!$A$1:$I$88,5,0)</f>
        <v>252.83440000000007</v>
      </c>
      <c r="BF57" s="14">
        <f t="shared" si="37"/>
        <v>61.192486141379483</v>
      </c>
      <c r="BG57" s="22">
        <f t="shared" si="7"/>
        <v>546.93016002956938</v>
      </c>
      <c r="BH57" s="62">
        <f t="shared" si="8"/>
        <v>840.26349336290264</v>
      </c>
      <c r="BI57" s="62">
        <f ca="1">AVERAGE(OFFSET($BH$3,0,0,'Données projet'!$E$11+1,1))-AVERAGE(OFFSET($H$3,0,0,'Données projet'!$E$11+1,1))</f>
        <v>311.82072478731385</v>
      </c>
      <c r="BJ57" s="62">
        <f t="shared" si="38"/>
        <v>356.36714671797864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19.811474831209534</v>
      </c>
      <c r="BQ57" s="23">
        <f>EXP(-LN(2)/25)*BQ56+(1-EXP(-LN(2)/25))/(LN(2)/25)*Calculateur!BL57*Calculateur!BN57*VLOOKUP('Données projet'!$B$11,Paramètres!$A$1:$I$88,3,0)*0.475*44/12</f>
        <v>30.312992351847882</v>
      </c>
      <c r="BR57" s="23">
        <f>EXP(-LN(2)/2)*BR56+(1-EXP(-LN(2)/2))/(LN(2)/2)*BL57*BO57*VLOOKUP('Données projet'!$B$11,Paramètres!$A$1:$I$88,3,0)*0.475*44/12</f>
        <v>1.8393428282535171</v>
      </c>
      <c r="BS57" s="24">
        <f t="shared" si="9"/>
        <v>51.963810011310933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</v>
      </c>
      <c r="BY57" s="13">
        <f>IF('Données projet'!$A$114&gt;35,BY56+BX57-CG56,IF(A57&lt;'Données projet'!$A$114,$BV$205^A57,IF(A57='Données projet'!$A$114,'Données projet'!$B$114,BY56+BX57-CG56)))</f>
        <v>362</v>
      </c>
      <c r="BZ57" s="14">
        <f>BY57*VLOOKUP('Données projet'!$B$12,Paramètres!$A$1:$I$88,3,0)*VLOOKUP('Données projet'!$B$12,Paramètres!$A$1:$I$88,5,0)</f>
        <v>169.416</v>
      </c>
      <c r="CA57" s="14">
        <f t="shared" si="39"/>
        <v>42.959200828261054</v>
      </c>
      <c r="CB57" s="22">
        <f t="shared" si="10"/>
        <v>369.88680810922136</v>
      </c>
      <c r="CC57" s="62">
        <f t="shared" si="11"/>
        <v>663.22014144255468</v>
      </c>
      <c r="CD57" s="62">
        <f ca="1">AVERAGE(OFFSET($CC$3,0,0,'Données projet'!$E$12+1,1))-AVERAGE(OFFSET($H$3,0,0,'Données projet'!$E$12+1,1))</f>
        <v>218.39403703215032</v>
      </c>
      <c r="CE57" s="62">
        <f t="shared" si="40"/>
        <v>254.08208375594052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24.83338964861511</v>
      </c>
      <c r="CL57" s="23">
        <f>EXP(-LN(2)/25)*CL56+(1-EXP(-LN(2)/25))/(LN(2)/25)*Calculateur!CG57*Calculateur!CI57*VLOOKUP('Données projet'!$B$12,Paramètres!$A$1:$I$88,3,0)*0.475*44/12</f>
        <v>14.024430405251309</v>
      </c>
      <c r="CM57" s="23">
        <f>EXP(-LN(2)/2)*CM56+(1-EXP(-LN(2)/2))/(LN(2)/2)*CG57*CJ57*VLOOKUP('Données projet'!$B$12,Paramètres!$A$1:$I$88,3,0)*0.475*44/12</f>
        <v>1.1062779397564497</v>
      </c>
      <c r="CN57" s="24">
        <f t="shared" si="12"/>
        <v>39.964097993622872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projet'!$B$9,Paramètres!$A$1:$I$88,3,0)*VLOOKUP('Données projet'!$B$9,Paramètres!$A$1:$I$88,5,0)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373.09674935534343</v>
      </c>
      <c r="T58" s="62">
        <f t="shared" si="34"/>
        <v>231.36959598460686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projet'!$B$9,Paramètres!$A$1:$I$88,7,0))</f>
        <v>8.6000000000000007E-2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6.2665539004544337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6.2665539004544337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244</v>
      </c>
      <c r="AG58" s="13">
        <f>VLOOKUP(A58,'Données projet'!$A$61:$I$81,9,0)</f>
        <v>11</v>
      </c>
      <c r="AH58" s="13">
        <f t="array" ref="AH58">INDEX(AG:AG,MIN(IF(ISNUMBER(AG58:AG254),ROW(AG58:AG254),"")))</f>
        <v>11</v>
      </c>
      <c r="AI58" s="14">
        <f>IF('Données projet'!$A$62&gt;35,AI57+AH58-AQ57,IF(A58&lt;'Données projet'!$A$62,$AF$205^A58,IF(A58='Données projet'!$A$62,'Données projet'!$B$62,AI57+AH58-AQ57)))</f>
        <v>244.00000000000003</v>
      </c>
      <c r="AJ58" s="14">
        <f>AI58*VLOOKUP('Données projet'!$B$10,Paramètres!$A$1:$I$88,3,0)*VLOOKUP('Données projet'!$B$10,Paramètres!$A$1:$I$88,5,0)</f>
        <v>232.19040000000001</v>
      </c>
      <c r="AK58" s="14">
        <f t="shared" si="35"/>
        <v>56.756035639094605</v>
      </c>
      <c r="AL58" s="22">
        <f t="shared" si="4"/>
        <v>503.24837540475636</v>
      </c>
      <c r="AM58" s="62">
        <f t="shared" si="5"/>
        <v>796.58170873808967</v>
      </c>
      <c r="AN58" s="62">
        <f ca="1">AVERAGE(OFFSET($AM$3,0,0,'Données projet'!$E$10+1,1))-AVERAGE(OFFSET($H$3,0,0,'Données projet'!$E$10+1,1))</f>
        <v>509.66893546110458</v>
      </c>
      <c r="AO58" s="62">
        <f t="shared" si="36"/>
        <v>280.1645836141924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projet'!$B$10,Paramètres!$A$1:$I$88,7,0))</f>
        <v>8.6000000000000007E-2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8.7875813316717384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8.7875813316717384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438</v>
      </c>
      <c r="BB58" s="13">
        <f>VLOOKUP(A58,'Données projet'!$A$87:$I$107,9,0)</f>
        <v>15.2</v>
      </c>
      <c r="BC58" s="13">
        <f t="array" ref="BC58">INDEX(BB:BB,MIN(IF(ISNUMBER(BB58:BB254),ROW(BB58:BB254),"")))</f>
        <v>15.2</v>
      </c>
      <c r="BD58" s="13">
        <f>IF('Données projet'!$A$88&gt;35,BD57+BC58-BL57,IF(A58&lt;'Données projet'!$A$88,$BA$205^A58,IF(A58='Données projet'!$A$88,'Données projet'!$B$88,BD57+BC58-BL57)))</f>
        <v>438.00000000000011</v>
      </c>
      <c r="BE58" s="14">
        <f>BD58*VLOOKUP('Données projet'!$B$11,Paramètres!$A$1:$I$88,3,0)*VLOOKUP('Données projet'!$B$11,Paramètres!$A$1:$I$88,5,0)</f>
        <v>261.92400000000009</v>
      </c>
      <c r="BF58" s="14">
        <f t="shared" si="37"/>
        <v>63.132320859995644</v>
      </c>
      <c r="BG58" s="22">
        <f t="shared" si="7"/>
        <v>566.13975883115916</v>
      </c>
      <c r="BH58" s="62">
        <f t="shared" si="8"/>
        <v>859.47309216449253</v>
      </c>
      <c r="BI58" s="62">
        <f ca="1">AVERAGE(OFFSET($BH$3,0,0,'Données projet'!$E$11+1,1))-AVERAGE(OFFSET($H$3,0,0,'Données projet'!$E$11+1,1))</f>
        <v>311.82072478731385</v>
      </c>
      <c r="BJ58" s="62">
        <f t="shared" si="38"/>
        <v>356.36714671797864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38</v>
      </c>
      <c r="BM58" s="17">
        <f>IF(ISNA(VLOOKUP(A58,'Données projet'!$A$87:$I$107,5,0)),0%,VLOOKUP(A58,'Données projet'!$A$87:$I$107,5,0)*VLOOKUP('Données projet'!$B$11,Paramètres!$A$1:$I$88,7,0))</f>
        <v>0.27</v>
      </c>
      <c r="BN58" s="17">
        <f>IF(ISNA(VLOOKUP(A58,'Données projet'!$A$87:$I$107,6,0)),0%,VLOOKUP(A58,'Données projet'!$A$87:$I$107,6,0)*VLOOKUP('Données projet'!$B$11,Paramètres!$A$1:$I$88,7,0))</f>
        <v>0.10080000000000001</v>
      </c>
      <c r="BO58" s="17">
        <f>IF(ISNA(VLOOKUP(A58,'Données projet'!$A$87:$I$107,7,0)),0%,VLOOKUP(A58,'Données projet'!$A$87:$I$107,7,0))</f>
        <v>0.17600000000000002</v>
      </c>
      <c r="BP58" s="23">
        <f>EXP(-LN(2)/35)*BP57+(1-EXP(-LN(2)/35))/(LN(2)/35)*BL58*BM58*VLOOKUP('Données projet'!$B$11,Paramètres!$A$1:$I$88,3,0)*0.475*44/12</f>
        <v>27.562093578636176</v>
      </c>
      <c r="BQ58" s="23">
        <f>EXP(-LN(2)/25)*BQ57+(1-EXP(-LN(2)/25))/(LN(2)/25)*Calculateur!BL58*Calculateur!BN58*VLOOKUP('Données projet'!$B$11,Paramètres!$A$1:$I$88,3,0)*0.475*44/12</f>
        <v>32.510718801250455</v>
      </c>
      <c r="BR58" s="23">
        <f>EXP(-LN(2)/2)*BR57+(1-EXP(-LN(2)/2))/(LN(2)/2)*BL58*BO58*VLOOKUP('Données projet'!$B$11,Paramètres!$A$1:$I$88,3,0)*0.475*44/12</f>
        <v>5.8288888110873938</v>
      </c>
      <c r="BS58" s="24">
        <f t="shared" si="9"/>
        <v>65.901701190974023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13</v>
      </c>
      <c r="BY58" s="13">
        <f>IF('Données projet'!$A$114&gt;35,BY57+BX58-CG57,IF(A58&lt;'Données projet'!$A$114,$BV$205^A58,IF(A58='Données projet'!$A$114,'Données projet'!$B$114,BY57+BX58-CG57)))</f>
        <v>375</v>
      </c>
      <c r="BZ58" s="14">
        <f>BY58*VLOOKUP('Données projet'!$B$12,Paramètres!$A$1:$I$88,3,0)*VLOOKUP('Données projet'!$B$12,Paramètres!$A$1:$I$88,5,0)</f>
        <v>175.5</v>
      </c>
      <c r="CA58" s="14">
        <f t="shared" si="39"/>
        <v>44.319548641773906</v>
      </c>
      <c r="CB58" s="22">
        <f t="shared" si="10"/>
        <v>382.85238055108954</v>
      </c>
      <c r="CC58" s="62">
        <f t="shared" si="11"/>
        <v>676.18571388442285</v>
      </c>
      <c r="CD58" s="62">
        <f ca="1">AVERAGE(OFFSET($CC$3,0,0,'Données projet'!$E$12+1,1))-AVERAGE(OFFSET($H$3,0,0,'Données projet'!$E$12+1,1))</f>
        <v>218.39403703215032</v>
      </c>
      <c r="CE58" s="62">
        <f t="shared" si="40"/>
        <v>254.08208375594052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24.346422024477825</v>
      </c>
      <c r="CL58" s="23">
        <f>EXP(-LN(2)/25)*CL57+(1-EXP(-LN(2)/25))/(LN(2)/25)*Calculateur!CG58*Calculateur!CI58*VLOOKUP('Données projet'!$B$12,Paramètres!$A$1:$I$88,3,0)*0.475*44/12</f>
        <v>13.64093161830697</v>
      </c>
      <c r="CM58" s="23">
        <f>EXP(-LN(2)/2)*CM57+(1-EXP(-LN(2)/2))/(LN(2)/2)*CG58*CJ58*VLOOKUP('Données projet'!$B$12,Paramètres!$A$1:$I$88,3,0)*0.475*44/12</f>
        <v>0.7822566330788685</v>
      </c>
      <c r="CN58" s="24">
        <f t="shared" si="12"/>
        <v>38.769610275863663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projet'!$B$9,Paramètres!$A$1:$I$88,3,0)*VLOOKUP('Données projet'!$B$9,Paramètres!$A$1:$I$88,5,0)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373.09674935534343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6.1436706006869883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6.1436706006869883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10.8</v>
      </c>
      <c r="AI59" s="14">
        <f>IF('Données projet'!$A$62&gt;35,AI58+AH59-AQ58,IF(A59&lt;'Données projet'!$A$62,$AF$205^A59,IF(A59='Données projet'!$A$62,'Données projet'!$B$62,AI58+AH59-AQ58)))</f>
        <v>226.80000000000004</v>
      </c>
      <c r="AJ59" s="14">
        <f>AI59*VLOOKUP('Données projet'!$B$10,Paramètres!$A$1:$I$88,3,0)*VLOOKUP('Données projet'!$B$10,Paramètres!$A$1:$I$88,5,0)</f>
        <v>215.82288000000003</v>
      </c>
      <c r="AK59" s="14">
        <f t="shared" si="35"/>
        <v>53.205998928315829</v>
      </c>
      <c r="AL59" s="22">
        <f t="shared" si="4"/>
        <v>468.55863080015007</v>
      </c>
      <c r="AM59" s="62">
        <f t="shared" si="5"/>
        <v>761.89196413348338</v>
      </c>
      <c r="AN59" s="62">
        <f ca="1">AVERAGE(OFFSET($AM$3,0,0,'Données projet'!$E$10+1,1))-AVERAGE(OFFSET($H$3,0,0,'Données projet'!$E$10+1,1))</f>
        <v>509.66893546110458</v>
      </c>
      <c r="AO59" s="62">
        <f t="shared" si="36"/>
        <v>280.1645836141924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8.6152622216530226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8.6152622216530226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13.6</v>
      </c>
      <c r="BD59" s="13">
        <f>IF('Données projet'!$A$88&gt;35,BD58+BC59-BL58,IF(A59&lt;'Données projet'!$A$88,$BA$205^A59,IF(A59='Données projet'!$A$88,'Données projet'!$B$88,BD58+BC59-BL58)))</f>
        <v>413.60000000000014</v>
      </c>
      <c r="BE59" s="14">
        <f>BD59*VLOOKUP('Données projet'!$B$11,Paramètres!$A$1:$I$88,3,0)*VLOOKUP('Données projet'!$B$11,Paramètres!$A$1:$I$88,5,0)</f>
        <v>247.33280000000008</v>
      </c>
      <c r="BF59" s="14">
        <f t="shared" si="37"/>
        <v>60.014444064381088</v>
      </c>
      <c r="BG59" s="22">
        <f t="shared" si="7"/>
        <v>535.29645007879719</v>
      </c>
      <c r="BH59" s="62">
        <f t="shared" si="8"/>
        <v>828.62978341213056</v>
      </c>
      <c r="BI59" s="62">
        <f ca="1">AVERAGE(OFFSET($BH$3,0,0,'Données projet'!$E$11+1,1))-AVERAGE(OFFSET($H$3,0,0,'Données projet'!$E$11+1,1))</f>
        <v>311.82072478731385</v>
      </c>
      <c r="BJ59" s="62">
        <f t="shared" si="38"/>
        <v>356.36714671797864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27.021617734776235</v>
      </c>
      <c r="BQ59" s="23">
        <f>EXP(-LN(2)/25)*BQ58+(1-EXP(-LN(2)/25))/(LN(2)/25)*Calculateur!BL59*Calculateur!BN59*VLOOKUP('Données projet'!$B$11,Paramètres!$A$1:$I$88,3,0)*0.475*44/12</f>
        <v>31.621711485965864</v>
      </c>
      <c r="BR59" s="23">
        <f>EXP(-LN(2)/2)*BR58+(1-EXP(-LN(2)/2))/(LN(2)/2)*BL59*BO59*VLOOKUP('Données projet'!$B$11,Paramètres!$A$1:$I$88,3,0)*0.475*44/12</f>
        <v>4.121646805102289</v>
      </c>
      <c r="BS59" s="24">
        <f t="shared" si="9"/>
        <v>62.764976025844391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13</v>
      </c>
      <c r="BY59" s="13">
        <f>IF('Données projet'!$A$114&gt;35,BY58+BX59-CG58,IF(A59&lt;'Données projet'!$A$114,$BV$205^A59,IF(A59='Données projet'!$A$114,'Données projet'!$B$114,BY58+BX59-CG58)))</f>
        <v>388</v>
      </c>
      <c r="BZ59" s="14">
        <f>BY59*VLOOKUP('Données projet'!$B$12,Paramètres!$A$1:$I$88,3,0)*VLOOKUP('Données projet'!$B$12,Paramètres!$A$1:$I$88,5,0)</f>
        <v>181.584</v>
      </c>
      <c r="CA59" s="14">
        <f t="shared" si="39"/>
        <v>45.674417080701005</v>
      </c>
      <c r="CB59" s="22">
        <f t="shared" si="10"/>
        <v>395.80840974888753</v>
      </c>
      <c r="CC59" s="62">
        <f t="shared" si="11"/>
        <v>689.14174308222084</v>
      </c>
      <c r="CD59" s="62">
        <f ca="1">AVERAGE(OFFSET($CC$3,0,0,'Données projet'!$E$12+1,1))-AVERAGE(OFFSET($H$3,0,0,'Données projet'!$E$12+1,1))</f>
        <v>218.39403703215032</v>
      </c>
      <c r="CE59" s="62">
        <f t="shared" si="40"/>
        <v>254.08208375594052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23.869003538428949</v>
      </c>
      <c r="CL59" s="23">
        <f>EXP(-LN(2)/25)*CL58+(1-EXP(-LN(2)/25))/(LN(2)/25)*Calculateur!CG59*Calculateur!CI59*VLOOKUP('Données projet'!$B$12,Paramètres!$A$1:$I$88,3,0)*0.475*44/12</f>
        <v>13.26791962585895</v>
      </c>
      <c r="CM59" s="23">
        <f>EXP(-LN(2)/2)*CM58+(1-EXP(-LN(2)/2))/(LN(2)/2)*CG59*CJ59*VLOOKUP('Données projet'!$B$12,Paramètres!$A$1:$I$88,3,0)*0.475*44/12</f>
        <v>0.55313896987822486</v>
      </c>
      <c r="CN59" s="24">
        <f t="shared" si="12"/>
        <v>37.690062134166126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projet'!$B$9,Paramètres!$A$1:$I$88,3,0)*VLOOKUP('Données projet'!$B$9,Paramètres!$A$1:$I$88,5,0)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373.09674935534343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6.0231969674765704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6.0231969674765704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10.8</v>
      </c>
      <c r="AI60" s="14">
        <f>IF('Données projet'!$A$62&gt;35,AI59+AH60-AQ59,IF(A60&lt;'Données projet'!$A$62,$AF$205^A60,IF(A60='Données projet'!$A$62,'Données projet'!$B$62,AI59+AH60-AQ59)))</f>
        <v>237.60000000000005</v>
      </c>
      <c r="AJ60" s="14">
        <f>AI60*VLOOKUP('Données projet'!$B$10,Paramètres!$A$1:$I$88,3,0)*VLOOKUP('Données projet'!$B$10,Paramètres!$A$1:$I$88,5,0)</f>
        <v>226.10016000000007</v>
      </c>
      <c r="AK60" s="14">
        <f t="shared" si="35"/>
        <v>55.438607516274921</v>
      </c>
      <c r="AL60" s="22">
        <f t="shared" si="4"/>
        <v>490.34668675751232</v>
      </c>
      <c r="AM60" s="62">
        <f t="shared" si="5"/>
        <v>783.68002009084557</v>
      </c>
      <c r="AN60" s="62">
        <f ca="1">AVERAGE(OFFSET($AM$3,0,0,'Données projet'!$E$10+1,1))-AVERAGE(OFFSET($H$3,0,0,'Données projet'!$E$10+1,1))</f>
        <v>509.66893546110458</v>
      </c>
      <c r="AO60" s="62">
        <f t="shared" si="36"/>
        <v>280.1645836141924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8.4463221842774949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8.4463221842774949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13.6</v>
      </c>
      <c r="BD60" s="13">
        <f>IF('Données projet'!$A$88&gt;35,BD59+BC60-BL59,IF(A60&lt;'Données projet'!$A$88,$BA$205^A60,IF(A60='Données projet'!$A$88,'Données projet'!$B$88,BD59+BC60-BL59)))</f>
        <v>427.20000000000016</v>
      </c>
      <c r="BE60" s="14">
        <f>BD60*VLOOKUP('Données projet'!$B$11,Paramètres!$A$1:$I$88,3,0)*VLOOKUP('Données projet'!$B$11,Paramètres!$A$1:$I$88,5,0)</f>
        <v>255.46560000000011</v>
      </c>
      <c r="BF60" s="14">
        <f t="shared" si="37"/>
        <v>61.754839632117942</v>
      </c>
      <c r="BG60" s="22">
        <f t="shared" si="7"/>
        <v>552.49226569260554</v>
      </c>
      <c r="BH60" s="62">
        <f t="shared" si="8"/>
        <v>845.8255990259388</v>
      </c>
      <c r="BI60" s="62">
        <f ca="1">AVERAGE(OFFSET($BH$3,0,0,'Données projet'!$E$11+1,1))-AVERAGE(OFFSET($H$3,0,0,'Données projet'!$E$11+1,1))</f>
        <v>311.82072478731385</v>
      </c>
      <c r="BJ60" s="62">
        <f t="shared" si="38"/>
        <v>356.36714671797864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26.491740292556674</v>
      </c>
      <c r="BQ60" s="23">
        <f>EXP(-LN(2)/25)*BQ59+(1-EXP(-LN(2)/25))/(LN(2)/25)*Calculateur!BL60*Calculateur!BN60*VLOOKUP('Données projet'!$B$11,Paramètres!$A$1:$I$88,3,0)*0.475*44/12</f>
        <v>30.757014122468593</v>
      </c>
      <c r="BR60" s="23">
        <f>EXP(-LN(2)/2)*BR59+(1-EXP(-LN(2)/2))/(LN(2)/2)*BL60*BO60*VLOOKUP('Données projet'!$B$11,Paramètres!$A$1:$I$88,3,0)*0.475*44/12</f>
        <v>2.9144444055436973</v>
      </c>
      <c r="BS60" s="24">
        <f t="shared" si="9"/>
        <v>60.163198820568965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13</v>
      </c>
      <c r="BY60" s="13">
        <f>IF('Données projet'!$A$114&gt;35,BY59+BX60-CG59,IF(A60&lt;'Données projet'!$A$114,$BV$205^A60,IF(A60='Données projet'!$A$114,'Données projet'!$B$114,BY59+BX60-CG59)))</f>
        <v>401</v>
      </c>
      <c r="BZ60" s="14">
        <f>BY60*VLOOKUP('Données projet'!$B$12,Paramètres!$A$1:$I$88,3,0)*VLOOKUP('Données projet'!$B$12,Paramètres!$A$1:$I$88,5,0)</f>
        <v>187.66799999999998</v>
      </c>
      <c r="CA60" s="14">
        <f t="shared" si="39"/>
        <v>47.024010780523128</v>
      </c>
      <c r="CB60" s="22">
        <f t="shared" si="10"/>
        <v>408.75525210941106</v>
      </c>
      <c r="CC60" s="62">
        <f t="shared" si="11"/>
        <v>702.08858544274437</v>
      </c>
      <c r="CD60" s="62">
        <f ca="1">AVERAGE(OFFSET($CC$3,0,0,'Données projet'!$E$12+1,1))-AVERAGE(OFFSET($H$3,0,0,'Données projet'!$E$12+1,1))</f>
        <v>218.39403703215032</v>
      </c>
      <c r="CE60" s="62">
        <f t="shared" si="40"/>
        <v>254.08208375594052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23.400946937694968</v>
      </c>
      <c r="CL60" s="23">
        <f>EXP(-LN(2)/25)*CL59+(1-EXP(-LN(2)/25))/(LN(2)/25)*Calculateur!CG60*Calculateur!CI60*VLOOKUP('Données projet'!$B$12,Paramètres!$A$1:$I$88,3,0)*0.475*44/12</f>
        <v>12.905107665960267</v>
      </c>
      <c r="CM60" s="23">
        <f>EXP(-LN(2)/2)*CM59+(1-EXP(-LN(2)/2))/(LN(2)/2)*CG60*CJ60*VLOOKUP('Données projet'!$B$12,Paramètres!$A$1:$I$88,3,0)*0.475*44/12</f>
        <v>0.39112831653943425</v>
      </c>
      <c r="CN60" s="24">
        <f t="shared" si="12"/>
        <v>36.69718292019467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projet'!$B$9,Paramètres!$A$1:$I$88,3,0)*VLOOKUP('Données projet'!$B$9,Paramètres!$A$1:$I$88,5,0)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373.09674935534343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5.9050857487317483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5.9050857487317483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10.8</v>
      </c>
      <c r="AI61" s="14">
        <f>IF('Données projet'!$A$62&gt;35,AI60+AH61-AQ60,IF(A61&lt;'Données projet'!$A$62,$AF$205^A61,IF(A61='Données projet'!$A$62,'Données projet'!$B$62,AI60+AH61-AQ60)))</f>
        <v>248.40000000000006</v>
      </c>
      <c r="AJ61" s="14">
        <f>AI61*VLOOKUP('Données projet'!$B$10,Paramètres!$A$1:$I$88,3,0)*VLOOKUP('Données projet'!$B$10,Paramètres!$A$1:$I$88,5,0)</f>
        <v>236.37744000000006</v>
      </c>
      <c r="AK61" s="14">
        <f t="shared" si="35"/>
        <v>57.659430484223826</v>
      </c>
      <c r="AL61" s="22">
        <f t="shared" si="4"/>
        <v>512.1142160933565</v>
      </c>
      <c r="AM61" s="62">
        <f t="shared" si="5"/>
        <v>805.44754942668987</v>
      </c>
      <c r="AN61" s="62">
        <f ca="1">AVERAGE(OFFSET($AM$3,0,0,'Données projet'!$E$10+1,1))-AVERAGE(OFFSET($H$3,0,0,'Données projet'!$E$10+1,1))</f>
        <v>509.66893546110458</v>
      </c>
      <c r="AO61" s="62">
        <f t="shared" si="36"/>
        <v>280.1645836141924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8.2806949579916527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8.2806949579916527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13.6</v>
      </c>
      <c r="BD61" s="13">
        <f>IF('Données projet'!$A$88&gt;35,BD60+BC61-BL60,IF(A61&lt;'Données projet'!$A$88,$BA$205^A61,IF(A61='Données projet'!$A$88,'Données projet'!$B$88,BD60+BC61-BL60)))</f>
        <v>440.80000000000018</v>
      </c>
      <c r="BE61" s="14">
        <f>BD61*VLOOKUP('Données projet'!$B$11,Paramètres!$A$1:$I$88,3,0)*VLOOKUP('Données projet'!$B$11,Paramètres!$A$1:$I$88,5,0)</f>
        <v>263.59840000000014</v>
      </c>
      <c r="BF61" s="14">
        <f t="shared" si="37"/>
        <v>63.488796744229134</v>
      </c>
      <c r="BG61" s="22">
        <f t="shared" si="7"/>
        <v>569.67686766286602</v>
      </c>
      <c r="BH61" s="62">
        <f t="shared" si="8"/>
        <v>863.01020099619927</v>
      </c>
      <c r="BI61" s="62">
        <f ca="1">AVERAGE(OFFSET($BH$3,0,0,'Données projet'!$E$11+1,1))-AVERAGE(OFFSET($H$3,0,0,'Données projet'!$E$11+1,1))</f>
        <v>311.82072478731385</v>
      </c>
      <c r="BJ61" s="62">
        <f t="shared" si="38"/>
        <v>356.36714671797864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25.972253423785709</v>
      </c>
      <c r="BQ61" s="23">
        <f>EXP(-LN(2)/25)*BQ60+(1-EXP(-LN(2)/25))/(LN(2)/25)*Calculateur!BL61*Calculateur!BN61*VLOOKUP('Données projet'!$B$11,Paramètres!$A$1:$I$88,3,0)*0.475*44/12</f>
        <v>29.915961953848612</v>
      </c>
      <c r="BR61" s="23">
        <f>EXP(-LN(2)/2)*BR60+(1-EXP(-LN(2)/2))/(LN(2)/2)*BL61*BO61*VLOOKUP('Données projet'!$B$11,Paramètres!$A$1:$I$88,3,0)*0.475*44/12</f>
        <v>2.0608234025511449</v>
      </c>
      <c r="BS61" s="24">
        <f t="shared" si="9"/>
        <v>57.949038780185468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13</v>
      </c>
      <c r="BY61" s="13">
        <f>IF('Données projet'!$A$114&gt;35,BY60+BX61-CG60,IF(A61&lt;'Données projet'!$A$114,$BV$205^A61,IF(A61='Données projet'!$A$114,'Données projet'!$B$114,BY60+BX61-CG60)))</f>
        <v>414</v>
      </c>
      <c r="BZ61" s="14">
        <f>BY61*VLOOKUP('Données projet'!$B$12,Paramètres!$A$1:$I$88,3,0)*VLOOKUP('Données projet'!$B$12,Paramètres!$A$1:$I$88,5,0)</f>
        <v>193.75200000000001</v>
      </c>
      <c r="CA61" s="14">
        <f t="shared" si="39"/>
        <v>48.368520355376113</v>
      </c>
      <c r="CB61" s="22">
        <f t="shared" si="10"/>
        <v>421.69323961894673</v>
      </c>
      <c r="CC61" s="62">
        <f t="shared" si="11"/>
        <v>715.02657295228005</v>
      </c>
      <c r="CD61" s="62">
        <f ca="1">AVERAGE(OFFSET($CC$3,0,0,'Données projet'!$E$12+1,1))-AVERAGE(OFFSET($H$3,0,0,'Données projet'!$E$12+1,1))</f>
        <v>218.39403703215032</v>
      </c>
      <c r="CE61" s="62">
        <f t="shared" si="40"/>
        <v>254.08208375594052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22.942068641415045</v>
      </c>
      <c r="CL61" s="23">
        <f>EXP(-LN(2)/25)*CL60+(1-EXP(-LN(2)/25))/(LN(2)/25)*Calculateur!CG61*Calculateur!CI61*VLOOKUP('Données projet'!$B$12,Paramètres!$A$1:$I$88,3,0)*0.475*44/12</f>
        <v>12.552216818184467</v>
      </c>
      <c r="CM61" s="23">
        <f>EXP(-LN(2)/2)*CM60+(1-EXP(-LN(2)/2))/(LN(2)/2)*CG61*CJ61*VLOOKUP('Données projet'!$B$12,Paramètres!$A$1:$I$88,3,0)*0.475*44/12</f>
        <v>0.27656948493911243</v>
      </c>
      <c r="CN61" s="24">
        <f t="shared" si="12"/>
        <v>35.77085494453862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projet'!$B$9,Paramètres!$A$1:$I$88,3,0)*VLOOKUP('Données projet'!$B$9,Paramètres!$A$1:$I$88,5,0)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373.09674935534343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5.7892906189457829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5.7892906189457829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10.8</v>
      </c>
      <c r="AI62" s="14">
        <f>IF('Données projet'!$A$62&gt;35,AI61+AH62-AQ61,IF(A62&lt;'Données projet'!$A$62,$AF$205^A62,IF(A62='Données projet'!$A$62,'Données projet'!$B$62,AI61+AH62-AQ61)))</f>
        <v>259.20000000000005</v>
      </c>
      <c r="AJ62" s="14">
        <f>AI62*VLOOKUP('Données projet'!$B$10,Paramètres!$A$1:$I$88,3,0)*VLOOKUP('Données projet'!$B$10,Paramètres!$A$1:$I$88,5,0)</f>
        <v>246.65472000000005</v>
      </c>
      <c r="AK62" s="14">
        <f t="shared" si="35"/>
        <v>59.869038818016229</v>
      </c>
      <c r="AL62" s="22">
        <f t="shared" si="4"/>
        <v>533.86221327471173</v>
      </c>
      <c r="AM62" s="62">
        <f t="shared" si="5"/>
        <v>827.19554660804511</v>
      </c>
      <c r="AN62" s="62">
        <f ca="1">AVERAGE(OFFSET($AM$3,0,0,'Données projet'!$E$10+1,1))-AVERAGE(OFFSET($H$3,0,0,'Données projet'!$E$10+1,1))</f>
        <v>509.66893546110458</v>
      </c>
      <c r="AO62" s="62">
        <f t="shared" si="36"/>
        <v>280.1645836141924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8.1183155805906431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8.1183155805906431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13.6</v>
      </c>
      <c r="BD62" s="13">
        <f>IF('Données projet'!$A$88&gt;35,BD61+BC62-BL61,IF(A62&lt;'Données projet'!$A$88,$BA$205^A62,IF(A62='Données projet'!$A$88,'Données projet'!$B$88,BD61+BC62-BL61)))</f>
        <v>454.4000000000002</v>
      </c>
      <c r="BE62" s="14">
        <f>BD62*VLOOKUP('Données projet'!$B$11,Paramètres!$A$1:$I$88,3,0)*VLOOKUP('Données projet'!$B$11,Paramètres!$A$1:$I$88,5,0)</f>
        <v>271.73120000000017</v>
      </c>
      <c r="BF62" s="14">
        <f t="shared" si="37"/>
        <v>65.216536842235598</v>
      </c>
      <c r="BG62" s="22">
        <f t="shared" si="7"/>
        <v>586.85064166689392</v>
      </c>
      <c r="BH62" s="62">
        <f t="shared" si="8"/>
        <v>880.18397500022729</v>
      </c>
      <c r="BI62" s="62">
        <f ca="1">AVERAGE(OFFSET($BH$3,0,0,'Données projet'!$E$11+1,1))-AVERAGE(OFFSET($H$3,0,0,'Données projet'!$E$11+1,1))</f>
        <v>311.82072478731385</v>
      </c>
      <c r="BJ62" s="62">
        <f t="shared" si="38"/>
        <v>356.36714671797864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25.462953375655641</v>
      </c>
      <c r="BQ62" s="23">
        <f>EXP(-LN(2)/25)*BQ61+(1-EXP(-LN(2)/25))/(LN(2)/25)*Calculateur!BL62*Calculateur!BN62*VLOOKUP('Données projet'!$B$11,Paramètres!$A$1:$I$88,3,0)*0.475*44/12</f>
        <v>29.097908401008556</v>
      </c>
      <c r="BR62" s="23">
        <f>EXP(-LN(2)/2)*BR61+(1-EXP(-LN(2)/2))/(LN(2)/2)*BL62*BO62*VLOOKUP('Données projet'!$B$11,Paramètres!$A$1:$I$88,3,0)*0.475*44/12</f>
        <v>1.4572222027718489</v>
      </c>
      <c r="BS62" s="24">
        <f t="shared" si="9"/>
        <v>56.018083979436042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13</v>
      </c>
      <c r="BY62" s="13">
        <f>IF('Données projet'!$A$114&gt;35,BY61+BX62-CG61,IF(A62&lt;'Données projet'!$A$114,$BV$205^A62,IF(A62='Données projet'!$A$114,'Données projet'!$B$114,BY61+BX62-CG61)))</f>
        <v>427</v>
      </c>
      <c r="BZ62" s="14">
        <f>BY62*VLOOKUP('Données projet'!$B$12,Paramètres!$A$1:$I$88,3,0)*VLOOKUP('Données projet'!$B$12,Paramètres!$A$1:$I$88,5,0)</f>
        <v>199.83600000000001</v>
      </c>
      <c r="CA62" s="14">
        <f t="shared" si="39"/>
        <v>49.708123768564604</v>
      </c>
      <c r="CB62" s="22">
        <f t="shared" si="10"/>
        <v>434.62268223024995</v>
      </c>
      <c r="CC62" s="62">
        <f t="shared" si="11"/>
        <v>727.95601556358326</v>
      </c>
      <c r="CD62" s="62">
        <f ca="1">AVERAGE(OFFSET($CC$3,0,0,'Données projet'!$E$12+1,1))-AVERAGE(OFFSET($H$3,0,0,'Données projet'!$E$12+1,1))</f>
        <v>218.39403703215032</v>
      </c>
      <c r="CE62" s="62">
        <f t="shared" si="40"/>
        <v>254.08208375594052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22.492188668637045</v>
      </c>
      <c r="CL62" s="23">
        <f>EXP(-LN(2)/25)*CL61+(1-EXP(-LN(2)/25))/(LN(2)/25)*Calculateur!CG62*Calculateur!CI62*VLOOKUP('Données projet'!$B$12,Paramètres!$A$1:$I$88,3,0)*0.475*44/12</f>
        <v>12.208975789198819</v>
      </c>
      <c r="CM62" s="23">
        <f>EXP(-LN(2)/2)*CM61+(1-EXP(-LN(2)/2))/(LN(2)/2)*CG62*CJ62*VLOOKUP('Données projet'!$B$12,Paramètres!$A$1:$I$88,3,0)*0.475*44/12</f>
        <v>0.19556415826971713</v>
      </c>
      <c r="CN62" s="24">
        <f t="shared" si="12"/>
        <v>34.896728616105584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projet'!$B$9,Paramètres!$A$1:$I$88,3,0)*VLOOKUP('Données projet'!$B$9,Paramètres!$A$1:$I$88,5,0)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373.09674935534343</v>
      </c>
      <c r="T63" s="62">
        <f t="shared" si="34"/>
        <v>231.36959598460686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projet'!$B$9,Paramètres!$A$1:$I$88,7,0))</f>
        <v>0.129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8.3853881458052939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8.3853881458052939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270</v>
      </c>
      <c r="AG63" s="13">
        <f>VLOOKUP(A63,'Données projet'!$A$61:$I$81,9,0)</f>
        <v>10.8</v>
      </c>
      <c r="AH63" s="13">
        <f t="array" ref="AH63">INDEX(AG:AG,MIN(IF(ISNUMBER(AG63:AG259),ROW(AG63:AG259),"")))</f>
        <v>10.8</v>
      </c>
      <c r="AI63" s="14">
        <f>IF('Données projet'!$A$62&gt;35,AI62+AH63-AQ62,IF(A63&lt;'Données projet'!$A$62,$AF$205^A63,IF(A63='Données projet'!$A$62,'Données projet'!$B$62,AI62+AH63-AQ62)))</f>
        <v>270.00000000000006</v>
      </c>
      <c r="AJ63" s="14">
        <f>AI63*VLOOKUP('Données projet'!$B$10,Paramètres!$A$1:$I$88,3,0)*VLOOKUP('Données projet'!$B$10,Paramètres!$A$1:$I$88,5,0)</f>
        <v>256.93200000000002</v>
      </c>
      <c r="AK63" s="14">
        <f t="shared" si="35"/>
        <v>62.067953229346614</v>
      </c>
      <c r="AL63" s="22">
        <f t="shared" si="4"/>
        <v>555.59158520777862</v>
      </c>
      <c r="AM63" s="62">
        <f t="shared" si="5"/>
        <v>848.92491854111199</v>
      </c>
      <c r="AN63" s="62">
        <f ca="1">AVERAGE(OFFSET($AM$3,0,0,'Données projet'!$E$10+1,1))-AVERAGE(OFFSET($H$3,0,0,'Données projet'!$E$10+1,1))</f>
        <v>509.66893546110458</v>
      </c>
      <c r="AO63" s="62">
        <f t="shared" si="36"/>
        <v>280.1645836141924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projet'!$B$10,Paramètres!$A$1:$I$88,7,0))</f>
        <v>0.129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11.758820158485587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11.758820158485587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468</v>
      </c>
      <c r="BB63" s="13">
        <f>VLOOKUP(A63,'Données projet'!$A$87:$I$107,9,0)</f>
        <v>13.6</v>
      </c>
      <c r="BC63" s="13">
        <f t="array" ref="BC63">INDEX(BB:BB,MIN(IF(ISNUMBER(BB63:BB259),ROW(BB63:BB259),"")))</f>
        <v>13.6</v>
      </c>
      <c r="BD63" s="13">
        <f>IF('Données projet'!$A$88&gt;35,BD62+BC63-BL62,IF(A63&lt;'Données projet'!$A$88,$BA$205^A63,IF(A63='Données projet'!$A$88,'Données projet'!$B$88,BD62+BC63-BL62)))</f>
        <v>468.00000000000023</v>
      </c>
      <c r="BE63" s="14">
        <f>BD63*VLOOKUP('Données projet'!$B$11,Paramètres!$A$1:$I$88,3,0)*VLOOKUP('Données projet'!$B$11,Paramètres!$A$1:$I$88,5,0)</f>
        <v>279.86400000000015</v>
      </c>
      <c r="BF63" s="14">
        <f t="shared" si="37"/>
        <v>66.938267358965064</v>
      </c>
      <c r="BG63" s="22">
        <f t="shared" si="7"/>
        <v>604.01394898353101</v>
      </c>
      <c r="BH63" s="62">
        <f t="shared" si="8"/>
        <v>897.34728231686427</v>
      </c>
      <c r="BI63" s="62">
        <f ca="1">AVERAGE(OFFSET($BH$3,0,0,'Données projet'!$E$11+1,1))-AVERAGE(OFFSET($H$3,0,0,'Données projet'!$E$11+1,1))</f>
        <v>311.82072478731385</v>
      </c>
      <c r="BJ63" s="62">
        <f t="shared" si="38"/>
        <v>356.36714671797864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468</v>
      </c>
      <c r="BM63" s="17">
        <f>IF(ISNA(VLOOKUP(A63,'Données projet'!$A$87:$I$107,5,0)),0%,VLOOKUP(A63,'Données projet'!$A$87:$I$107,5,0)*VLOOKUP('Données projet'!$B$11,Paramètres!$A$1:$I$88,7,0))</f>
        <v>0.36000000000000004</v>
      </c>
      <c r="BN63" s="17">
        <f>IF(ISNA(VLOOKUP(A63,'Données projet'!$A$87:$I$107,6,0)),0%,VLOOKUP(A63,'Données projet'!$A$87:$I$107,6,0)*VLOOKUP('Données projet'!$B$11,Paramètres!$A$1:$I$88,7,0))</f>
        <v>4.9500000000000002E-2</v>
      </c>
      <c r="BO63" s="17">
        <f>IF(ISNA(VLOOKUP(A63,'Données projet'!$A$87:$I$107,7,0)),0%,VLOOKUP(A63,'Données projet'!$A$87:$I$107,7,0))</f>
        <v>0.09</v>
      </c>
      <c r="BP63" s="23">
        <f>EXP(-LN(2)/35)*BP62+(1-EXP(-LN(2)/35))/(LN(2)/35)*BL63*BM63*VLOOKUP('Données projet'!$B$11,Paramètres!$A$1:$I$88,3,0)*0.475*44/12</f>
        <v>158.61638890339438</v>
      </c>
      <c r="BQ63" s="23">
        <f>EXP(-LN(2)/25)*BQ62+(1-EXP(-LN(2)/25))/(LN(2)/25)*Calculateur!BL63*Calculateur!BN63*VLOOKUP('Données projet'!$B$11,Paramètres!$A$1:$I$88,3,0)*0.475*44/12</f>
        <v>46.607119239038227</v>
      </c>
      <c r="BR63" s="23">
        <f>EXP(-LN(2)/2)*BR62+(1-EXP(-LN(2)/2))/(LN(2)/2)*BL63*BO63*VLOOKUP('Données projet'!$B$11,Paramètres!$A$1:$I$88,3,0)*0.475*44/12</f>
        <v>29.548807075620786</v>
      </c>
      <c r="BS63" s="24">
        <f t="shared" si="9"/>
        <v>234.77231521805339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440</v>
      </c>
      <c r="BW63" s="13">
        <f>VLOOKUP(A63,'Données projet'!$A$113:$I$133,9,0)</f>
        <v>13</v>
      </c>
      <c r="BX63" s="13">
        <f t="array" ref="BX63">INDEX(BW:BW,MIN(IF(ISNUMBER(BW63:BW259),ROW(BW63:BW259),"")))</f>
        <v>13</v>
      </c>
      <c r="BY63" s="13">
        <f>IF('Données projet'!$A$114&gt;35,BY62+BX63-CG62,IF(A63&lt;'Données projet'!$A$114,$BV$205^A63,IF(A63='Données projet'!$A$114,'Données projet'!$B$114,BY62+BX63-CG62)))</f>
        <v>440</v>
      </c>
      <c r="BZ63" s="14">
        <f>BY63*VLOOKUP('Données projet'!$B$12,Paramètres!$A$1:$I$88,3,0)*VLOOKUP('Données projet'!$B$12,Paramètres!$A$1:$I$88,5,0)</f>
        <v>205.92000000000002</v>
      </c>
      <c r="CA63" s="14">
        <f t="shared" si="39"/>
        <v>51.042987531485686</v>
      </c>
      <c r="CB63" s="22">
        <f t="shared" si="10"/>
        <v>447.54386995067085</v>
      </c>
      <c r="CC63" s="62">
        <f t="shared" si="11"/>
        <v>740.87720328400417</v>
      </c>
      <c r="CD63" s="62">
        <f ca="1">AVERAGE(OFFSET($CC$3,0,0,'Données projet'!$E$12+1,1))-AVERAGE(OFFSET($H$3,0,0,'Données projet'!$E$12+1,1))</f>
        <v>218.39403703215032</v>
      </c>
      <c r="CE63" s="62">
        <f t="shared" si="40"/>
        <v>254.08208375594052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440</v>
      </c>
      <c r="CH63" s="17">
        <f>IF(ISNA(VLOOKUP(A63,'Données projet'!$A$113:$I$133,5,0)),0%,VLOOKUP(A63,'Données projet'!$A$113:$I$133,5,0)*VLOOKUP('Données projet'!$B$12,Paramètres!$A$1:$I$88,7,0))</f>
        <v>0.44000000000000006</v>
      </c>
      <c r="CI63" s="17">
        <f>IF(ISNA(VLOOKUP(A63,'Données projet'!$A$113:$I$133,6,0)),0%,VLOOKUP(A63,'Données projet'!$A$113:$I$133,6,0)*VLOOKUP('Données projet'!$B$12,Paramètres!$A$1:$I$88,7,0))</f>
        <v>6.1600000000000016E-2</v>
      </c>
      <c r="CJ63" s="17">
        <f>IF(ISNA(VLOOKUP(A63,'Données projet'!$A$113:$I$133,7,0)),0%,VLOOKUP(A63,'Données projet'!$A$113:$I$133,7,0))</f>
        <v>8.7999999999999967E-2</v>
      </c>
      <c r="CK63" s="23">
        <f>EXP(-LN(2)/35)*CK62+(1-EXP(-LN(2)/35))/(LN(2)/35)*CG63*CH63*VLOOKUP('Données projet'!$B$12,Paramètres!$A$1:$I$88,3,0)*0.475*44/12</f>
        <v>142.24423773993399</v>
      </c>
      <c r="CL63" s="23">
        <f>EXP(-LN(2)/25)*CL62+(1-EXP(-LN(2)/25))/(LN(2)/25)*Calculateur!CG63*Calculateur!CI63*VLOOKUP('Données projet'!$B$12,Paramètres!$A$1:$I$88,3,0)*0.475*44/12</f>
        <v>28.635901259896055</v>
      </c>
      <c r="CM63" s="23">
        <f>EXP(-LN(2)/2)*CM62+(1-EXP(-LN(2)/2))/(LN(2)/2)*CG63*CJ63*VLOOKUP('Données projet'!$B$12,Paramètres!$A$1:$I$88,3,0)*0.475*44/12</f>
        <v>20.655420916654734</v>
      </c>
      <c r="CN63" s="24">
        <f t="shared" si="12"/>
        <v>191.53555991648477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projet'!$B$9,Paramètres!$A$1:$I$88,3,0)*VLOOKUP('Données projet'!$B$9,Paramètres!$A$1:$I$88,5,0)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373.09674935534343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8.2209557988477986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8.2209557988477986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10.4</v>
      </c>
      <c r="AI64" s="14">
        <f>IF('Données projet'!$A$62&gt;35,AI63+AH64-AQ63,IF(A64&lt;'Données projet'!$A$62,$AF$205^A64,IF(A64='Données projet'!$A$62,'Données projet'!$B$62,AI63+AH64-AQ63)))</f>
        <v>252.40000000000003</v>
      </c>
      <c r="AJ64" s="14">
        <f>AI64*VLOOKUP('Données projet'!$B$10,Paramètres!$A$1:$I$88,3,0)*VLOOKUP('Données projet'!$B$10,Paramètres!$A$1:$I$88,5,0)</f>
        <v>240.18384000000006</v>
      </c>
      <c r="AK64" s="14">
        <f t="shared" si="35"/>
        <v>58.479082790905728</v>
      </c>
      <c r="AL64" s="22">
        <f t="shared" si="4"/>
        <v>520.17125719416083</v>
      </c>
      <c r="AM64" s="62">
        <f t="shared" si="5"/>
        <v>813.5045905274942</v>
      </c>
      <c r="AN64" s="62">
        <f ca="1">AVERAGE(OFFSET($AM$3,0,0,'Données projet'!$E$10+1,1))-AVERAGE(OFFSET($H$3,0,0,'Données projet'!$E$10+1,1))</f>
        <v>509.66893546110458</v>
      </c>
      <c r="AO64" s="62">
        <f t="shared" si="36"/>
        <v>280.1645836141924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11.528236867349788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11.528236867349788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2.2737367544323206E-13</v>
      </c>
      <c r="BE64" s="14">
        <f>BD64*VLOOKUP('Données projet'!$B$11,Paramètres!$A$1:$I$88,3,0)*VLOOKUP('Données projet'!$B$11,Paramètres!$A$1:$I$88,5,0)</f>
        <v>1.3596945791505279E-13</v>
      </c>
      <c r="BF64" s="14">
        <f t="shared" si="37"/>
        <v>1.9708830566360721E-12</v>
      </c>
      <c r="BG64" s="22">
        <f t="shared" si="7"/>
        <v>3.669434796176543E-12</v>
      </c>
      <c r="BH64" s="62">
        <f t="shared" si="8"/>
        <v>293.33333333333701</v>
      </c>
      <c r="BI64" s="62">
        <f ca="1">AVERAGE(OFFSET($BH$3,0,0,'Données projet'!$E$11+1,1))-AVERAGE(OFFSET($H$3,0,0,'Données projet'!$E$11+1,1))</f>
        <v>311.82072478731385</v>
      </c>
      <c r="BJ64" s="62">
        <f t="shared" si="38"/>
        <v>356.36714671797864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155.50601826344314</v>
      </c>
      <c r="BQ64" s="23">
        <f>EXP(-LN(2)/25)*BQ63+(1-EXP(-LN(2)/25))/(LN(2)/25)*Calculateur!BL64*Calculateur!BN64*VLOOKUP('Données projet'!$B$11,Paramètres!$A$1:$I$88,3,0)*0.475*44/12</f>
        <v>45.332645112484848</v>
      </c>
      <c r="BR64" s="23">
        <f>EXP(-LN(2)/2)*BR63+(1-EXP(-LN(2)/2))/(LN(2)/2)*BL64*BO64*VLOOKUP('Données projet'!$B$11,Paramètres!$A$1:$I$88,3,0)*0.475*44/12</f>
        <v>20.894161859144496</v>
      </c>
      <c r="BS64" s="24">
        <f t="shared" si="9"/>
        <v>221.73282523507248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projet'!$B$12,Paramètres!$A$1:$I$88,3,0)*VLOOKUP('Données projet'!$B$12,Paramètres!$A$1:$I$88,5,0)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218.39403703215032</v>
      </c>
      <c r="CE64" s="62">
        <f t="shared" si="40"/>
        <v>254.08208375594052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139.45491499827202</v>
      </c>
      <c r="CL64" s="23">
        <f>EXP(-LN(2)/25)*CL63+(1-EXP(-LN(2)/25))/(LN(2)/25)*Calculateur!CG64*Calculateur!CI64*VLOOKUP('Données projet'!$B$12,Paramètres!$A$1:$I$88,3,0)*0.475*44/12</f>
        <v>27.8528510340476</v>
      </c>
      <c r="CM64" s="23">
        <f>EXP(-LN(2)/2)*CM63+(1-EXP(-LN(2)/2))/(LN(2)/2)*CG64*CJ64*VLOOKUP('Données projet'!$B$12,Paramètres!$A$1:$I$88,3,0)*0.475*44/12</f>
        <v>14.605588198429016</v>
      </c>
      <c r="CN64" s="24">
        <f t="shared" si="12"/>
        <v>181.91335423074864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projet'!$B$9,Paramètres!$A$1:$I$88,3,0)*VLOOKUP('Données projet'!$B$9,Paramètres!$A$1:$I$88,5,0)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373.09674935534343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8.0597478699203116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8.0597478699203116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10.4</v>
      </c>
      <c r="AI65" s="14">
        <f>IF('Données projet'!$A$62&gt;35,AI64+AH65-AQ64,IF(A65&lt;'Données projet'!$A$62,$AF$205^A65,IF(A65='Données projet'!$A$62,'Données projet'!$B$62,AI64+AH65-AQ64)))</f>
        <v>262.8</v>
      </c>
      <c r="AJ65" s="14">
        <f>AI65*VLOOKUP('Données projet'!$B$10,Paramètres!$A$1:$I$88,3,0)*VLOOKUP('Données projet'!$B$10,Paramètres!$A$1:$I$88,5,0)</f>
        <v>250.08047999999999</v>
      </c>
      <c r="AK65" s="14">
        <f t="shared" si="35"/>
        <v>60.603174110223023</v>
      </c>
      <c r="AL65" s="22">
        <f t="shared" si="4"/>
        <v>541.10736424197171</v>
      </c>
      <c r="AM65" s="62">
        <f t="shared" si="5"/>
        <v>834.44069757530497</v>
      </c>
      <c r="AN65" s="62">
        <f ca="1">AVERAGE(OFFSET($AM$3,0,0,'Données projet'!$E$10+1,1))-AVERAGE(OFFSET($H$3,0,0,'Données projet'!$E$10+1,1))</f>
        <v>509.66893546110458</v>
      </c>
      <c r="AO65" s="62">
        <f t="shared" si="36"/>
        <v>280.1645836141924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11.302175173911243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11.302175173911243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2.2737367544323206E-13</v>
      </c>
      <c r="BE65" s="14">
        <f>BD65*VLOOKUP('Données projet'!$B$11,Paramètres!$A$1:$I$88,3,0)*VLOOKUP('Données projet'!$B$11,Paramètres!$A$1:$I$88,5,0)</f>
        <v>1.3596945791505279E-13</v>
      </c>
      <c r="BF65" s="14">
        <f t="shared" si="37"/>
        <v>1.9708830566360721E-12</v>
      </c>
      <c r="BG65" s="22">
        <f t="shared" si="7"/>
        <v>3.669434796176543E-12</v>
      </c>
      <c r="BH65" s="62">
        <f t="shared" si="8"/>
        <v>293.33333333333701</v>
      </c>
      <c r="BI65" s="62">
        <f ca="1">AVERAGE(OFFSET($BH$3,0,0,'Données projet'!$E$11+1,1))-AVERAGE(OFFSET($H$3,0,0,'Données projet'!$E$11+1,1))</f>
        <v>311.82072478731385</v>
      </c>
      <c r="BJ65" s="62">
        <f t="shared" si="38"/>
        <v>356.36714671797864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152.45664009460256</v>
      </c>
      <c r="BQ65" s="23">
        <f>EXP(-LN(2)/25)*BQ64+(1-EXP(-LN(2)/25))/(LN(2)/25)*Calculateur!BL65*Calculateur!BN65*VLOOKUP('Données projet'!$B$11,Paramètres!$A$1:$I$88,3,0)*0.475*44/12</f>
        <v>44.093021547943749</v>
      </c>
      <c r="BR65" s="23">
        <f>EXP(-LN(2)/2)*BR64+(1-EXP(-LN(2)/2))/(LN(2)/2)*BL65*BO65*VLOOKUP('Données projet'!$B$11,Paramètres!$A$1:$I$88,3,0)*0.475*44/12</f>
        <v>14.774403537810395</v>
      </c>
      <c r="BS65" s="24">
        <f t="shared" si="9"/>
        <v>211.32406518035671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projet'!$B$12,Paramètres!$A$1:$I$88,3,0)*VLOOKUP('Données projet'!$B$12,Paramètres!$A$1:$I$88,5,0)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218.39403703215032</v>
      </c>
      <c r="CE65" s="62">
        <f t="shared" si="40"/>
        <v>254.08208375594052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136.72028917425516</v>
      </c>
      <c r="CL65" s="23">
        <f>EXP(-LN(2)/25)*CL64+(1-EXP(-LN(2)/25))/(LN(2)/25)*Calculateur!CG65*Calculateur!CI65*VLOOKUP('Données projet'!$B$12,Paramètres!$A$1:$I$88,3,0)*0.475*44/12</f>
        <v>27.091213357803792</v>
      </c>
      <c r="CM65" s="23">
        <f>EXP(-LN(2)/2)*CM64+(1-EXP(-LN(2)/2))/(LN(2)/2)*CG65*CJ65*VLOOKUP('Données projet'!$B$12,Paramètres!$A$1:$I$88,3,0)*0.475*44/12</f>
        <v>10.327710458327369</v>
      </c>
      <c r="CN65" s="24">
        <f t="shared" si="12"/>
        <v>174.13921299038631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projet'!$B$9,Paramètres!$A$1:$I$88,3,0)*VLOOKUP('Données projet'!$B$9,Paramètres!$A$1:$I$88,5,0)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373.09674935534343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7.901701130151964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7.901701130151964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10.4</v>
      </c>
      <c r="AI66" s="14">
        <f>IF('Données projet'!$A$62&gt;35,AI65+AH66-AQ65,IF(A66&lt;'Données projet'!$A$62,$AF$205^A66,IF(A66='Données projet'!$A$62,'Données projet'!$B$62,AI65+AH66-AQ65)))</f>
        <v>273.2</v>
      </c>
      <c r="AJ66" s="14">
        <f>AI66*VLOOKUP('Données projet'!$B$10,Paramètres!$A$1:$I$88,3,0)*VLOOKUP('Données projet'!$B$10,Paramètres!$A$1:$I$88,5,0)</f>
        <v>259.97712000000001</v>
      </c>
      <c r="AK66" s="14">
        <f t="shared" si="35"/>
        <v>62.717500839785117</v>
      </c>
      <c r="AL66" s="22">
        <f t="shared" si="4"/>
        <v>562.02646462929238</v>
      </c>
      <c r="AM66" s="62">
        <f t="shared" si="5"/>
        <v>855.35979796262563</v>
      </c>
      <c r="AN66" s="62">
        <f ca="1">AVERAGE(OFFSET($AM$3,0,0,'Données projet'!$E$10+1,1))-AVERAGE(OFFSET($H$3,0,0,'Données projet'!$E$10+1,1))</f>
        <v>509.66893546110458</v>
      </c>
      <c r="AO66" s="62">
        <f t="shared" si="36"/>
        <v>280.1645836141924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11.080546412397009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11.080546412397009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2.2737367544323206E-13</v>
      </c>
      <c r="BE66" s="14">
        <f>BD66*VLOOKUP('Données projet'!$B$11,Paramètres!$A$1:$I$88,3,0)*VLOOKUP('Données projet'!$B$11,Paramètres!$A$1:$I$88,5,0)</f>
        <v>1.3596945791505279E-13</v>
      </c>
      <c r="BF66" s="14">
        <f t="shared" si="37"/>
        <v>1.9708830566360721E-12</v>
      </c>
      <c r="BG66" s="22">
        <f t="shared" si="7"/>
        <v>3.669434796176543E-12</v>
      </c>
      <c r="BH66" s="62">
        <f t="shared" si="8"/>
        <v>293.33333333333701</v>
      </c>
      <c r="BI66" s="62">
        <f ca="1">AVERAGE(OFFSET($BH$3,0,0,'Données projet'!$E$11+1,1))-AVERAGE(OFFSET($H$3,0,0,'Données projet'!$E$11+1,1))</f>
        <v>311.82072478731385</v>
      </c>
      <c r="BJ66" s="62">
        <f t="shared" si="38"/>
        <v>356.36714671797864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149.46705837171592</v>
      </c>
      <c r="BQ66" s="23">
        <f>EXP(-LN(2)/25)*BQ65+(1-EXP(-LN(2)/25))/(LN(2)/25)*Calculateur!BL66*Calculateur!BN66*VLOOKUP('Données projet'!$B$11,Paramètres!$A$1:$I$88,3,0)*0.475*44/12</f>
        <v>42.887295554963998</v>
      </c>
      <c r="BR66" s="23">
        <f>EXP(-LN(2)/2)*BR65+(1-EXP(-LN(2)/2))/(LN(2)/2)*BL66*BO66*VLOOKUP('Données projet'!$B$11,Paramètres!$A$1:$I$88,3,0)*0.475*44/12</f>
        <v>10.44708092957225</v>
      </c>
      <c r="BS66" s="24">
        <f t="shared" si="9"/>
        <v>202.80143485625217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projet'!$B$12,Paramètres!$A$1:$I$88,3,0)*VLOOKUP('Données projet'!$B$12,Paramètres!$A$1:$I$88,5,0)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218.39403703215032</v>
      </c>
      <c r="CE66" s="62">
        <f t="shared" si="40"/>
        <v>254.08208375594052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134.03928769469022</v>
      </c>
      <c r="CL66" s="23">
        <f>EXP(-LN(2)/25)*CL65+(1-EXP(-LN(2)/25))/(LN(2)/25)*Calculateur!CG66*Calculateur!CI66*VLOOKUP('Données projet'!$B$12,Paramètres!$A$1:$I$88,3,0)*0.475*44/12</f>
        <v>26.350402703869655</v>
      </c>
      <c r="CM66" s="23">
        <f>EXP(-LN(2)/2)*CM65+(1-EXP(-LN(2)/2))/(LN(2)/2)*CG66*CJ66*VLOOKUP('Données projet'!$B$12,Paramètres!$A$1:$I$88,3,0)*0.475*44/12</f>
        <v>7.3027940992145099</v>
      </c>
      <c r="CN66" s="24">
        <f t="shared" si="12"/>
        <v>167.69248449777439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projet'!$B$9,Paramètres!$A$1:$I$88,3,0)*VLOOKUP('Données projet'!$B$9,Paramètres!$A$1:$I$88,5,0)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373.09674935534343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7.7467535905514815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7.7467535905514815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10.4</v>
      </c>
      <c r="AI67" s="14">
        <f>IF('Données projet'!$A$62&gt;35,AI66+AH67-AQ66,IF(A67&lt;'Données projet'!$A$62,$AF$205^A67,IF(A67='Données projet'!$A$62,'Données projet'!$B$62,AI66+AH67-AQ66)))</f>
        <v>283.59999999999997</v>
      </c>
      <c r="AJ67" s="14">
        <f>AI67*VLOOKUP('Données projet'!$B$10,Paramètres!$A$1:$I$88,3,0)*VLOOKUP('Données projet'!$B$10,Paramètres!$A$1:$I$88,5,0)</f>
        <v>269.87376</v>
      </c>
      <c r="AK67" s="14">
        <f t="shared" si="35"/>
        <v>64.822477244589948</v>
      </c>
      <c r="AL67" s="22">
        <f t="shared" si="4"/>
        <v>582.92927986766085</v>
      </c>
      <c r="AM67" s="62">
        <f t="shared" si="5"/>
        <v>876.26261320099411</v>
      </c>
      <c r="AN67" s="62">
        <f ca="1">AVERAGE(OFFSET($AM$3,0,0,'Données projet'!$E$10+1,1))-AVERAGE(OFFSET($H$3,0,0,'Données projet'!$E$10+1,1))</f>
        <v>509.66893546110458</v>
      </c>
      <c r="AO67" s="62">
        <f t="shared" si="36"/>
        <v>280.1645836141924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10.863263655715873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10.863263655715873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2.2737367544323206E-13</v>
      </c>
      <c r="BE67" s="14">
        <f>BD67*VLOOKUP('Données projet'!$B$11,Paramètres!$A$1:$I$88,3,0)*VLOOKUP('Données projet'!$B$11,Paramètres!$A$1:$I$88,5,0)</f>
        <v>1.3596945791505279E-13</v>
      </c>
      <c r="BF67" s="14">
        <f t="shared" si="37"/>
        <v>1.9708830566360721E-12</v>
      </c>
      <c r="BG67" s="22">
        <f t="shared" si="7"/>
        <v>3.669434796176543E-12</v>
      </c>
      <c r="BH67" s="62">
        <f t="shared" si="8"/>
        <v>293.33333333333701</v>
      </c>
      <c r="BI67" s="62">
        <f ca="1">AVERAGE(OFFSET($BH$3,0,0,'Données projet'!$E$11+1,1))-AVERAGE(OFFSET($H$3,0,0,'Données projet'!$E$11+1,1))</f>
        <v>311.82072478731385</v>
      </c>
      <c r="BJ67" s="62">
        <f t="shared" si="38"/>
        <v>356.36714671797864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146.53610052295031</v>
      </c>
      <c r="BQ67" s="23">
        <f>EXP(-LN(2)/25)*BQ66+(1-EXP(-LN(2)/25))/(LN(2)/25)*Calculateur!BL67*Calculateur!BN67*VLOOKUP('Données projet'!$B$11,Paramètres!$A$1:$I$88,3,0)*0.475*44/12</f>
        <v>41.714540202668658</v>
      </c>
      <c r="BR67" s="23">
        <f>EXP(-LN(2)/2)*BR66+(1-EXP(-LN(2)/2))/(LN(2)/2)*BL67*BO67*VLOOKUP('Données projet'!$B$11,Paramètres!$A$1:$I$88,3,0)*0.475*44/12</f>
        <v>7.3872017689051992</v>
      </c>
      <c r="BS67" s="24">
        <f t="shared" si="9"/>
        <v>195.63784249452414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projet'!$B$12,Paramètres!$A$1:$I$88,3,0)*VLOOKUP('Données projet'!$B$12,Paramètres!$A$1:$I$88,5,0)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218.39403703215032</v>
      </c>
      <c r="CE67" s="62">
        <f t="shared" si="40"/>
        <v>254.08208375594052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131.41085901889011</v>
      </c>
      <c r="CL67" s="23">
        <f>EXP(-LN(2)/25)*CL66+(1-EXP(-LN(2)/25))/(LN(2)/25)*Calculateur!CG67*Calculateur!CI67*VLOOKUP('Données projet'!$B$12,Paramètres!$A$1:$I$88,3,0)*0.475*44/12</f>
        <v>25.629849556224887</v>
      </c>
      <c r="CM67" s="23">
        <f>EXP(-LN(2)/2)*CM66+(1-EXP(-LN(2)/2))/(LN(2)/2)*CG67*CJ67*VLOOKUP('Données projet'!$B$12,Paramètres!$A$1:$I$88,3,0)*0.475*44/12</f>
        <v>5.1638552291636852</v>
      </c>
      <c r="CN67" s="24">
        <f t="shared" si="12"/>
        <v>162.20456380427868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projet'!$B$9,Paramètres!$A$1:$I$88,3,0)*VLOOKUP('Données projet'!$B$9,Paramètres!$A$1:$I$88,5,0)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373.09674935534343</v>
      </c>
      <c r="T68" s="62">
        <f t="shared" si="34"/>
        <v>231.36959598460686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projet'!$B$9,Paramètres!$A$1:$I$88,7,0))</f>
        <v>0.129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10.304466462472325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10.304466462472325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294</v>
      </c>
      <c r="AG68" s="13">
        <f>VLOOKUP(A68,'Données projet'!$A$61:$I$81,9,0)</f>
        <v>10.4</v>
      </c>
      <c r="AH68" s="13">
        <f t="array" ref="AH68">INDEX(AG:AG,MIN(IF(ISNUMBER(AG68:AG264),ROW(AG68:AG264),"")))</f>
        <v>10.4</v>
      </c>
      <c r="AI68" s="14">
        <f>IF('Données projet'!$A$62&gt;35,AI67+AH68-AQ67,IF(A68&lt;'Données projet'!$A$62,$AF$205^A68,IF(A68='Données projet'!$A$62,'Données projet'!$B$62,AI67+AH68-AQ67)))</f>
        <v>293.99999999999994</v>
      </c>
      <c r="AJ68" s="14">
        <f>AI68*VLOOKUP('Données projet'!$B$10,Paramètres!$A$1:$I$88,3,0)*VLOOKUP('Données projet'!$B$10,Paramètres!$A$1:$I$88,5,0)</f>
        <v>279.7704</v>
      </c>
      <c r="AK68" s="14">
        <f t="shared" si="35"/>
        <v>66.918485484562225</v>
      </c>
      <c r="AL68" s="22">
        <f t="shared" ref="AL68:AL131" si="58">(AJ68+AK68)*0.475*44/12</f>
        <v>603.81647555227914</v>
      </c>
      <c r="AM68" s="62">
        <f t="shared" ref="AM68:AM131" si="59">AL68+(AD68+AE68)*44/12</f>
        <v>897.1498088856124</v>
      </c>
      <c r="AN68" s="62">
        <f ca="1">AVERAGE(OFFSET($AM$3,0,0,'Données projet'!$E$10+1,1))-AVERAGE(OFFSET($H$3,0,0,'Données projet'!$E$10+1,1))</f>
        <v>509.66893546110458</v>
      </c>
      <c r="AO68" s="62">
        <f t="shared" si="36"/>
        <v>280.1645836141924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projet'!$B$10,Paramètres!$A$1:$I$88,7,0))</f>
        <v>0.129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14.449941476110618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14.449941476110618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2.2737367544323206E-13</v>
      </c>
      <c r="BE68" s="14">
        <f>BD68*VLOOKUP('Données projet'!$B$11,Paramètres!$A$1:$I$88,3,0)*VLOOKUP('Données projet'!$B$11,Paramètres!$A$1:$I$88,5,0)</f>
        <v>1.3596945791505279E-13</v>
      </c>
      <c r="BF68" s="14">
        <f t="shared" si="37"/>
        <v>1.9708830566360721E-12</v>
      </c>
      <c r="BG68" s="22">
        <f t="shared" ref="BG68:BG131" si="61">(BE68+BF68)*0.475*44/12</f>
        <v>3.669434796176543E-12</v>
      </c>
      <c r="BH68" s="62">
        <f t="shared" ref="BH68:BH131" si="62">BG68+(AY68+AZ68)*44/12</f>
        <v>293.33333333333701</v>
      </c>
      <c r="BI68" s="62">
        <f ca="1">AVERAGE(OFFSET($BH$3,0,0,'Données projet'!$E$11+1,1))-AVERAGE(OFFSET($H$3,0,0,'Données projet'!$E$11+1,1))</f>
        <v>311.82072478731385</v>
      </c>
      <c r="BJ68" s="62">
        <f t="shared" si="38"/>
        <v>356.36714671797864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143.66261696989122</v>
      </c>
      <c r="BQ68" s="23">
        <f>EXP(-LN(2)/25)*BQ67+(1-EXP(-LN(2)/25))/(LN(2)/25)*Calculateur!BL68*Calculateur!BN68*VLOOKUP('Données projet'!$B$11,Paramètres!$A$1:$I$88,3,0)*0.475*44/12</f>
        <v>40.573853907154351</v>
      </c>
      <c r="BR68" s="23">
        <f>EXP(-LN(2)/2)*BR67+(1-EXP(-LN(2)/2))/(LN(2)/2)*BL68*BO68*VLOOKUP('Données projet'!$B$11,Paramètres!$A$1:$I$88,3,0)*0.475*44/12</f>
        <v>5.2235404647861259</v>
      </c>
      <c r="BS68" s="24">
        <f t="shared" ref="BS68:BS131" si="63">SUM(BP68:BR68)</f>
        <v>189.46001134183172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projet'!$B$12,Paramètres!$A$1:$I$88,3,0)*VLOOKUP('Données projet'!$B$12,Paramètres!$A$1:$I$88,5,0)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218.39403703215032</v>
      </c>
      <c r="CE68" s="62">
        <f t="shared" si="40"/>
        <v>254.08208375594052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128.83397222623924</v>
      </c>
      <c r="CL68" s="23">
        <f>EXP(-LN(2)/25)*CL67+(1-EXP(-LN(2)/25))/(LN(2)/25)*Calculateur!CG68*Calculateur!CI68*VLOOKUP('Données projet'!$B$12,Paramètres!$A$1:$I$88,3,0)*0.475*44/12</f>
        <v>24.928999972294708</v>
      </c>
      <c r="CM68" s="23">
        <f>EXP(-LN(2)/2)*CM67+(1-EXP(-LN(2)/2))/(LN(2)/2)*CG68*CJ68*VLOOKUP('Données projet'!$B$12,Paramètres!$A$1:$I$88,3,0)*0.475*44/12</f>
        <v>3.6513970496072554</v>
      </c>
      <c r="CN68" s="24">
        <f t="shared" ref="CN68:CN131" si="66">SUM(CK68:CM68)</f>
        <v>157.41436924814121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projet'!$B$9,Paramètres!$A$1:$I$88,3,0)*VLOOKUP('Données projet'!$B$9,Paramètres!$A$1:$I$88,5,0)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373.09674935534343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10.102402160247182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10.102402160247182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</v>
      </c>
      <c r="AI69" s="14">
        <f>IF('Données projet'!$A$62&gt;35,AI68+AH69-AQ68,IF(A69&lt;'Données projet'!$A$62,$AF$205^A69,IF(A69='Données projet'!$A$62,'Données projet'!$B$62,AI68+AH69-AQ68)))</f>
        <v>275.99999999999994</v>
      </c>
      <c r="AJ69" s="14">
        <f>AI69*VLOOKUP('Données projet'!$B$10,Paramètres!$A$1:$I$88,3,0)*VLOOKUP('Données projet'!$B$10,Paramètres!$A$1:$I$88,5,0)</f>
        <v>262.64159999999993</v>
      </c>
      <c r="AK69" s="14">
        <f t="shared" ref="AK69:AK132" si="89">EXP(-1.0587+0.8836*LN(AJ69)+0.284)</f>
        <v>63.285128621471941</v>
      </c>
      <c r="AL69" s="22">
        <f t="shared" si="58"/>
        <v>567.65571901573014</v>
      </c>
      <c r="AM69" s="62">
        <f t="shared" si="59"/>
        <v>860.98905234906351</v>
      </c>
      <c r="AN69" s="62">
        <f ca="1">AVERAGE(OFFSET($AM$3,0,0,'Données projet'!$E$10+1,1))-AVERAGE(OFFSET($H$3,0,0,'Données projet'!$E$10+1,1))</f>
        <v>509.66893546110458</v>
      </c>
      <c r="AO69" s="62">
        <f t="shared" ref="AO69:AO132" si="90">$AO$3</f>
        <v>280.1645836141924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14.166586937358119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14.166586937358119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2.2737367544323206E-13</v>
      </c>
      <c r="BE69" s="14">
        <f>BD69*VLOOKUP('Données projet'!$B$11,Paramètres!$A$1:$I$88,3,0)*VLOOKUP('Données projet'!$B$11,Paramètres!$A$1:$I$88,5,0)</f>
        <v>1.3596945791505279E-13</v>
      </c>
      <c r="BF69" s="14">
        <f t="shared" ref="BF69:BF132" si="91">EXP(-1.0587+0.8836*LN(BE69)+0.284)</f>
        <v>1.9708830566360721E-12</v>
      </c>
      <c r="BG69" s="22">
        <f t="shared" si="61"/>
        <v>3.669434796176543E-12</v>
      </c>
      <c r="BH69" s="62">
        <f t="shared" si="62"/>
        <v>293.33333333333701</v>
      </c>
      <c r="BI69" s="62">
        <f ca="1">AVERAGE(OFFSET($BH$3,0,0,'Données projet'!$E$11+1,1))-AVERAGE(OFFSET($H$3,0,0,'Données projet'!$E$11+1,1))</f>
        <v>311.82072478731385</v>
      </c>
      <c r="BJ69" s="62">
        <f t="shared" ref="BJ69:BJ132" si="92">$BJ$3</f>
        <v>356.36714671797864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140.84548067665571</v>
      </c>
      <c r="BQ69" s="23">
        <f>EXP(-LN(2)/25)*BQ68+(1-EXP(-LN(2)/25))/(LN(2)/25)*Calculateur!BL69*Calculateur!BN69*VLOOKUP('Données projet'!$B$11,Paramètres!$A$1:$I$88,3,0)*0.475*44/12</f>
        <v>39.46435973837697</v>
      </c>
      <c r="BR69" s="23">
        <f>EXP(-LN(2)/2)*BR68+(1-EXP(-LN(2)/2))/(LN(2)/2)*BL69*BO69*VLOOKUP('Données projet'!$B$11,Paramètres!$A$1:$I$88,3,0)*0.475*44/12</f>
        <v>3.6936008844526</v>
      </c>
      <c r="BS69" s="24">
        <f t="shared" si="63"/>
        <v>184.00344129948527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projet'!$B$12,Paramètres!$A$1:$I$88,3,0)*VLOOKUP('Données projet'!$B$12,Paramètres!$A$1:$I$88,5,0)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218.39403703215032</v>
      </c>
      <c r="CE69" s="62">
        <f t="shared" ref="CE69:CE132" si="94">$CE$3</f>
        <v>254.08208375594052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126.30761661184653</v>
      </c>
      <c r="CL69" s="23">
        <f>EXP(-LN(2)/25)*CL68+(1-EXP(-LN(2)/25))/(LN(2)/25)*Calculateur!CG69*Calculateur!CI69*VLOOKUP('Données projet'!$B$12,Paramètres!$A$1:$I$88,3,0)*0.475*44/12</f>
        <v>24.247315157093176</v>
      </c>
      <c r="CM69" s="23">
        <f>EXP(-LN(2)/2)*CM68+(1-EXP(-LN(2)/2))/(LN(2)/2)*CG69*CJ69*VLOOKUP('Données projet'!$B$12,Paramètres!$A$1:$I$88,3,0)*0.475*44/12</f>
        <v>2.5819276145818431</v>
      </c>
      <c r="CN69" s="24">
        <f t="shared" si="66"/>
        <v>153.13685938352154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projet'!$B$9,Paramètres!$A$1:$I$88,3,0)*VLOOKUP('Données projet'!$B$9,Paramètres!$A$1:$I$88,5,0)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373.09674935534343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9.9043002157416193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9.9043002157416193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</v>
      </c>
      <c r="AI70" s="14">
        <f>IF('Données projet'!$A$62&gt;35,AI69+AH70-AQ69,IF(A70&lt;'Données projet'!$A$62,$AF$205^A70,IF(A70='Données projet'!$A$62,'Données projet'!$B$62,AI69+AH70-AQ69)))</f>
        <v>285.99999999999994</v>
      </c>
      <c r="AJ70" s="14">
        <f>AI70*VLOOKUP('Données projet'!$B$10,Paramètres!$A$1:$I$88,3,0)*VLOOKUP('Données projet'!$B$10,Paramètres!$A$1:$I$88,5,0)</f>
        <v>272.15759999999995</v>
      </c>
      <c r="AK70" s="14">
        <f t="shared" si="89"/>
        <v>65.306954132597255</v>
      </c>
      <c r="AL70" s="22">
        <f t="shared" si="58"/>
        <v>587.75076511427346</v>
      </c>
      <c r="AM70" s="62">
        <f t="shared" si="59"/>
        <v>881.08409844760672</v>
      </c>
      <c r="AN70" s="62">
        <f ca="1">AVERAGE(OFFSET($AM$3,0,0,'Données projet'!$E$10+1,1))-AVERAGE(OFFSET($H$3,0,0,'Données projet'!$E$10+1,1))</f>
        <v>509.66893546110458</v>
      </c>
      <c r="AO70" s="62">
        <f t="shared" si="90"/>
        <v>280.1645836141924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13.888788808281353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13.888788808281353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2.2737367544323206E-13</v>
      </c>
      <c r="BE70" s="14">
        <f>BD70*VLOOKUP('Données projet'!$B$11,Paramètres!$A$1:$I$88,3,0)*VLOOKUP('Données projet'!$B$11,Paramètres!$A$1:$I$88,5,0)</f>
        <v>1.3596945791505279E-13</v>
      </c>
      <c r="BF70" s="14">
        <f t="shared" si="91"/>
        <v>1.9708830566360721E-12</v>
      </c>
      <c r="BG70" s="22">
        <f t="shared" si="61"/>
        <v>3.669434796176543E-12</v>
      </c>
      <c r="BH70" s="62">
        <f t="shared" si="62"/>
        <v>293.33333333333701</v>
      </c>
      <c r="BI70" s="62">
        <f ca="1">AVERAGE(OFFSET($BH$3,0,0,'Données projet'!$E$11+1,1))-AVERAGE(OFFSET($H$3,0,0,'Données projet'!$E$11+1,1))</f>
        <v>311.82072478731385</v>
      </c>
      <c r="BJ70" s="62">
        <f t="shared" si="92"/>
        <v>356.36714671797864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138.08358670784708</v>
      </c>
      <c r="BQ70" s="23">
        <f>EXP(-LN(2)/25)*BQ69+(1-EXP(-LN(2)/25))/(LN(2)/25)*Calculateur!BL70*Calculateur!BN70*VLOOKUP('Données projet'!$B$11,Paramètres!$A$1:$I$88,3,0)*0.475*44/12</f>
        <v>38.385204745990571</v>
      </c>
      <c r="BR70" s="23">
        <f>EXP(-LN(2)/2)*BR69+(1-EXP(-LN(2)/2))/(LN(2)/2)*BL70*BO70*VLOOKUP('Données projet'!$B$11,Paramètres!$A$1:$I$88,3,0)*0.475*44/12</f>
        <v>2.6117702323930634</v>
      </c>
      <c r="BS70" s="24">
        <f t="shared" si="63"/>
        <v>179.08056168623071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projet'!$B$12,Paramètres!$A$1:$I$88,3,0)*VLOOKUP('Données projet'!$B$12,Paramètres!$A$1:$I$88,5,0)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218.39403703215032</v>
      </c>
      <c r="CE70" s="62">
        <f t="shared" si="94"/>
        <v>254.08208375594052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123.83080129012728</v>
      </c>
      <c r="CL70" s="23">
        <f>EXP(-LN(2)/25)*CL69+(1-EXP(-LN(2)/25))/(LN(2)/25)*Calculateur!CG70*Calculateur!CI70*VLOOKUP('Données projet'!$B$12,Paramètres!$A$1:$I$88,3,0)*0.475*44/12</f>
        <v>23.584271049011576</v>
      </c>
      <c r="CM70" s="23">
        <f>EXP(-LN(2)/2)*CM69+(1-EXP(-LN(2)/2))/(LN(2)/2)*CG70*CJ70*VLOOKUP('Données projet'!$B$12,Paramètres!$A$1:$I$88,3,0)*0.475*44/12</f>
        <v>1.8256985248036279</v>
      </c>
      <c r="CN70" s="24">
        <f t="shared" si="66"/>
        <v>149.24077086394252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projet'!$B$9,Paramètres!$A$1:$I$88,3,0)*VLOOKUP('Données projet'!$B$9,Paramètres!$A$1:$I$88,5,0)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373.09674935534343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9.7100829295375561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9.7100829295375561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</v>
      </c>
      <c r="AI71" s="14">
        <f>IF('Données projet'!$A$62&gt;35,AI70+AH71-AQ70,IF(A71&lt;'Données projet'!$A$62,$AF$205^A71,IF(A71='Données projet'!$A$62,'Données projet'!$B$62,AI70+AH71-AQ70)))</f>
        <v>295.99999999999994</v>
      </c>
      <c r="AJ71" s="14">
        <f>AI71*VLOOKUP('Données projet'!$B$10,Paramètres!$A$1:$I$88,3,0)*VLOOKUP('Données projet'!$B$10,Paramètres!$A$1:$I$88,5,0)</f>
        <v>281.67359999999996</v>
      </c>
      <c r="AK71" s="14">
        <f t="shared" si="89"/>
        <v>67.320565909728884</v>
      </c>
      <c r="AL71" s="22">
        <f t="shared" si="58"/>
        <v>607.83150562611104</v>
      </c>
      <c r="AM71" s="62">
        <f t="shared" si="59"/>
        <v>901.1648389594443</v>
      </c>
      <c r="AN71" s="62">
        <f ca="1">AVERAGE(OFFSET($AM$3,0,0,'Données projet'!$E$10+1,1))-AVERAGE(OFFSET($H$3,0,0,'Données projet'!$E$10+1,1))</f>
        <v>509.66893546110458</v>
      </c>
      <c r="AO71" s="62">
        <f t="shared" si="90"/>
        <v>280.1645836141924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13.616438131075654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13.616438131075654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2.2737367544323206E-13</v>
      </c>
      <c r="BE71" s="14">
        <f>BD71*VLOOKUP('Données projet'!$B$11,Paramètres!$A$1:$I$88,3,0)*VLOOKUP('Données projet'!$B$11,Paramètres!$A$1:$I$88,5,0)</f>
        <v>1.3596945791505279E-13</v>
      </c>
      <c r="BF71" s="14">
        <f t="shared" si="91"/>
        <v>1.9708830566360721E-12</v>
      </c>
      <c r="BG71" s="22">
        <f t="shared" si="61"/>
        <v>3.669434796176543E-12</v>
      </c>
      <c r="BH71" s="62">
        <f t="shared" si="62"/>
        <v>293.33333333333701</v>
      </c>
      <c r="BI71" s="62">
        <f ca="1">AVERAGE(OFFSET($BH$3,0,0,'Données projet'!$E$11+1,1))-AVERAGE(OFFSET($H$3,0,0,'Données projet'!$E$11+1,1))</f>
        <v>311.82072478731385</v>
      </c>
      <c r="BJ71" s="62">
        <f t="shared" si="92"/>
        <v>356.36714671797864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135.37585179517779</v>
      </c>
      <c r="BQ71" s="23">
        <f>EXP(-LN(2)/25)*BQ70+(1-EXP(-LN(2)/25))/(LN(2)/25)*Calculateur!BL71*Calculateur!BN71*VLOOKUP('Données projet'!$B$11,Paramètres!$A$1:$I$88,3,0)*0.475*44/12</f>
        <v>37.335559303621274</v>
      </c>
      <c r="BR71" s="23">
        <f>EXP(-LN(2)/2)*BR70+(1-EXP(-LN(2)/2))/(LN(2)/2)*BL71*BO71*VLOOKUP('Données projet'!$B$11,Paramètres!$A$1:$I$88,3,0)*0.475*44/12</f>
        <v>1.8468004422263005</v>
      </c>
      <c r="BS71" s="24">
        <f t="shared" si="63"/>
        <v>174.55821154102537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projet'!$B$12,Paramètres!$A$1:$I$88,3,0)*VLOOKUP('Données projet'!$B$12,Paramètres!$A$1:$I$88,5,0)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218.39403703215032</v>
      </c>
      <c r="CE71" s="62">
        <f t="shared" si="94"/>
        <v>254.08208375594052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121.40255480615878</v>
      </c>
      <c r="CL71" s="23">
        <f>EXP(-LN(2)/25)*CL70+(1-EXP(-LN(2)/25))/(LN(2)/25)*Calculateur!CG71*Calculateur!CI71*VLOOKUP('Données projet'!$B$12,Paramètres!$A$1:$I$88,3,0)*0.475*44/12</f>
        <v>22.939357916933442</v>
      </c>
      <c r="CM71" s="23">
        <f>EXP(-LN(2)/2)*CM70+(1-EXP(-LN(2)/2))/(LN(2)/2)*CG71*CJ71*VLOOKUP('Données projet'!$B$12,Paramètres!$A$1:$I$88,3,0)*0.475*44/12</f>
        <v>1.2909638072909215</v>
      </c>
      <c r="CN71" s="24">
        <f t="shared" si="66"/>
        <v>145.63287653038313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projet'!$B$9,Paramètres!$A$1:$I$88,3,0)*VLOOKUP('Données projet'!$B$9,Paramètres!$A$1:$I$88,5,0)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373.09674935534343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9.5196741258551061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9.5196741258551061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</v>
      </c>
      <c r="AI72" s="14">
        <f>IF('Données projet'!$A$62&gt;35,AI71+AH72-AQ71,IF(A72&lt;'Données projet'!$A$62,$AF$205^A72,IF(A72='Données projet'!$A$62,'Données projet'!$B$62,AI71+AH72-AQ71)))</f>
        <v>305.99999999999994</v>
      </c>
      <c r="AJ72" s="14">
        <f>AI72*VLOOKUP('Données projet'!$B$10,Paramètres!$A$1:$I$88,3,0)*VLOOKUP('Données projet'!$B$10,Paramètres!$A$1:$I$88,5,0)</f>
        <v>291.18959999999998</v>
      </c>
      <c r="AK72" s="14">
        <f t="shared" si="89"/>
        <v>69.32627325504869</v>
      </c>
      <c r="AL72" s="22">
        <f t="shared" si="58"/>
        <v>627.8984792525431</v>
      </c>
      <c r="AM72" s="62">
        <f t="shared" si="59"/>
        <v>921.23181258587647</v>
      </c>
      <c r="AN72" s="62">
        <f ca="1">AVERAGE(OFFSET($AM$3,0,0,'Données projet'!$E$10+1,1))-AVERAGE(OFFSET($H$3,0,0,'Données projet'!$E$10+1,1))</f>
        <v>509.66893546110458</v>
      </c>
      <c r="AO72" s="62">
        <f t="shared" si="90"/>
        <v>280.1645836141924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13.34942808453245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13.34942808453245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2.2737367544323206E-13</v>
      </c>
      <c r="BE72" s="14">
        <f>BD72*VLOOKUP('Données projet'!$B$11,Paramètres!$A$1:$I$88,3,0)*VLOOKUP('Données projet'!$B$11,Paramètres!$A$1:$I$88,5,0)</f>
        <v>1.3596945791505279E-13</v>
      </c>
      <c r="BF72" s="14">
        <f t="shared" si="91"/>
        <v>1.9708830566360721E-12</v>
      </c>
      <c r="BG72" s="22">
        <f t="shared" si="61"/>
        <v>3.669434796176543E-12</v>
      </c>
      <c r="BH72" s="62">
        <f t="shared" si="62"/>
        <v>293.33333333333701</v>
      </c>
      <c r="BI72" s="62">
        <f ca="1">AVERAGE(OFFSET($BH$3,0,0,'Données projet'!$E$11+1,1))-AVERAGE(OFFSET($H$3,0,0,'Données projet'!$E$11+1,1))</f>
        <v>311.82072478731385</v>
      </c>
      <c r="BJ72" s="62">
        <f t="shared" si="92"/>
        <v>356.36714671797864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132.72121391259074</v>
      </c>
      <c r="BQ72" s="23">
        <f>EXP(-LN(2)/25)*BQ71+(1-EXP(-LN(2)/25))/(LN(2)/25)*Calculateur!BL72*Calculateur!BN72*VLOOKUP('Données projet'!$B$11,Paramètres!$A$1:$I$88,3,0)*0.475*44/12</f>
        <v>36.314616471072021</v>
      </c>
      <c r="BR72" s="23">
        <f>EXP(-LN(2)/2)*BR71+(1-EXP(-LN(2)/2))/(LN(2)/2)*BL72*BO72*VLOOKUP('Données projet'!$B$11,Paramètres!$A$1:$I$88,3,0)*0.475*44/12</f>
        <v>1.3058851161965319</v>
      </c>
      <c r="BS72" s="24">
        <f t="shared" si="63"/>
        <v>170.34171549985928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projet'!$B$12,Paramètres!$A$1:$I$88,3,0)*VLOOKUP('Données projet'!$B$12,Paramètres!$A$1:$I$88,5,0)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218.39403703215032</v>
      </c>
      <c r="CE72" s="62">
        <f t="shared" si="94"/>
        <v>254.08208375594052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119.02192475465678</v>
      </c>
      <c r="CL72" s="23">
        <f>EXP(-LN(2)/25)*CL71+(1-EXP(-LN(2)/25))/(LN(2)/25)*Calculateur!CG72*Calculateur!CI72*VLOOKUP('Données projet'!$B$12,Paramètres!$A$1:$I$88,3,0)*0.475*44/12</f>
        <v>22.312079968366493</v>
      </c>
      <c r="CM72" s="23">
        <f>EXP(-LN(2)/2)*CM71+(1-EXP(-LN(2)/2))/(LN(2)/2)*CG72*CJ72*VLOOKUP('Données projet'!$B$12,Paramètres!$A$1:$I$88,3,0)*0.475*44/12</f>
        <v>0.91284926240181397</v>
      </c>
      <c r="CN72" s="24">
        <f t="shared" si="66"/>
        <v>142.24685398542508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projet'!$B$9,Paramètres!$A$1:$I$88,3,0)*VLOOKUP('Données projet'!$B$9,Paramètres!$A$1:$I$88,5,0)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373.09674935534343</v>
      </c>
      <c r="T73" s="62">
        <f t="shared" si="88"/>
        <v>231.36959598460686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projet'!$B$9,Paramètres!$A$1:$I$88,7,0))</f>
        <v>0.17200000000000001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12.945828435712871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12.945828435712871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316</v>
      </c>
      <c r="AG73" s="13">
        <f>VLOOKUP(A73,'Données projet'!$A$61:$I$81,9,0)</f>
        <v>10</v>
      </c>
      <c r="AH73" s="13">
        <f t="array" ref="AH73">INDEX(AG:AG,MIN(IF(ISNUMBER(AG73:AG269),ROW(AG73:AG269),"")))</f>
        <v>10</v>
      </c>
      <c r="AI73" s="14">
        <f>IF('Données projet'!$A$62&gt;35,AI72+AH73-AQ72,IF(A73&lt;'Données projet'!$A$62,$AF$205^A73,IF(A73='Données projet'!$A$62,'Données projet'!$B$62,AI72+AH73-AQ72)))</f>
        <v>315.99999999999994</v>
      </c>
      <c r="AJ73" s="14">
        <f>AI73*VLOOKUP('Données projet'!$B$10,Paramètres!$A$1:$I$88,3,0)*VLOOKUP('Données projet'!$B$10,Paramètres!$A$1:$I$88,5,0)</f>
        <v>300.70559999999995</v>
      </c>
      <c r="AK73" s="14">
        <f t="shared" si="89"/>
        <v>71.324364107429389</v>
      </c>
      <c r="AL73" s="22">
        <f t="shared" si="58"/>
        <v>647.95218748710613</v>
      </c>
      <c r="AM73" s="62">
        <f t="shared" si="59"/>
        <v>941.28552082043939</v>
      </c>
      <c r="AN73" s="62">
        <f ca="1">AVERAGE(OFFSET($AM$3,0,0,'Données projet'!$E$10+1,1))-AVERAGE(OFFSET($H$3,0,0,'Données projet'!$E$10+1,1))</f>
        <v>509.66893546110458</v>
      </c>
      <c r="AO73" s="62">
        <f t="shared" si="90"/>
        <v>280.1645836141924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projet'!$B$10,Paramètres!$A$1:$I$88,7,0))</f>
        <v>0.17200000000000001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18.153920335137595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18.153920335137595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2.2737367544323206E-13</v>
      </c>
      <c r="BE73" s="14">
        <f>BD73*VLOOKUP('Données projet'!$B$11,Paramètres!$A$1:$I$88,3,0)*VLOOKUP('Données projet'!$B$11,Paramètres!$A$1:$I$88,5,0)</f>
        <v>1.3596945791505279E-13</v>
      </c>
      <c r="BF73" s="14">
        <f t="shared" si="91"/>
        <v>1.9708830566360721E-12</v>
      </c>
      <c r="BG73" s="22">
        <f t="shared" si="61"/>
        <v>3.669434796176543E-12</v>
      </c>
      <c r="BH73" s="62">
        <f t="shared" si="62"/>
        <v>293.33333333333701</v>
      </c>
      <c r="BI73" s="62">
        <f ca="1">AVERAGE(OFFSET($BH$3,0,0,'Données projet'!$E$11+1,1))-AVERAGE(OFFSET($H$3,0,0,'Données projet'!$E$11+1,1))</f>
        <v>311.82072478731385</v>
      </c>
      <c r="BJ73" s="62">
        <f t="shared" si="92"/>
        <v>356.36714671797864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130.118631859712</v>
      </c>
      <c r="BQ73" s="23">
        <f>EXP(-LN(2)/25)*BQ72+(1-EXP(-LN(2)/25))/(LN(2)/25)*Calculateur!BL73*Calculateur!BN73*VLOOKUP('Données projet'!$B$11,Paramètres!$A$1:$I$88,3,0)*0.475*44/12</f>
        <v>35.321591373967877</v>
      </c>
      <c r="BR73" s="23">
        <f>EXP(-LN(2)/2)*BR72+(1-EXP(-LN(2)/2))/(LN(2)/2)*BL73*BO73*VLOOKUP('Données projet'!$B$11,Paramètres!$A$1:$I$88,3,0)*0.475*44/12</f>
        <v>0.92340022111315034</v>
      </c>
      <c r="BS73" s="24">
        <f t="shared" si="63"/>
        <v>166.36362345479304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projet'!$B$12,Paramètres!$A$1:$I$88,3,0)*VLOOKUP('Données projet'!$B$12,Paramètres!$A$1:$I$88,5,0)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218.39403703215032</v>
      </c>
      <c r="CE73" s="62">
        <f t="shared" si="94"/>
        <v>254.08208375594052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116.68797740642378</v>
      </c>
      <c r="CL73" s="23">
        <f>EXP(-LN(2)/25)*CL72+(1-EXP(-LN(2)/25))/(LN(2)/25)*Calculateur!CG73*Calculateur!CI73*VLOOKUP('Données projet'!$B$12,Paramètres!$A$1:$I$88,3,0)*0.475*44/12</f>
        <v>21.70195496829022</v>
      </c>
      <c r="CM73" s="23">
        <f>EXP(-LN(2)/2)*CM72+(1-EXP(-LN(2)/2))/(LN(2)/2)*CG73*CJ73*VLOOKUP('Données projet'!$B$12,Paramètres!$A$1:$I$88,3,0)*0.475*44/12</f>
        <v>0.64548190364546076</v>
      </c>
      <c r="CN73" s="24">
        <f t="shared" si="66"/>
        <v>139.03541427835944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projet'!$B$9,Paramètres!$A$1:$I$88,3,0)*VLOOKUP('Données projet'!$B$9,Paramètres!$A$1:$I$88,5,0)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373.09674935534343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12.691968636264205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12.691968636264205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9.4</v>
      </c>
      <c r="AI74" s="14">
        <f>IF('Données projet'!$A$62&gt;35,AI73+AH74-AQ73,IF(A74&lt;'Données projet'!$A$62,$AF$205^A74,IF(A74='Données projet'!$A$62,'Données projet'!$B$62,AI73+AH74-AQ73)))</f>
        <v>297.39999999999992</v>
      </c>
      <c r="AJ74" s="14">
        <f>AI74*VLOOKUP('Données projet'!$B$10,Paramètres!$A$1:$I$88,3,0)*VLOOKUP('Données projet'!$B$10,Paramètres!$A$1:$I$88,5,0)</f>
        <v>283.00583999999992</v>
      </c>
      <c r="AK74" s="14">
        <f t="shared" si="89"/>
        <v>67.601833980941635</v>
      </c>
      <c r="AL74" s="22">
        <f t="shared" si="58"/>
        <v>610.64169885013985</v>
      </c>
      <c r="AM74" s="62">
        <f t="shared" si="59"/>
        <v>903.9750321834731</v>
      </c>
      <c r="AN74" s="62">
        <f ca="1">AVERAGE(OFFSET($AM$3,0,0,'Données projet'!$E$10+1,1))-AVERAGE(OFFSET($H$3,0,0,'Données projet'!$E$10+1,1))</f>
        <v>509.66893546110458</v>
      </c>
      <c r="AO74" s="62">
        <f t="shared" si="90"/>
        <v>280.1645836141924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17.797933030163602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17.797933030163602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2.2737367544323206E-13</v>
      </c>
      <c r="BE74" s="14">
        <f>BD74*VLOOKUP('Données projet'!$B$11,Paramètres!$A$1:$I$88,3,0)*VLOOKUP('Données projet'!$B$11,Paramètres!$A$1:$I$88,5,0)</f>
        <v>1.3596945791505279E-13</v>
      </c>
      <c r="BF74" s="14">
        <f t="shared" si="91"/>
        <v>1.9708830566360721E-12</v>
      </c>
      <c r="BG74" s="22">
        <f t="shared" si="61"/>
        <v>3.669434796176543E-12</v>
      </c>
      <c r="BH74" s="62">
        <f t="shared" si="62"/>
        <v>293.33333333333701</v>
      </c>
      <c r="BI74" s="62">
        <f ca="1">AVERAGE(OFFSET($BH$3,0,0,'Données projet'!$E$11+1,1))-AVERAGE(OFFSET($H$3,0,0,'Données projet'!$E$11+1,1))</f>
        <v>311.82072478731385</v>
      </c>
      <c r="BJ74" s="62">
        <f t="shared" si="92"/>
        <v>356.36714671797864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127.56708485347188</v>
      </c>
      <c r="BQ74" s="23">
        <f>EXP(-LN(2)/25)*BQ73+(1-EXP(-LN(2)/25))/(LN(2)/25)*Calculateur!BL74*Calculateur!BN74*VLOOKUP('Données projet'!$B$11,Paramètres!$A$1:$I$88,3,0)*0.475*44/12</f>
        <v>34.355720600364961</v>
      </c>
      <c r="BR74" s="23">
        <f>EXP(-LN(2)/2)*BR73+(1-EXP(-LN(2)/2))/(LN(2)/2)*BL74*BO74*VLOOKUP('Données projet'!$B$11,Paramètres!$A$1:$I$88,3,0)*0.475*44/12</f>
        <v>0.65294255809826607</v>
      </c>
      <c r="BS74" s="24">
        <f t="shared" si="63"/>
        <v>162.5757480119351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projet'!$B$12,Paramètres!$A$1:$I$88,3,0)*VLOOKUP('Données projet'!$B$12,Paramètres!$A$1:$I$88,5,0)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218.39403703215032</v>
      </c>
      <c r="CE74" s="62">
        <f t="shared" si="94"/>
        <v>254.08208375594052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114.39979734212231</v>
      </c>
      <c r="CL74" s="23">
        <f>EXP(-LN(2)/25)*CL73+(1-EXP(-LN(2)/25))/(LN(2)/25)*Calculateur!CG74*Calculateur!CI74*VLOOKUP('Données projet'!$B$12,Paramètres!$A$1:$I$88,3,0)*0.475*44/12</f>
        <v>21.108513868426112</v>
      </c>
      <c r="CM74" s="23">
        <f>EXP(-LN(2)/2)*CM73+(1-EXP(-LN(2)/2))/(LN(2)/2)*CG74*CJ74*VLOOKUP('Données projet'!$B$12,Paramètres!$A$1:$I$88,3,0)*0.475*44/12</f>
        <v>0.45642463120090698</v>
      </c>
      <c r="CN74" s="24">
        <f t="shared" si="66"/>
        <v>135.96473584174933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projet'!$B$9,Paramètres!$A$1:$I$88,3,0)*VLOOKUP('Données projet'!$B$9,Paramètres!$A$1:$I$88,5,0)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373.09674935534343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12.443086872643539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12.443086872643539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9.4</v>
      </c>
      <c r="AI75" s="14">
        <f>IF('Données projet'!$A$62&gt;35,AI74+AH75-AQ74,IF(A75&lt;'Données projet'!$A$62,$AF$205^A75,IF(A75='Données projet'!$A$62,'Données projet'!$B$62,AI74+AH75-AQ74)))</f>
        <v>306.7999999999999</v>
      </c>
      <c r="AJ75" s="14">
        <f>AI75*VLOOKUP('Données projet'!$B$10,Paramètres!$A$1:$I$88,3,0)*VLOOKUP('Données projet'!$B$10,Paramètres!$A$1:$I$88,5,0)</f>
        <v>291.95087999999993</v>
      </c>
      <c r="AK75" s="14">
        <f t="shared" si="89"/>
        <v>69.486397133420212</v>
      </c>
      <c r="AL75" s="22">
        <f t="shared" si="58"/>
        <v>629.50325767404001</v>
      </c>
      <c r="AM75" s="62">
        <f t="shared" si="59"/>
        <v>922.83659100737327</v>
      </c>
      <c r="AN75" s="62">
        <f ca="1">AVERAGE(OFFSET($AM$3,0,0,'Données projet'!$E$10+1,1))-AVERAGE(OFFSET($H$3,0,0,'Données projet'!$E$10+1,1))</f>
        <v>509.66893546110458</v>
      </c>
      <c r="AO75" s="62">
        <f t="shared" si="90"/>
        <v>280.1645836141924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17.448926419109334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17.448926419109334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2.2737367544323206E-13</v>
      </c>
      <c r="BE75" s="14">
        <f>BD75*VLOOKUP('Données projet'!$B$11,Paramètres!$A$1:$I$88,3,0)*VLOOKUP('Données projet'!$B$11,Paramètres!$A$1:$I$88,5,0)</f>
        <v>1.3596945791505279E-13</v>
      </c>
      <c r="BF75" s="14">
        <f t="shared" si="91"/>
        <v>1.9708830566360721E-12</v>
      </c>
      <c r="BG75" s="22">
        <f t="shared" si="61"/>
        <v>3.669434796176543E-12</v>
      </c>
      <c r="BH75" s="62">
        <f t="shared" si="62"/>
        <v>293.33333333333701</v>
      </c>
      <c r="BI75" s="62">
        <f ca="1">AVERAGE(OFFSET($BH$3,0,0,'Données projet'!$E$11+1,1))-AVERAGE(OFFSET($H$3,0,0,'Données projet'!$E$11+1,1))</f>
        <v>311.82072478731385</v>
      </c>
      <c r="BJ75" s="62">
        <f t="shared" si="92"/>
        <v>356.36714671797864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125.06557212773413</v>
      </c>
      <c r="BQ75" s="23">
        <f>EXP(-LN(2)/25)*BQ74+(1-EXP(-LN(2)/25))/(LN(2)/25)*Calculateur!BL75*Calculateur!BN75*VLOOKUP('Données projet'!$B$11,Paramètres!$A$1:$I$88,3,0)*0.475*44/12</f>
        <v>33.416261613859156</v>
      </c>
      <c r="BR75" s="23">
        <f>EXP(-LN(2)/2)*BR74+(1-EXP(-LN(2)/2))/(LN(2)/2)*BL75*BO75*VLOOKUP('Données projet'!$B$11,Paramètres!$A$1:$I$88,3,0)*0.475*44/12</f>
        <v>0.46170011055657523</v>
      </c>
      <c r="BS75" s="24">
        <f t="shared" si="63"/>
        <v>158.94353385214984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projet'!$B$12,Paramètres!$A$1:$I$88,3,0)*VLOOKUP('Données projet'!$B$12,Paramètres!$A$1:$I$88,5,0)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218.39403703215032</v>
      </c>
      <c r="CE75" s="62">
        <f t="shared" si="94"/>
        <v>254.08208375594052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112.15648709322977</v>
      </c>
      <c r="CL75" s="23">
        <f>EXP(-LN(2)/25)*CL74+(1-EXP(-LN(2)/25))/(LN(2)/25)*Calculateur!CG75*Calculateur!CI75*VLOOKUP('Données projet'!$B$12,Paramètres!$A$1:$I$88,3,0)*0.475*44/12</f>
        <v>20.531300446645499</v>
      </c>
      <c r="CM75" s="23">
        <f>EXP(-LN(2)/2)*CM74+(1-EXP(-LN(2)/2))/(LN(2)/2)*CG75*CJ75*VLOOKUP('Données projet'!$B$12,Paramètres!$A$1:$I$88,3,0)*0.475*44/12</f>
        <v>0.32274095182273038</v>
      </c>
      <c r="CN75" s="24">
        <f t="shared" si="66"/>
        <v>133.01052849169801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projet'!$B$9,Paramètres!$A$1:$I$88,3,0)*VLOOKUP('Données projet'!$B$9,Paramètres!$A$1:$I$88,5,0)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373.09674935534343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12.199085528604588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12.199085528604588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9.4</v>
      </c>
      <c r="AI76" s="14">
        <f>IF('Données projet'!$A$62&gt;35,AI75+AH76-AQ75,IF(A76&lt;'Données projet'!$A$62,$AF$205^A76,IF(A76='Données projet'!$A$62,'Données projet'!$B$62,AI75+AH76-AQ75)))</f>
        <v>316.19999999999987</v>
      </c>
      <c r="AJ76" s="14">
        <f>AI76*VLOOKUP('Données projet'!$B$10,Paramètres!$A$1:$I$88,3,0)*VLOOKUP('Données projet'!$B$10,Paramètres!$A$1:$I$88,5,0)</f>
        <v>300.89591999999988</v>
      </c>
      <c r="AK76" s="14">
        <f t="shared" si="89"/>
        <v>71.364250111999624</v>
      </c>
      <c r="AL76" s="22">
        <f t="shared" si="58"/>
        <v>648.35312961173247</v>
      </c>
      <c r="AM76" s="62">
        <f t="shared" si="59"/>
        <v>941.68646294506584</v>
      </c>
      <c r="AN76" s="62">
        <f ca="1">AVERAGE(OFFSET($AM$3,0,0,'Données projet'!$E$10+1,1))-AVERAGE(OFFSET($H$3,0,0,'Données projet'!$E$10+1,1))</f>
        <v>509.66893546110458</v>
      </c>
      <c r="AO76" s="62">
        <f t="shared" si="90"/>
        <v>280.1645836141924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17.106763614824828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17.106763614824828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2.2737367544323206E-13</v>
      </c>
      <c r="BE76" s="14">
        <f>BD76*VLOOKUP('Données projet'!$B$11,Paramètres!$A$1:$I$88,3,0)*VLOOKUP('Données projet'!$B$11,Paramètres!$A$1:$I$88,5,0)</f>
        <v>1.3596945791505279E-13</v>
      </c>
      <c r="BF76" s="14">
        <f t="shared" si="91"/>
        <v>1.9708830566360721E-12</v>
      </c>
      <c r="BG76" s="22">
        <f t="shared" si="61"/>
        <v>3.669434796176543E-12</v>
      </c>
      <c r="BH76" s="62">
        <f t="shared" si="62"/>
        <v>293.33333333333701</v>
      </c>
      <c r="BI76" s="62">
        <f ca="1">AVERAGE(OFFSET($BH$3,0,0,'Données projet'!$E$11+1,1))-AVERAGE(OFFSET($H$3,0,0,'Données projet'!$E$11+1,1))</f>
        <v>311.82072478731385</v>
      </c>
      <c r="BJ76" s="62">
        <f t="shared" si="92"/>
        <v>356.36714671797864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122.61311254077599</v>
      </c>
      <c r="BQ76" s="23">
        <f>EXP(-LN(2)/25)*BQ75+(1-EXP(-LN(2)/25))/(LN(2)/25)*Calculateur!BL76*Calculateur!BN76*VLOOKUP('Données projet'!$B$11,Paramètres!$A$1:$I$88,3,0)*0.475*44/12</f>
        <v>32.502492182743353</v>
      </c>
      <c r="BR76" s="23">
        <f>EXP(-LN(2)/2)*BR75+(1-EXP(-LN(2)/2))/(LN(2)/2)*BL76*BO76*VLOOKUP('Données projet'!$B$11,Paramètres!$A$1:$I$88,3,0)*0.475*44/12</f>
        <v>0.32647127904913309</v>
      </c>
      <c r="BS76" s="24">
        <f t="shared" si="63"/>
        <v>155.44207600256848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projet'!$B$12,Paramètres!$A$1:$I$88,3,0)*VLOOKUP('Données projet'!$B$12,Paramètres!$A$1:$I$88,5,0)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218.39403703215032</v>
      </c>
      <c r="CE76" s="62">
        <f t="shared" si="94"/>
        <v>254.08208375594052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109.95716679003387</v>
      </c>
      <c r="CL76" s="23">
        <f>EXP(-LN(2)/25)*CL75+(1-EXP(-LN(2)/25))/(LN(2)/25)*Calculateur!CG76*Calculateur!CI76*VLOOKUP('Données projet'!$B$12,Paramètres!$A$1:$I$88,3,0)*0.475*44/12</f>
        <v>19.969870956237813</v>
      </c>
      <c r="CM76" s="23">
        <f>EXP(-LN(2)/2)*CM75+(1-EXP(-LN(2)/2))/(LN(2)/2)*CG76*CJ76*VLOOKUP('Données projet'!$B$12,Paramètres!$A$1:$I$88,3,0)*0.475*44/12</f>
        <v>0.22821231560045349</v>
      </c>
      <c r="CN76" s="24">
        <f t="shared" si="66"/>
        <v>130.15525006187212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projet'!$B$9,Paramètres!$A$1:$I$88,3,0)*VLOOKUP('Données projet'!$B$9,Paramètres!$A$1:$I$88,5,0)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373.09674935534343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11.959868902096115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11.959868902096115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9.4</v>
      </c>
      <c r="AI77" s="14">
        <f>IF('Données projet'!$A$62&gt;35,AI76+AH77-AQ76,IF(A77&lt;'Données projet'!$A$62,$AF$205^A77,IF(A77='Données projet'!$A$62,'Données projet'!$B$62,AI76+AH77-AQ76)))</f>
        <v>325.59999999999985</v>
      </c>
      <c r="AJ77" s="14">
        <f>AI77*VLOOKUP('Données projet'!$B$10,Paramètres!$A$1:$I$88,3,0)*VLOOKUP('Données projet'!$B$10,Paramètres!$A$1:$I$88,5,0)</f>
        <v>309.84095999999988</v>
      </c>
      <c r="AK77" s="14">
        <f t="shared" si="89"/>
        <v>73.235615297909121</v>
      </c>
      <c r="AL77" s="22">
        <f t="shared" si="58"/>
        <v>667.19170197719143</v>
      </c>
      <c r="AM77" s="62">
        <f t="shared" si="59"/>
        <v>960.5250353105248</v>
      </c>
      <c r="AN77" s="62">
        <f ca="1">AVERAGE(OFFSET($AM$3,0,0,'Données projet'!$E$10+1,1))-AVERAGE(OFFSET($H$3,0,0,'Données projet'!$E$10+1,1))</f>
        <v>509.66893546110458</v>
      </c>
      <c r="AO77" s="62">
        <f t="shared" si="90"/>
        <v>280.1645836141924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16.771310414433636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16.771310414433636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2.2737367544323206E-13</v>
      </c>
      <c r="BE77" s="14">
        <f>BD77*VLOOKUP('Données projet'!$B$11,Paramètres!$A$1:$I$88,3,0)*VLOOKUP('Données projet'!$B$11,Paramètres!$A$1:$I$88,5,0)</f>
        <v>1.3596945791505279E-13</v>
      </c>
      <c r="BF77" s="14">
        <f t="shared" si="91"/>
        <v>1.9708830566360721E-12</v>
      </c>
      <c r="BG77" s="22">
        <f t="shared" si="61"/>
        <v>3.669434796176543E-12</v>
      </c>
      <c r="BH77" s="62">
        <f t="shared" si="62"/>
        <v>293.33333333333701</v>
      </c>
      <c r="BI77" s="62">
        <f ca="1">AVERAGE(OFFSET($BH$3,0,0,'Données projet'!$E$11+1,1))-AVERAGE(OFFSET($H$3,0,0,'Données projet'!$E$11+1,1))</f>
        <v>311.82072478731385</v>
      </c>
      <c r="BJ77" s="62">
        <f t="shared" si="92"/>
        <v>356.36714671797864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120.20874419046545</v>
      </c>
      <c r="BQ77" s="23">
        <f>EXP(-LN(2)/25)*BQ76+(1-EXP(-LN(2)/25))/(LN(2)/25)*Calculateur!BL77*Calculateur!BN77*VLOOKUP('Données projet'!$B$11,Paramètres!$A$1:$I$88,3,0)*0.475*44/12</f>
        <v>31.613709824774457</v>
      </c>
      <c r="BR77" s="23">
        <f>EXP(-LN(2)/2)*BR76+(1-EXP(-LN(2)/2))/(LN(2)/2)*BL77*BO77*VLOOKUP('Données projet'!$B$11,Paramètres!$A$1:$I$88,3,0)*0.475*44/12</f>
        <v>0.23085005527828767</v>
      </c>
      <c r="BS77" s="24">
        <f t="shared" si="63"/>
        <v>152.05330407051821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projet'!$B$12,Paramètres!$A$1:$I$88,3,0)*VLOOKUP('Données projet'!$B$12,Paramètres!$A$1:$I$88,5,0)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218.39403703215032</v>
      </c>
      <c r="CE77" s="62">
        <f t="shared" si="94"/>
        <v>254.08208375594052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107.8009738165307</v>
      </c>
      <c r="CL77" s="23">
        <f>EXP(-LN(2)/25)*CL76+(1-EXP(-LN(2)/25))/(LN(2)/25)*Calculateur!CG77*Calculateur!CI77*VLOOKUP('Données projet'!$B$12,Paramètres!$A$1:$I$88,3,0)*0.475*44/12</f>
        <v>19.423793784769618</v>
      </c>
      <c r="CM77" s="23">
        <f>EXP(-LN(2)/2)*CM76+(1-EXP(-LN(2)/2))/(LN(2)/2)*CG77*CJ77*VLOOKUP('Données projet'!$B$12,Paramètres!$A$1:$I$88,3,0)*0.475*44/12</f>
        <v>0.16137047591136519</v>
      </c>
      <c r="CN77" s="24">
        <f t="shared" si="66"/>
        <v>127.38613807721168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projet'!$B$9,Paramètres!$A$1:$I$88,3,0)*VLOOKUP('Données projet'!$B$9,Paramètres!$A$1:$I$88,5,0)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373.09674935534343</v>
      </c>
      <c r="T78" s="62">
        <f t="shared" si="88"/>
        <v>231.36959598460686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projet'!$B$9,Paramètres!$A$1:$I$88,7,0))</f>
        <v>0.17200000000000001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15.338172480763644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15.338172480763644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335</v>
      </c>
      <c r="AG78" s="13">
        <f>VLOOKUP(A78,'Données projet'!$A$61:$I$81,9,0)</f>
        <v>9.4</v>
      </c>
      <c r="AH78" s="13">
        <f t="array" ref="AH78">INDEX(AG:AG,MIN(IF(ISNUMBER(AG78:AG274),ROW(AG78:AG274),"")))</f>
        <v>9.4</v>
      </c>
      <c r="AI78" s="14">
        <f>IF('Données projet'!$A$62&gt;35,AI77+AH78-AQ77,IF(A78&lt;'Données projet'!$A$62,$AF$205^A78,IF(A78='Données projet'!$A$62,'Données projet'!$B$62,AI77+AH78-AQ77)))</f>
        <v>334.99999999999983</v>
      </c>
      <c r="AJ78" s="14">
        <f>AI78*VLOOKUP('Données projet'!$B$10,Paramètres!$A$1:$I$88,3,0)*VLOOKUP('Données projet'!$B$10,Paramètres!$A$1:$I$88,5,0)</f>
        <v>318.78599999999983</v>
      </c>
      <c r="AK78" s="14">
        <f t="shared" si="89"/>
        <v>75.100701501983409</v>
      </c>
      <c r="AL78" s="22">
        <f t="shared" si="58"/>
        <v>686.01933844928737</v>
      </c>
      <c r="AM78" s="62">
        <f t="shared" si="59"/>
        <v>979.35267178262075</v>
      </c>
      <c r="AN78" s="62">
        <f ca="1">AVERAGE(OFFSET($AM$3,0,0,'Données projet'!$E$10+1,1))-AVERAGE(OFFSET($H$3,0,0,'Données projet'!$E$10+1,1))</f>
        <v>509.66893546110458</v>
      </c>
      <c r="AO78" s="62">
        <f t="shared" si="90"/>
        <v>280.1645836141924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projet'!$B$10,Paramètres!$A$1:$I$88,7,0))</f>
        <v>0.17200000000000001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21.508701639691548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21.508701639691548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2.2737367544323206E-13</v>
      </c>
      <c r="BE78" s="14">
        <f>BD78*VLOOKUP('Données projet'!$B$11,Paramètres!$A$1:$I$88,3,0)*VLOOKUP('Données projet'!$B$11,Paramètres!$A$1:$I$88,5,0)</f>
        <v>1.3596945791505279E-13</v>
      </c>
      <c r="BF78" s="14">
        <f t="shared" si="91"/>
        <v>1.9708830566360721E-12</v>
      </c>
      <c r="BG78" s="22">
        <f t="shared" si="61"/>
        <v>3.669434796176543E-12</v>
      </c>
      <c r="BH78" s="62">
        <f t="shared" si="62"/>
        <v>293.33333333333701</v>
      </c>
      <c r="BI78" s="62">
        <f ca="1">AVERAGE(OFFSET($BH$3,0,0,'Données projet'!$E$11+1,1))-AVERAGE(OFFSET($H$3,0,0,'Données projet'!$E$11+1,1))</f>
        <v>311.82072478731385</v>
      </c>
      <c r="BJ78" s="62">
        <f t="shared" si="92"/>
        <v>356.36714671797864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117.85152403698463</v>
      </c>
      <c r="BQ78" s="23">
        <f>EXP(-LN(2)/25)*BQ77+(1-EXP(-LN(2)/25))/(LN(2)/25)*Calculateur!BL78*Calculateur!BN78*VLOOKUP('Données projet'!$B$11,Paramètres!$A$1:$I$88,3,0)*0.475*44/12</f>
        <v>30.749231267123253</v>
      </c>
      <c r="BR78" s="23">
        <f>EXP(-LN(2)/2)*BR77+(1-EXP(-LN(2)/2))/(LN(2)/2)*BL78*BO78*VLOOKUP('Données projet'!$B$11,Paramètres!$A$1:$I$88,3,0)*0.475*44/12</f>
        <v>0.16323563952456657</v>
      </c>
      <c r="BS78" s="24">
        <f t="shared" si="63"/>
        <v>148.76399094363245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projet'!$B$12,Paramètres!$A$1:$I$88,3,0)*VLOOKUP('Données projet'!$B$12,Paramètres!$A$1:$I$88,5,0)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218.39403703215032</v>
      </c>
      <c r="CE78" s="62">
        <f t="shared" si="94"/>
        <v>254.08208375594052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105.68706247209008</v>
      </c>
      <c r="CL78" s="23">
        <f>EXP(-LN(2)/25)*CL77+(1-EXP(-LN(2)/25))/(LN(2)/25)*Calculateur!CG78*Calculateur!CI78*VLOOKUP('Données projet'!$B$12,Paramètres!$A$1:$I$88,3,0)*0.475*44/12</f>
        <v>18.892649122272172</v>
      </c>
      <c r="CM78" s="23">
        <f>EXP(-LN(2)/2)*CM77+(1-EXP(-LN(2)/2))/(LN(2)/2)*CG78*CJ78*VLOOKUP('Données projet'!$B$12,Paramètres!$A$1:$I$88,3,0)*0.475*44/12</f>
        <v>0.11410615780022675</v>
      </c>
      <c r="CN78" s="24">
        <f t="shared" si="66"/>
        <v>124.69381775216247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projet'!$B$9,Paramètres!$A$1:$I$88,3,0)*VLOOKUP('Données projet'!$B$9,Paramètres!$A$1:$I$88,5,0)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373.09674935534343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15.037400273777317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15.037400273777317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8.8000000000000007</v>
      </c>
      <c r="AI79" s="14">
        <f>IF('Données projet'!$A$62&gt;35,AI78+AH79-AQ78,IF(A79&lt;'Données projet'!$A$62,$AF$205^A79,IF(A79='Données projet'!$A$62,'Données projet'!$B$62,AI78+AH79-AQ78)))</f>
        <v>315.79999999999984</v>
      </c>
      <c r="AJ79" s="14">
        <f>AI79*VLOOKUP('Données projet'!$B$10,Paramètres!$A$1:$I$88,3,0)*VLOOKUP('Données projet'!$B$10,Paramètres!$A$1:$I$88,5,0)</f>
        <v>300.51527999999985</v>
      </c>
      <c r="AK79" s="14">
        <f t="shared" si="89"/>
        <v>71.284475164313477</v>
      </c>
      <c r="AL79" s="22">
        <f t="shared" si="58"/>
        <v>647.55124024451231</v>
      </c>
      <c r="AM79" s="62">
        <f t="shared" si="59"/>
        <v>940.88457357784569</v>
      </c>
      <c r="AN79" s="62">
        <f ca="1">AVERAGE(OFFSET($AM$3,0,0,'Données projet'!$E$10+1,1))-AVERAGE(OFFSET($H$3,0,0,'Données projet'!$E$10+1,1))</f>
        <v>509.66893546110458</v>
      </c>
      <c r="AO79" s="62">
        <f t="shared" si="90"/>
        <v>280.1645836141924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21.086929119549801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21.086929119549801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2.2737367544323206E-13</v>
      </c>
      <c r="BE79" s="14">
        <f>BD79*VLOOKUP('Données projet'!$B$11,Paramètres!$A$1:$I$88,3,0)*VLOOKUP('Données projet'!$B$11,Paramètres!$A$1:$I$88,5,0)</f>
        <v>1.3596945791505279E-13</v>
      </c>
      <c r="BF79" s="14">
        <f t="shared" si="91"/>
        <v>1.9708830566360721E-12</v>
      </c>
      <c r="BG79" s="22">
        <f t="shared" si="61"/>
        <v>3.669434796176543E-12</v>
      </c>
      <c r="BH79" s="62">
        <f t="shared" si="62"/>
        <v>293.33333333333701</v>
      </c>
      <c r="BI79" s="62">
        <f ca="1">AVERAGE(OFFSET($BH$3,0,0,'Données projet'!$E$11+1,1))-AVERAGE(OFFSET($H$3,0,0,'Données projet'!$E$11+1,1))</f>
        <v>311.82072478731385</v>
      </c>
      <c r="BJ79" s="62">
        <f t="shared" si="92"/>
        <v>356.36714671797864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115.54052753295123</v>
      </c>
      <c r="BQ79" s="23">
        <f>EXP(-LN(2)/25)*BQ78+(1-EXP(-LN(2)/25))/(LN(2)/25)*Calculateur!BL79*Calculateur!BN79*VLOOKUP('Données projet'!$B$11,Paramètres!$A$1:$I$88,3,0)*0.475*44/12</f>
        <v>29.908391921091972</v>
      </c>
      <c r="BR79" s="23">
        <f>EXP(-LN(2)/2)*BR78+(1-EXP(-LN(2)/2))/(LN(2)/2)*BL79*BO79*VLOOKUP('Données projet'!$B$11,Paramètres!$A$1:$I$88,3,0)*0.475*44/12</f>
        <v>0.11542502763914385</v>
      </c>
      <c r="BS79" s="24">
        <f t="shared" si="63"/>
        <v>145.56434448168233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projet'!$B$12,Paramètres!$A$1:$I$88,3,0)*VLOOKUP('Données projet'!$B$12,Paramètres!$A$1:$I$88,5,0)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218.39403703215032</v>
      </c>
      <c r="CE79" s="62">
        <f t="shared" si="94"/>
        <v>254.08208375594052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103.61460363975533</v>
      </c>
      <c r="CL79" s="23">
        <f>EXP(-LN(2)/25)*CL78+(1-EXP(-LN(2)/25))/(LN(2)/25)*Calculateur!CG79*Calculateur!CI79*VLOOKUP('Données projet'!$B$12,Paramètres!$A$1:$I$88,3,0)*0.475*44/12</f>
        <v>18.376028638502401</v>
      </c>
      <c r="CM79" s="23">
        <f>EXP(-LN(2)/2)*CM78+(1-EXP(-LN(2)/2))/(LN(2)/2)*CG79*CJ79*VLOOKUP('Données projet'!$B$12,Paramètres!$A$1:$I$88,3,0)*0.475*44/12</f>
        <v>8.0685237955682595E-2</v>
      </c>
      <c r="CN79" s="24">
        <f t="shared" si="66"/>
        <v>122.07131751621341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projet'!$B$9,Paramètres!$A$1:$I$88,3,0)*VLOOKUP('Données projet'!$B$9,Paramètres!$A$1:$I$88,5,0)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373.09674935534343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14.74252602631706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14.74252602631706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8.8000000000000007</v>
      </c>
      <c r="AI80" s="14">
        <f>IF('Données projet'!$A$62&gt;35,AI79+AH80-AQ79,IF(A80&lt;'Données projet'!$A$62,$AF$205^A80,IF(A80='Données projet'!$A$62,'Données projet'!$B$62,AI79+AH80-AQ79)))</f>
        <v>324.59999999999985</v>
      </c>
      <c r="AJ80" s="14">
        <f>AI80*VLOOKUP('Données projet'!$B$10,Paramètres!$A$1:$I$88,3,0)*VLOOKUP('Données projet'!$B$10,Paramètres!$A$1:$I$88,5,0)</f>
        <v>308.8893599999999</v>
      </c>
      <c r="AK80" s="14">
        <f t="shared" si="89"/>
        <v>73.036835906602604</v>
      </c>
      <c r="AL80" s="22">
        <f t="shared" si="58"/>
        <v>665.18812453733278</v>
      </c>
      <c r="AM80" s="62">
        <f t="shared" si="59"/>
        <v>958.52145787066615</v>
      </c>
      <c r="AN80" s="62">
        <f ca="1">AVERAGE(OFFSET($AM$3,0,0,'Données projet'!$E$10+1,1))-AVERAGE(OFFSET($H$3,0,0,'Données projet'!$E$10+1,1))</f>
        <v>509.66893546110458</v>
      </c>
      <c r="AO80" s="62">
        <f t="shared" si="90"/>
        <v>280.1645836141924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20.673427301272199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20.673427301272199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2.2737367544323206E-13</v>
      </c>
      <c r="BE80" s="14">
        <f>BD80*VLOOKUP('Données projet'!$B$11,Paramètres!$A$1:$I$88,3,0)*VLOOKUP('Données projet'!$B$11,Paramètres!$A$1:$I$88,5,0)</f>
        <v>1.3596945791505279E-13</v>
      </c>
      <c r="BF80" s="14">
        <f t="shared" si="91"/>
        <v>1.9708830566360721E-12</v>
      </c>
      <c r="BG80" s="22">
        <f t="shared" si="61"/>
        <v>3.669434796176543E-12</v>
      </c>
      <c r="BH80" s="62">
        <f t="shared" si="62"/>
        <v>293.33333333333701</v>
      </c>
      <c r="BI80" s="62">
        <f ca="1">AVERAGE(OFFSET($BH$3,0,0,'Données projet'!$E$11+1,1))-AVERAGE(OFFSET($H$3,0,0,'Données projet'!$E$11+1,1))</f>
        <v>311.82072478731385</v>
      </c>
      <c r="BJ80" s="62">
        <f t="shared" si="92"/>
        <v>356.36714671797864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113.27484826079325</v>
      </c>
      <c r="BQ80" s="23">
        <f>EXP(-LN(2)/25)*BQ79+(1-EXP(-LN(2)/25))/(LN(2)/25)*Calculateur!BL80*Calculateur!BN80*VLOOKUP('Données projet'!$B$11,Paramètres!$A$1:$I$88,3,0)*0.475*44/12</f>
        <v>29.090545371195738</v>
      </c>
      <c r="BR80" s="23">
        <f>EXP(-LN(2)/2)*BR79+(1-EXP(-LN(2)/2))/(LN(2)/2)*BL80*BO80*VLOOKUP('Données projet'!$B$11,Paramètres!$A$1:$I$88,3,0)*0.475*44/12</f>
        <v>8.16178197622833E-2</v>
      </c>
      <c r="BS80" s="24">
        <f t="shared" si="63"/>
        <v>142.44701145175125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projet'!$B$12,Paramètres!$A$1:$I$88,3,0)*VLOOKUP('Données projet'!$B$12,Paramètres!$A$1:$I$88,5,0)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218.39403703215032</v>
      </c>
      <c r="CE80" s="62">
        <f t="shared" si="94"/>
        <v>254.08208375594052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101.58278446104759</v>
      </c>
      <c r="CL80" s="23">
        <f>EXP(-LN(2)/25)*CL79+(1-EXP(-LN(2)/25))/(LN(2)/25)*Calculateur!CG80*Calculateur!CI80*VLOOKUP('Données projet'!$B$12,Paramètres!$A$1:$I$88,3,0)*0.475*44/12</f>
        <v>17.873535169029207</v>
      </c>
      <c r="CM80" s="23">
        <f>EXP(-LN(2)/2)*CM79+(1-EXP(-LN(2)/2))/(LN(2)/2)*CG80*CJ80*VLOOKUP('Données projet'!$B$12,Paramètres!$A$1:$I$88,3,0)*0.475*44/12</f>
        <v>5.7053078900113373E-2</v>
      </c>
      <c r="CN80" s="24">
        <f t="shared" si="66"/>
        <v>119.51337270897692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projet'!$B$9,Paramètres!$A$1:$I$88,3,0)*VLOOKUP('Données projet'!$B$9,Paramètres!$A$1:$I$88,5,0)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373.09674935534343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14.453434082993967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14.453434082993967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8.8000000000000007</v>
      </c>
      <c r="AI81" s="14">
        <f>IF('Données projet'!$A$62&gt;35,AI80+AH81-AQ80,IF(A81&lt;'Données projet'!$A$62,$AF$205^A81,IF(A81='Données projet'!$A$62,'Données projet'!$B$62,AI80+AH81-AQ80)))</f>
        <v>333.39999999999986</v>
      </c>
      <c r="AJ81" s="14">
        <f>AI81*VLOOKUP('Données projet'!$B$10,Paramètres!$A$1:$I$88,3,0)*VLOOKUP('Données projet'!$B$10,Paramètres!$A$1:$I$88,5,0)</f>
        <v>317.26343999999989</v>
      </c>
      <c r="AK81" s="14">
        <f t="shared" si="89"/>
        <v>74.78367483437502</v>
      </c>
      <c r="AL81" s="22">
        <f t="shared" si="58"/>
        <v>682.81539166986965</v>
      </c>
      <c r="AM81" s="62">
        <f t="shared" si="59"/>
        <v>976.14872500320303</v>
      </c>
      <c r="AN81" s="62">
        <f ca="1">AVERAGE(OFFSET($AM$3,0,0,'Données projet'!$E$10+1,1))-AVERAGE(OFFSET($H$3,0,0,'Données projet'!$E$10+1,1))</f>
        <v>509.66893546110458</v>
      </c>
      <c r="AO81" s="62">
        <f t="shared" si="90"/>
        <v>280.1645836141924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20.268034001439815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20.268034001439815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2.2737367544323206E-13</v>
      </c>
      <c r="BE81" s="14">
        <f>BD81*VLOOKUP('Données projet'!$B$11,Paramètres!$A$1:$I$88,3,0)*VLOOKUP('Données projet'!$B$11,Paramètres!$A$1:$I$88,5,0)</f>
        <v>1.3596945791505279E-13</v>
      </c>
      <c r="BF81" s="14">
        <f t="shared" si="91"/>
        <v>1.9708830566360721E-12</v>
      </c>
      <c r="BG81" s="22">
        <f t="shared" si="61"/>
        <v>3.669434796176543E-12</v>
      </c>
      <c r="BH81" s="62">
        <f t="shared" si="62"/>
        <v>293.33333333333701</v>
      </c>
      <c r="BI81" s="62">
        <f ca="1">AVERAGE(OFFSET($BH$3,0,0,'Données projet'!$E$11+1,1))-AVERAGE(OFFSET($H$3,0,0,'Données projet'!$E$11+1,1))</f>
        <v>311.82072478731385</v>
      </c>
      <c r="BJ81" s="62">
        <f t="shared" si="92"/>
        <v>356.36714671797864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111.05359757723438</v>
      </c>
      <c r="BQ81" s="23">
        <f>EXP(-LN(2)/25)*BQ80+(1-EXP(-LN(2)/25))/(LN(2)/25)*Calculateur!BL81*Calculateur!BN81*VLOOKUP('Données projet'!$B$11,Paramètres!$A$1:$I$88,3,0)*0.475*44/12</f>
        <v>28.295062878215095</v>
      </c>
      <c r="BR81" s="23">
        <f>EXP(-LN(2)/2)*BR80+(1-EXP(-LN(2)/2))/(LN(2)/2)*BL81*BO81*VLOOKUP('Données projet'!$B$11,Paramètres!$A$1:$I$88,3,0)*0.475*44/12</f>
        <v>5.7712513819571938E-2</v>
      </c>
      <c r="BS81" s="24">
        <f t="shared" si="63"/>
        <v>139.40637296926906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projet'!$B$12,Paramètres!$A$1:$I$88,3,0)*VLOOKUP('Données projet'!$B$12,Paramètres!$A$1:$I$88,5,0)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218.39403703215032</v>
      </c>
      <c r="CE81" s="62">
        <f t="shared" si="94"/>
        <v>254.08208375594052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99.590808017146998</v>
      </c>
      <c r="CL81" s="23">
        <f>EXP(-LN(2)/25)*CL80+(1-EXP(-LN(2)/25))/(LN(2)/25)*Calculateur!CG81*Calculateur!CI81*VLOOKUP('Données projet'!$B$12,Paramètres!$A$1:$I$88,3,0)*0.475*44/12</f>
        <v>17.384782409903739</v>
      </c>
      <c r="CM81" s="23">
        <f>EXP(-LN(2)/2)*CM80+(1-EXP(-LN(2)/2))/(LN(2)/2)*CG81*CJ81*VLOOKUP('Données projet'!$B$12,Paramètres!$A$1:$I$88,3,0)*0.475*44/12</f>
        <v>4.0342618977841298E-2</v>
      </c>
      <c r="CN81" s="24">
        <f t="shared" si="66"/>
        <v>117.01593304602858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projet'!$B$9,Paramètres!$A$1:$I$88,3,0)*VLOOKUP('Données projet'!$B$9,Paramètres!$A$1:$I$88,5,0)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373.09674935534343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14.170011056350765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14.170011056350765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8.8000000000000007</v>
      </c>
      <c r="AI82" s="14">
        <f>IF('Données projet'!$A$62&gt;35,AI81+AH82-AQ81,IF(A82&lt;'Données projet'!$A$62,$AF$205^A82,IF(A82='Données projet'!$A$62,'Données projet'!$B$62,AI81+AH82-AQ81)))</f>
        <v>342.19999999999987</v>
      </c>
      <c r="AJ82" s="14">
        <f>AI82*VLOOKUP('Données projet'!$B$10,Paramètres!$A$1:$I$88,3,0)*VLOOKUP('Données projet'!$B$10,Paramètres!$A$1:$I$88,5,0)</f>
        <v>325.63751999999988</v>
      </c>
      <c r="AK82" s="14">
        <f t="shared" si="89"/>
        <v>76.525154447806031</v>
      </c>
      <c r="AL82" s="22">
        <f t="shared" si="58"/>
        <v>700.43332466326183</v>
      </c>
      <c r="AM82" s="62">
        <f t="shared" si="59"/>
        <v>993.76665799659509</v>
      </c>
      <c r="AN82" s="62">
        <f ca="1">AVERAGE(OFFSET($AM$3,0,0,'Données projet'!$E$10+1,1))-AVERAGE(OFFSET($H$3,0,0,'Données projet'!$E$10+1,1))</f>
        <v>509.66893546110458</v>
      </c>
      <c r="AO82" s="62">
        <f t="shared" si="90"/>
        <v>280.1645836141924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19.870590216951648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19.870590216951648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2.2737367544323206E-13</v>
      </c>
      <c r="BE82" s="14">
        <f>BD82*VLOOKUP('Données projet'!$B$11,Paramètres!$A$1:$I$88,3,0)*VLOOKUP('Données projet'!$B$11,Paramètres!$A$1:$I$88,5,0)</f>
        <v>1.3596945791505279E-13</v>
      </c>
      <c r="BF82" s="14">
        <f t="shared" si="91"/>
        <v>1.9708830566360721E-12</v>
      </c>
      <c r="BG82" s="22">
        <f t="shared" si="61"/>
        <v>3.669434796176543E-12</v>
      </c>
      <c r="BH82" s="62">
        <f t="shared" si="62"/>
        <v>293.33333333333701</v>
      </c>
      <c r="BI82" s="62">
        <f ca="1">AVERAGE(OFFSET($BH$3,0,0,'Données projet'!$E$11+1,1))-AVERAGE(OFFSET($H$3,0,0,'Données projet'!$E$11+1,1))</f>
        <v>311.82072478731385</v>
      </c>
      <c r="BJ82" s="62">
        <f t="shared" si="92"/>
        <v>356.36714671797864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108.87590426475097</v>
      </c>
      <c r="BQ82" s="23">
        <f>EXP(-LN(2)/25)*BQ81+(1-EXP(-LN(2)/25))/(LN(2)/25)*Calculateur!BL82*Calculateur!BN82*VLOOKUP('Données projet'!$B$11,Paramètres!$A$1:$I$88,3,0)*0.475*44/12</f>
        <v>27.521332895837617</v>
      </c>
      <c r="BR82" s="23">
        <f>EXP(-LN(2)/2)*BR81+(1-EXP(-LN(2)/2))/(LN(2)/2)*BL82*BO82*VLOOKUP('Données projet'!$B$11,Paramètres!$A$1:$I$88,3,0)*0.475*44/12</f>
        <v>4.0808909881141657E-2</v>
      </c>
      <c r="BS82" s="24">
        <f t="shared" si="63"/>
        <v>136.43804607046974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projet'!$B$12,Paramètres!$A$1:$I$88,3,0)*VLOOKUP('Données projet'!$B$12,Paramètres!$A$1:$I$88,5,0)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218.39403703215032</v>
      </c>
      <c r="CE82" s="62">
        <f t="shared" si="94"/>
        <v>254.08208375594052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97.63789301632562</v>
      </c>
      <c r="CL82" s="23">
        <f>EXP(-LN(2)/25)*CL81+(1-EXP(-LN(2)/25))/(LN(2)/25)*Calculateur!CG82*Calculateur!CI82*VLOOKUP('Données projet'!$B$12,Paramètres!$A$1:$I$88,3,0)*0.475*44/12</f>
        <v>16.909394620678949</v>
      </c>
      <c r="CM82" s="23">
        <f>EXP(-LN(2)/2)*CM81+(1-EXP(-LN(2)/2))/(LN(2)/2)*CG82*CJ82*VLOOKUP('Données projet'!$B$12,Paramètres!$A$1:$I$88,3,0)*0.475*44/12</f>
        <v>2.8526539450056686E-2</v>
      </c>
      <c r="CN82" s="24">
        <f t="shared" si="66"/>
        <v>114.57581417645463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projet'!$B$9,Paramètres!$A$1:$I$88,3,0)*VLOOKUP('Données projet'!$B$9,Paramètres!$A$1:$I$88,5,0)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373.09674935534343</v>
      </c>
      <c r="T83" s="62">
        <f t="shared" si="88"/>
        <v>231.36959598460686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projet'!$B$9,Paramètres!$A$1:$I$88,7,0))</f>
        <v>0.215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18.408182423686441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18.408182423686441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351</v>
      </c>
      <c r="AG83" s="13">
        <f>VLOOKUP(A83,'Données projet'!$A$61:$I$81,9,0)</f>
        <v>8.8000000000000007</v>
      </c>
      <c r="AH83" s="13">
        <f t="array" ref="AH83">INDEX(AG:AG,MIN(IF(ISNUMBER(AG83:AG279),ROW(AG83:AG279),"")))</f>
        <v>8.8000000000000007</v>
      </c>
      <c r="AI83" s="14">
        <f>IF('Données projet'!$A$62&gt;35,AI82+AH83-AQ82,IF(A83&lt;'Données projet'!$A$62,$AF$205^A83,IF(A83='Données projet'!$A$62,'Données projet'!$B$62,AI82+AH83-AQ82)))</f>
        <v>350.99999999999989</v>
      </c>
      <c r="AJ83" s="14">
        <f>AI83*VLOOKUP('Données projet'!$B$10,Paramètres!$A$1:$I$88,3,0)*VLOOKUP('Données projet'!$B$10,Paramètres!$A$1:$I$88,5,0)</f>
        <v>334.01159999999987</v>
      </c>
      <c r="AK83" s="14">
        <f t="shared" si="89"/>
        <v>78.261428413244502</v>
      </c>
      <c r="AL83" s="22">
        <f t="shared" si="58"/>
        <v>718.04219115306739</v>
      </c>
      <c r="AM83" s="62">
        <f t="shared" si="59"/>
        <v>1011.3755244864008</v>
      </c>
      <c r="AN83" s="62">
        <f ca="1">AVERAGE(OFFSET($AM$3,0,0,'Données projet'!$E$10+1,1))-AVERAGE(OFFSET($H$3,0,0,'Données projet'!$E$10+1,1))</f>
        <v>509.66893546110458</v>
      </c>
      <c r="AO83" s="62">
        <f t="shared" si="90"/>
        <v>280.1645836141924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projet'!$B$10,Paramètres!$A$1:$I$88,7,0))</f>
        <v>0.215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25.813773053905123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25.813773053905123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2.2737367544323206E-13</v>
      </c>
      <c r="BE83" s="14">
        <f>BD83*VLOOKUP('Données projet'!$B$11,Paramètres!$A$1:$I$88,3,0)*VLOOKUP('Données projet'!$B$11,Paramètres!$A$1:$I$88,5,0)</f>
        <v>1.3596945791505279E-13</v>
      </c>
      <c r="BF83" s="14">
        <f t="shared" si="91"/>
        <v>1.9708830566360721E-12</v>
      </c>
      <c r="BG83" s="22">
        <f t="shared" si="61"/>
        <v>3.669434796176543E-12</v>
      </c>
      <c r="BH83" s="62">
        <f t="shared" si="62"/>
        <v>293.33333333333701</v>
      </c>
      <c r="BI83" s="62">
        <f ca="1">AVERAGE(OFFSET($BH$3,0,0,'Données projet'!$E$11+1,1))-AVERAGE(OFFSET($H$3,0,0,'Données projet'!$E$11+1,1))</f>
        <v>311.82072478731385</v>
      </c>
      <c r="BJ83" s="62">
        <f t="shared" si="92"/>
        <v>356.36714671797864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106.74091418986359</v>
      </c>
      <c r="BQ83" s="23">
        <f>EXP(-LN(2)/25)*BQ82+(1-EXP(-LN(2)/25))/(LN(2)/25)*Calculateur!BL83*Calculateur!BN83*VLOOKUP('Données projet'!$B$11,Paramètres!$A$1:$I$88,3,0)*0.475*44/12</f>
        <v>26.768760600516941</v>
      </c>
      <c r="BR83" s="23">
        <f>EXP(-LN(2)/2)*BR82+(1-EXP(-LN(2)/2))/(LN(2)/2)*BL83*BO83*VLOOKUP('Données projet'!$B$11,Paramètres!$A$1:$I$88,3,0)*0.475*44/12</f>
        <v>2.8856256909785973E-2</v>
      </c>
      <c r="BS83" s="24">
        <f t="shared" si="63"/>
        <v>133.53853104729032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projet'!$B$12,Paramètres!$A$1:$I$88,3,0)*VLOOKUP('Données projet'!$B$12,Paramètres!$A$1:$I$88,5,0)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218.39403703215032</v>
      </c>
      <c r="CE83" s="62">
        <f t="shared" si="94"/>
        <v>254.08208375594052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95.723273487509815</v>
      </c>
      <c r="CL83" s="23">
        <f>EXP(-LN(2)/25)*CL82+(1-EXP(-LN(2)/25))/(LN(2)/25)*Calculateur!CG83*Calculateur!CI83*VLOOKUP('Données projet'!$B$12,Paramètres!$A$1:$I$88,3,0)*0.475*44/12</f>
        <v>16.447006335550068</v>
      </c>
      <c r="CM83" s="23">
        <f>EXP(-LN(2)/2)*CM82+(1-EXP(-LN(2)/2))/(LN(2)/2)*CG83*CJ83*VLOOKUP('Données projet'!$B$12,Paramètres!$A$1:$I$88,3,0)*0.475*44/12</f>
        <v>2.0171309488920649E-2</v>
      </c>
      <c r="CN83" s="24">
        <f t="shared" si="66"/>
        <v>112.1904511325488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projet'!$B$9,Paramètres!$A$1:$I$88,3,0)*VLOOKUP('Données projet'!$B$9,Paramètres!$A$1:$I$88,5,0)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373.09674935534343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18.047209194240565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18.047209194240565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8.4</v>
      </c>
      <c r="AI84" s="14">
        <f>IF('Données projet'!$A$62&gt;35,AI83+AH84-AQ83,IF(A84&lt;'Données projet'!$A$62,$AF$205^A84,IF(A84='Données projet'!$A$62,'Données projet'!$B$62,AI83+AH84-AQ83)))</f>
        <v>331.39999999999986</v>
      </c>
      <c r="AJ84" s="14">
        <f>AI84*VLOOKUP('Données projet'!$B$10,Paramètres!$A$1:$I$88,3,0)*VLOOKUP('Données projet'!$B$10,Paramètres!$A$1:$I$88,5,0)</f>
        <v>315.36023999999986</v>
      </c>
      <c r="AK84" s="14">
        <f t="shared" si="89"/>
        <v>74.387142279662555</v>
      </c>
      <c r="AL84" s="22">
        <f t="shared" si="58"/>
        <v>678.81002413707859</v>
      </c>
      <c r="AM84" s="62">
        <f t="shared" si="59"/>
        <v>972.14335747041196</v>
      </c>
      <c r="AN84" s="62">
        <f ca="1">AVERAGE(OFFSET($AM$3,0,0,'Données projet'!$E$10+1,1))-AVERAGE(OFFSET($H$3,0,0,'Données projet'!$E$10+1,1))</f>
        <v>509.66893546110458</v>
      </c>
      <c r="AO84" s="62">
        <f t="shared" si="90"/>
        <v>280.1645836141924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25.307580709164931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25.307580709164931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projet'!$B$11,Paramètres!$A$1:$I$88,3,0)*VLOOKUP('Données projet'!$B$11,Paramètres!$A$1:$I$88,5,0)</f>
        <v>1.3596945791505279E-13</v>
      </c>
      <c r="BF84" s="14">
        <f t="shared" si="91"/>
        <v>1.9708830566360721E-12</v>
      </c>
      <c r="BG84" s="22">
        <f t="shared" si="61"/>
        <v>3.669434796176543E-12</v>
      </c>
      <c r="BH84" s="62">
        <f t="shared" si="62"/>
        <v>293.33333333333701</v>
      </c>
      <c r="BI84" s="62">
        <f ca="1">AVERAGE(OFFSET($BH$3,0,0,'Données projet'!$E$11+1,1))-AVERAGE(OFFSET($H$3,0,0,'Données projet'!$E$11+1,1))</f>
        <v>311.82072478731385</v>
      </c>
      <c r="BJ84" s="62">
        <f t="shared" si="92"/>
        <v>356.36714671797864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104.64778996812939</v>
      </c>
      <c r="BQ84" s="23">
        <f>EXP(-LN(2)/25)*BQ83+(1-EXP(-LN(2)/25))/(LN(2)/25)*Calculateur!BL84*Calculateur!BN84*VLOOKUP('Données projet'!$B$11,Paramètres!$A$1:$I$88,3,0)*0.475*44/12</f>
        <v>26.036767434187865</v>
      </c>
      <c r="BR84" s="23">
        <f>EXP(-LN(2)/2)*BR83+(1-EXP(-LN(2)/2))/(LN(2)/2)*BL84*BO84*VLOOKUP('Données projet'!$B$11,Paramètres!$A$1:$I$88,3,0)*0.475*44/12</f>
        <v>2.0404454940570832E-2</v>
      </c>
      <c r="BS84" s="24">
        <f t="shared" si="63"/>
        <v>130.70496185725781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projet'!$B$12,Paramètres!$A$1:$I$88,3,0)*VLOOKUP('Données projet'!$B$12,Paramètres!$A$1:$I$88,5,0)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218.39403703215032</v>
      </c>
      <c r="CE84" s="62">
        <f t="shared" si="94"/>
        <v>254.08208375594052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93.846198479851495</v>
      </c>
      <c r="CL84" s="23">
        <f>EXP(-LN(2)/25)*CL83+(1-EXP(-LN(2)/25))/(LN(2)/25)*Calculateur!CG84*Calculateur!CI84*VLOOKUP('Données projet'!$B$12,Paramètres!$A$1:$I$88,3,0)*0.475*44/12</f>
        <v>15.997262082393979</v>
      </c>
      <c r="CM84" s="23">
        <f>EXP(-LN(2)/2)*CM83+(1-EXP(-LN(2)/2))/(LN(2)/2)*CG84*CJ84*VLOOKUP('Données projet'!$B$12,Paramètres!$A$1:$I$88,3,0)*0.475*44/12</f>
        <v>1.4263269725028343E-2</v>
      </c>
      <c r="CN84" s="24">
        <f t="shared" si="66"/>
        <v>109.8577238319705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projet'!$B$9,Paramètres!$A$1:$I$88,3,0)*VLOOKUP('Données projet'!$B$9,Paramètres!$A$1:$I$88,5,0)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373.09674935534343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17.693314429652194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17.693314429652194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8.4</v>
      </c>
      <c r="AI85" s="14">
        <f>IF('Données projet'!$A$62&gt;35,AI84+AH85-AQ84,IF(A85&lt;'Données projet'!$A$62,$AF$205^A85,IF(A85='Données projet'!$A$62,'Données projet'!$B$62,AI84+AH85-AQ84)))</f>
        <v>339.79999999999984</v>
      </c>
      <c r="AJ85" s="14">
        <f>AI85*VLOOKUP('Données projet'!$B$10,Paramètres!$A$1:$I$88,3,0)*VLOOKUP('Données projet'!$B$10,Paramètres!$A$1:$I$88,5,0)</f>
        <v>323.35367999999988</v>
      </c>
      <c r="AK85" s="14">
        <f t="shared" si="89"/>
        <v>76.050728036851496</v>
      </c>
      <c r="AL85" s="22">
        <f t="shared" si="58"/>
        <v>695.62934399751612</v>
      </c>
      <c r="AM85" s="62">
        <f t="shared" si="59"/>
        <v>988.96267733084937</v>
      </c>
      <c r="AN85" s="62">
        <f ca="1">AVERAGE(OFFSET($AM$3,0,0,'Données projet'!$E$10+1,1))-AVERAGE(OFFSET($H$3,0,0,'Données projet'!$E$10+1,1))</f>
        <v>509.66893546110458</v>
      </c>
      <c r="AO85" s="62">
        <f t="shared" si="90"/>
        <v>280.1645836141924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24.811314487558253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24.811314487558253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projet'!$B$11,Paramètres!$A$1:$I$88,3,0)*VLOOKUP('Données projet'!$B$11,Paramètres!$A$1:$I$88,5,0)</f>
        <v>1.3596945791505279E-13</v>
      </c>
      <c r="BF85" s="14">
        <f t="shared" si="91"/>
        <v>1.9708830566360721E-12</v>
      </c>
      <c r="BG85" s="22">
        <f t="shared" si="61"/>
        <v>3.669434796176543E-12</v>
      </c>
      <c r="BH85" s="62">
        <f t="shared" si="62"/>
        <v>293.33333333333701</v>
      </c>
      <c r="BI85" s="62">
        <f ca="1">AVERAGE(OFFSET($BH$3,0,0,'Données projet'!$E$11+1,1))-AVERAGE(OFFSET($H$3,0,0,'Données projet'!$E$11+1,1))</f>
        <v>311.82072478731385</v>
      </c>
      <c r="BJ85" s="62">
        <f t="shared" si="92"/>
        <v>356.36714671797864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102.59571063570368</v>
      </c>
      <c r="BQ85" s="23">
        <f>EXP(-LN(2)/25)*BQ84+(1-EXP(-LN(2)/25))/(LN(2)/25)*Calculateur!BL85*Calculateur!BN85*VLOOKUP('Données projet'!$B$11,Paramètres!$A$1:$I$88,3,0)*0.475*44/12</f>
        <v>25.324790659485906</v>
      </c>
      <c r="BR85" s="23">
        <f>EXP(-LN(2)/2)*BR84+(1-EXP(-LN(2)/2))/(LN(2)/2)*BL85*BO85*VLOOKUP('Données projet'!$B$11,Paramètres!$A$1:$I$88,3,0)*0.475*44/12</f>
        <v>1.4428128454892988E-2</v>
      </c>
      <c r="BS85" s="24">
        <f t="shared" si="63"/>
        <v>127.93492942364448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projet'!$B$12,Paramètres!$A$1:$I$88,3,0)*VLOOKUP('Données projet'!$B$12,Paramètres!$A$1:$I$88,5,0)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218.39403703215032</v>
      </c>
      <c r="CE85" s="62">
        <f t="shared" si="94"/>
        <v>254.08208375594052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92.005931768190649</v>
      </c>
      <c r="CL85" s="23">
        <f>EXP(-LN(2)/25)*CL84+(1-EXP(-LN(2)/25))/(LN(2)/25)*Calculateur!CG85*Calculateur!CI85*VLOOKUP('Données projet'!$B$12,Paramètres!$A$1:$I$88,3,0)*0.475*44/12</f>
        <v>15.559816109491464</v>
      </c>
      <c r="CM85" s="23">
        <f>EXP(-LN(2)/2)*CM84+(1-EXP(-LN(2)/2))/(LN(2)/2)*CG85*CJ85*VLOOKUP('Données projet'!$B$12,Paramètres!$A$1:$I$88,3,0)*0.475*44/12</f>
        <v>1.0085654744460324E-2</v>
      </c>
      <c r="CN85" s="24">
        <f t="shared" si="66"/>
        <v>107.57583353242657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projet'!$B$9,Paramètres!$A$1:$I$88,3,0)*VLOOKUP('Données projet'!$B$9,Paramètres!$A$1:$I$88,5,0)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373.09674935534343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17.34635932554291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17.34635932554291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8.4</v>
      </c>
      <c r="AI86" s="14">
        <f>IF('Données projet'!$A$62&gt;35,AI85+AH86-AQ85,IF(A86&lt;'Données projet'!$A$62,$AF$205^A86,IF(A86='Données projet'!$A$62,'Données projet'!$B$62,AI85+AH86-AQ85)))</f>
        <v>348.19999999999982</v>
      </c>
      <c r="AJ86" s="14">
        <f>AI86*VLOOKUP('Données projet'!$B$10,Paramètres!$A$1:$I$88,3,0)*VLOOKUP('Données projet'!$B$10,Paramètres!$A$1:$I$88,5,0)</f>
        <v>331.34711999999979</v>
      </c>
      <c r="AK86" s="14">
        <f t="shared" si="89"/>
        <v>77.709533262888556</v>
      </c>
      <c r="AL86" s="22">
        <f t="shared" si="58"/>
        <v>712.4403377661971</v>
      </c>
      <c r="AM86" s="62">
        <f t="shared" si="59"/>
        <v>1005.7736710995305</v>
      </c>
      <c r="AN86" s="62">
        <f ca="1">AVERAGE(OFFSET($AM$3,0,0,'Données projet'!$E$10+1,1))-AVERAGE(OFFSET($H$3,0,0,'Données projet'!$E$10+1,1))</f>
        <v>509.66893546110458</v>
      </c>
      <c r="AO86" s="62">
        <f t="shared" si="90"/>
        <v>280.1645836141924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24.324779743864774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24.324779743864774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projet'!$B$11,Paramètres!$A$1:$I$88,3,0)*VLOOKUP('Données projet'!$B$11,Paramètres!$A$1:$I$88,5,0)</f>
        <v>1.3596945791505279E-13</v>
      </c>
      <c r="BF86" s="14">
        <f t="shared" si="91"/>
        <v>1.9708830566360721E-12</v>
      </c>
      <c r="BG86" s="22">
        <f t="shared" si="61"/>
        <v>3.669434796176543E-12</v>
      </c>
      <c r="BH86" s="62">
        <f t="shared" si="62"/>
        <v>293.33333333333701</v>
      </c>
      <c r="BI86" s="62">
        <f ca="1">AVERAGE(OFFSET($BH$3,0,0,'Données projet'!$E$11+1,1))-AVERAGE(OFFSET($H$3,0,0,'Données projet'!$E$11+1,1))</f>
        <v>311.82072478731385</v>
      </c>
      <c r="BJ86" s="62">
        <f t="shared" si="92"/>
        <v>356.36714671797864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100.58387132734204</v>
      </c>
      <c r="BQ86" s="23">
        <f>EXP(-LN(2)/25)*BQ85+(1-EXP(-LN(2)/25))/(LN(2)/25)*Calculateur!BL86*Calculateur!BN86*VLOOKUP('Données projet'!$B$11,Paramètres!$A$1:$I$88,3,0)*0.475*44/12</f>
        <v>24.632282927129403</v>
      </c>
      <c r="BR86" s="23">
        <f>EXP(-LN(2)/2)*BR85+(1-EXP(-LN(2)/2))/(LN(2)/2)*BL86*BO86*VLOOKUP('Données projet'!$B$11,Paramètres!$A$1:$I$88,3,0)*0.475*44/12</f>
        <v>1.0202227470285416E-2</v>
      </c>
      <c r="BS86" s="24">
        <f t="shared" si="63"/>
        <v>125.22635648194172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projet'!$B$12,Paramètres!$A$1:$I$88,3,0)*VLOOKUP('Données projet'!$B$12,Paramètres!$A$1:$I$88,5,0)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218.39403703215032</v>
      </c>
      <c r="CE86" s="62">
        <f t="shared" si="94"/>
        <v>254.08208375594052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90.201751564293616</v>
      </c>
      <c r="CL86" s="23">
        <f>EXP(-LN(2)/25)*CL85+(1-EXP(-LN(2)/25))/(LN(2)/25)*Calculateur!CG86*Calculateur!CI86*VLOOKUP('Données projet'!$B$12,Paramètres!$A$1:$I$88,3,0)*0.475*44/12</f>
        <v>15.134332119722254</v>
      </c>
      <c r="CM86" s="23">
        <f>EXP(-LN(2)/2)*CM85+(1-EXP(-LN(2)/2))/(LN(2)/2)*CG86*CJ86*VLOOKUP('Données projet'!$B$12,Paramètres!$A$1:$I$88,3,0)*0.475*44/12</f>
        <v>7.1316348625141716E-3</v>
      </c>
      <c r="CN86" s="24">
        <f t="shared" si="66"/>
        <v>105.34321531887839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projet'!$B$9,Paramètres!$A$1:$I$88,3,0)*VLOOKUP('Données projet'!$B$9,Paramètres!$A$1:$I$88,5,0)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373.09674935534343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17.006207799403491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17.006207799403491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8.4</v>
      </c>
      <c r="AI87" s="14">
        <f>IF('Données projet'!$A$62&gt;35,AI86+AH87-AQ86,IF(A87&lt;'Données projet'!$A$62,$AF$205^A87,IF(A87='Données projet'!$A$62,'Données projet'!$B$62,AI86+AH87-AQ86)))</f>
        <v>356.5999999999998</v>
      </c>
      <c r="AJ87" s="14">
        <f>AI87*VLOOKUP('Données projet'!$B$10,Paramètres!$A$1:$I$88,3,0)*VLOOKUP('Données projet'!$B$10,Paramètres!$A$1:$I$88,5,0)</f>
        <v>339.34055999999981</v>
      </c>
      <c r="AK87" s="14">
        <f t="shared" si="89"/>
        <v>79.363686552179502</v>
      </c>
      <c r="AL87" s="22">
        <f t="shared" si="58"/>
        <v>729.24322941171215</v>
      </c>
      <c r="AM87" s="62">
        <f t="shared" si="59"/>
        <v>1022.5765627450455</v>
      </c>
      <c r="AN87" s="62">
        <f ca="1">AVERAGE(OFFSET($AM$3,0,0,'Données projet'!$E$10+1,1))-AVERAGE(OFFSET($H$3,0,0,'Données projet'!$E$10+1,1))</f>
        <v>509.66893546110458</v>
      </c>
      <c r="AO87" s="62">
        <f t="shared" si="90"/>
        <v>280.1645836141924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23.847785649738231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23.847785649738231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projet'!$B$11,Paramètres!$A$1:$I$88,3,0)*VLOOKUP('Données projet'!$B$11,Paramètres!$A$1:$I$88,5,0)</f>
        <v>1.3596945791505279E-13</v>
      </c>
      <c r="BF87" s="14">
        <f t="shared" si="91"/>
        <v>1.9708830566360721E-12</v>
      </c>
      <c r="BG87" s="22">
        <f t="shared" si="61"/>
        <v>3.669434796176543E-12</v>
      </c>
      <c r="BH87" s="62">
        <f t="shared" si="62"/>
        <v>293.33333333333701</v>
      </c>
      <c r="BI87" s="62">
        <f ca="1">AVERAGE(OFFSET($BH$3,0,0,'Données projet'!$E$11+1,1))-AVERAGE(OFFSET($H$3,0,0,'Données projet'!$E$11+1,1))</f>
        <v>311.82072478731385</v>
      </c>
      <c r="BJ87" s="62">
        <f t="shared" si="92"/>
        <v>356.36714671797864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98.611482960716557</v>
      </c>
      <c r="BQ87" s="23">
        <f>EXP(-LN(2)/25)*BQ86+(1-EXP(-LN(2)/25))/(LN(2)/25)*Calculateur!BL87*Calculateur!BN87*VLOOKUP('Données projet'!$B$11,Paramètres!$A$1:$I$88,3,0)*0.475*44/12</f>
        <v>23.958711855131586</v>
      </c>
      <c r="BR87" s="23">
        <f>EXP(-LN(2)/2)*BR86+(1-EXP(-LN(2)/2))/(LN(2)/2)*BL87*BO87*VLOOKUP('Données projet'!$B$11,Paramètres!$A$1:$I$88,3,0)*0.475*44/12</f>
        <v>7.214064227446494E-3</v>
      </c>
      <c r="BS87" s="24">
        <f t="shared" si="63"/>
        <v>122.57740888007558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projet'!$B$12,Paramètres!$A$1:$I$88,3,0)*VLOOKUP('Données projet'!$B$12,Paramètres!$A$1:$I$88,5,0)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218.39403703215032</v>
      </c>
      <c r="CE87" s="62">
        <f t="shared" si="94"/>
        <v>254.08208375594052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88.432950233753729</v>
      </c>
      <c r="CL87" s="23">
        <f>EXP(-LN(2)/25)*CL86+(1-EXP(-LN(2)/25))/(LN(2)/25)*Calculateur!CG87*Calculateur!CI87*VLOOKUP('Données projet'!$B$12,Paramètres!$A$1:$I$88,3,0)*0.475*44/12</f>
        <v>14.720483012028513</v>
      </c>
      <c r="CM87" s="23">
        <f>EXP(-LN(2)/2)*CM86+(1-EXP(-LN(2)/2))/(LN(2)/2)*CG87*CJ87*VLOOKUP('Données projet'!$B$12,Paramètres!$A$1:$I$88,3,0)*0.475*44/12</f>
        <v>5.0428273722301622E-3</v>
      </c>
      <c r="CN87" s="24">
        <f t="shared" si="66"/>
        <v>103.15847607315447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projet'!$B$9,Paramètres!$A$1:$I$88,3,0)*VLOOKUP('Données projet'!$B$9,Paramètres!$A$1:$I$88,5,0)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373.09674935534343</v>
      </c>
      <c r="T88" s="62">
        <f t="shared" si="88"/>
        <v>231.36959598460686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projet'!$B$9,Paramètres!$A$1:$I$88,7,0))</f>
        <v>0.215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21.188763078517098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21.188763078517098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365</v>
      </c>
      <c r="AG88" s="13">
        <f>VLOOKUP(A88,'Données projet'!$A$61:$I$81,9,0)</f>
        <v>8.4</v>
      </c>
      <c r="AH88" s="13">
        <f t="array" ref="AH88">INDEX(AG:AG,MIN(IF(ISNUMBER(AG88:AG284),ROW(AG88:AG284),"")))</f>
        <v>8.4</v>
      </c>
      <c r="AI88" s="14">
        <f>IF('Données projet'!$A$62&gt;35,AI87+AH88-AQ87,IF(A88&lt;'Données projet'!$A$62,$AF$205^A88,IF(A88='Données projet'!$A$62,'Données projet'!$B$62,AI87+AH88-AQ87)))</f>
        <v>364.99999999999977</v>
      </c>
      <c r="AJ88" s="14">
        <f>AI88*VLOOKUP('Données projet'!$B$10,Paramètres!$A$1:$I$88,3,0)*VLOOKUP('Données projet'!$B$10,Paramètres!$A$1:$I$88,5,0)</f>
        <v>347.33399999999978</v>
      </c>
      <c r="AK88" s="14">
        <f t="shared" si="89"/>
        <v>81.013310095246069</v>
      </c>
      <c r="AL88" s="22">
        <f t="shared" si="58"/>
        <v>746.0382317492199</v>
      </c>
      <c r="AM88" s="62">
        <f t="shared" si="59"/>
        <v>1039.3715650825532</v>
      </c>
      <c r="AN88" s="62">
        <f ca="1">AVERAGE(OFFSET($AM$3,0,0,'Données projet'!$E$10+1,1))-AVERAGE(OFFSET($H$3,0,0,'Données projet'!$E$10+1,1))</f>
        <v>509.66893546110458</v>
      </c>
      <c r="AO88" s="62">
        <f t="shared" si="90"/>
        <v>280.1645836141924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27</v>
      </c>
      <c r="AR88" s="17">
        <f>IF(ISNA(VLOOKUP(A88,'Données projet'!$A$61:$I$81,5,0)),0%,VLOOKUP(A88,'Données projet'!$A$61:$I$81,5,0)*VLOOKUP('Données projet'!$B$10,Paramètres!$A$1:$I$88,7,0))</f>
        <v>0.215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29.48680550327428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29.48680550327428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projet'!$B$11,Paramètres!$A$1:$I$88,3,0)*VLOOKUP('Données projet'!$B$11,Paramètres!$A$1:$I$88,5,0)</f>
        <v>1.3596945791505279E-13</v>
      </c>
      <c r="BF88" s="14">
        <f t="shared" si="91"/>
        <v>1.9708830566360721E-12</v>
      </c>
      <c r="BG88" s="22">
        <f t="shared" si="61"/>
        <v>3.669434796176543E-12</v>
      </c>
      <c r="BH88" s="62">
        <f t="shared" si="62"/>
        <v>293.33333333333701</v>
      </c>
      <c r="BI88" s="62">
        <f ca="1">AVERAGE(OFFSET($BH$3,0,0,'Données projet'!$E$11+1,1))-AVERAGE(OFFSET($H$3,0,0,'Données projet'!$E$11+1,1))</f>
        <v>311.82072478731385</v>
      </c>
      <c r="BJ88" s="62">
        <f t="shared" si="92"/>
        <v>356.36714671797864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96.677771926922489</v>
      </c>
      <c r="BQ88" s="23">
        <f>EXP(-LN(2)/25)*BQ87+(1-EXP(-LN(2)/25))/(LN(2)/25)*Calculateur!BL88*Calculateur!BN88*VLOOKUP('Données projet'!$B$11,Paramètres!$A$1:$I$88,3,0)*0.475*44/12</f>
        <v>23.303559619519113</v>
      </c>
      <c r="BR88" s="23">
        <f>EXP(-LN(2)/2)*BR87+(1-EXP(-LN(2)/2))/(LN(2)/2)*BL88*BO88*VLOOKUP('Données projet'!$B$11,Paramètres!$A$1:$I$88,3,0)*0.475*44/12</f>
        <v>5.101113735142708E-3</v>
      </c>
      <c r="BS88" s="24">
        <f t="shared" si="63"/>
        <v>119.98643266017673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projet'!$B$12,Paramètres!$A$1:$I$88,3,0)*VLOOKUP('Données projet'!$B$12,Paramètres!$A$1:$I$88,5,0)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218.39403703215032</v>
      </c>
      <c r="CE88" s="62">
        <f t="shared" si="94"/>
        <v>254.08208375594052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86.698834018443449</v>
      </c>
      <c r="CL88" s="23">
        <f>EXP(-LN(2)/25)*CL87+(1-EXP(-LN(2)/25))/(LN(2)/25)*Calculateur!CG88*Calculateur!CI88*VLOOKUP('Données projet'!$B$12,Paramètres!$A$1:$I$88,3,0)*0.475*44/12</f>
        <v>14.317950629948037</v>
      </c>
      <c r="CM88" s="23">
        <f>EXP(-LN(2)/2)*CM87+(1-EXP(-LN(2)/2))/(LN(2)/2)*CG88*CJ88*VLOOKUP('Données projet'!$B$12,Paramètres!$A$1:$I$88,3,0)*0.475*44/12</f>
        <v>3.5658174312570858E-3</v>
      </c>
      <c r="CN88" s="24">
        <f t="shared" si="66"/>
        <v>101.02035046582273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projet'!$B$9,Paramètres!$A$1:$I$88,3,0)*VLOOKUP('Données projet'!$B$9,Paramètres!$A$1:$I$88,5,0)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373.09674935534343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20.773264358416728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20.773264358416728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7.8</v>
      </c>
      <c r="AI89" s="14">
        <f>IF('Données projet'!$A$62&gt;35,AI88+AH89-AQ88,IF(A89&lt;'Données projet'!$A$62,$AF$205^A89,IF(A89='Données projet'!$A$62,'Données projet'!$B$62,AI88+AH89-AQ88)))</f>
        <v>345.79999999999978</v>
      </c>
      <c r="AJ89" s="14">
        <f>AI89*VLOOKUP('Données projet'!$B$10,Paramètres!$A$1:$I$88,3,0)*VLOOKUP('Données projet'!$B$10,Paramètres!$A$1:$I$88,5,0)</f>
        <v>329.06327999999979</v>
      </c>
      <c r="AK89" s="14">
        <f t="shared" si="89"/>
        <v>77.236069099509166</v>
      </c>
      <c r="AL89" s="22">
        <f t="shared" si="58"/>
        <v>707.63803301497808</v>
      </c>
      <c r="AM89" s="62">
        <f t="shared" si="59"/>
        <v>1000.9713663483114</v>
      </c>
      <c r="AN89" s="62">
        <f ca="1">AVERAGE(OFFSET($AM$3,0,0,'Données projet'!$E$10+1,1))-AVERAGE(OFFSET($H$3,0,0,'Données projet'!$E$10+1,1))</f>
        <v>509.66893546110458</v>
      </c>
      <c r="AO89" s="62">
        <f t="shared" si="90"/>
        <v>280.1645836141924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28.90858723253054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28.90858723253054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projet'!$B$11,Paramètres!$A$1:$I$88,3,0)*VLOOKUP('Données projet'!$B$11,Paramètres!$A$1:$I$88,5,0)</f>
        <v>1.3596945791505279E-13</v>
      </c>
      <c r="BF89" s="14">
        <f t="shared" si="91"/>
        <v>1.9708830566360721E-12</v>
      </c>
      <c r="BG89" s="22">
        <f t="shared" si="61"/>
        <v>3.669434796176543E-12</v>
      </c>
      <c r="BH89" s="62">
        <f t="shared" si="62"/>
        <v>293.33333333333701</v>
      </c>
      <c r="BI89" s="62">
        <f ca="1">AVERAGE(OFFSET($BH$3,0,0,'Données projet'!$E$11+1,1))-AVERAGE(OFFSET($H$3,0,0,'Données projet'!$E$11+1,1))</f>
        <v>311.82072478731385</v>
      </c>
      <c r="BJ89" s="62">
        <f t="shared" si="92"/>
        <v>356.36714671797864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94.781979787053842</v>
      </c>
      <c r="BQ89" s="23">
        <f>EXP(-LN(2)/25)*BQ88+(1-EXP(-LN(2)/25))/(LN(2)/25)*Calculateur!BL89*Calculateur!BN89*VLOOKUP('Données projet'!$B$11,Paramètres!$A$1:$I$88,3,0)*0.475*44/12</f>
        <v>22.666322556242424</v>
      </c>
      <c r="BR89" s="23">
        <f>EXP(-LN(2)/2)*BR88+(1-EXP(-LN(2)/2))/(LN(2)/2)*BL89*BO89*VLOOKUP('Données projet'!$B$11,Paramètres!$A$1:$I$88,3,0)*0.475*44/12</f>
        <v>3.607032113723247E-3</v>
      </c>
      <c r="BS89" s="24">
        <f t="shared" si="63"/>
        <v>117.45190937540998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projet'!$B$12,Paramètres!$A$1:$I$88,3,0)*VLOOKUP('Données projet'!$B$12,Paramètres!$A$1:$I$88,5,0)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218.39403703215032</v>
      </c>
      <c r="CE89" s="62">
        <f t="shared" si="94"/>
        <v>254.08208375594052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84.998722764408953</v>
      </c>
      <c r="CL89" s="23">
        <f>EXP(-LN(2)/25)*CL88+(1-EXP(-LN(2)/25))/(LN(2)/25)*Calculateur!CG89*Calculateur!CI89*VLOOKUP('Données projet'!$B$12,Paramètres!$A$1:$I$88,3,0)*0.475*44/12</f>
        <v>13.926425517023809</v>
      </c>
      <c r="CM89" s="23">
        <f>EXP(-LN(2)/2)*CM88+(1-EXP(-LN(2)/2))/(LN(2)/2)*CG89*CJ89*VLOOKUP('Données projet'!$B$12,Paramètres!$A$1:$I$88,3,0)*0.475*44/12</f>
        <v>2.5214136861150811E-3</v>
      </c>
      <c r="CN89" s="24">
        <f t="shared" si="66"/>
        <v>98.92766969511888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projet'!$B$9,Paramètres!$A$1:$I$88,3,0)*VLOOKUP('Données projet'!$B$9,Paramètres!$A$1:$I$88,5,0)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373.09674935534343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20.365913314788333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20.365913314788333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7.8</v>
      </c>
      <c r="AI90" s="14">
        <f>IF('Données projet'!$A$62&gt;35,AI89+AH90-AQ89,IF(A90&lt;'Données projet'!$A$62,$AF$205^A90,IF(A90='Données projet'!$A$62,'Données projet'!$B$62,AI89+AH90-AQ89)))</f>
        <v>353.5999999999998</v>
      </c>
      <c r="AJ90" s="14">
        <f>AI90*VLOOKUP('Données projet'!$B$10,Paramètres!$A$1:$I$88,3,0)*VLOOKUP('Données projet'!$B$10,Paramètres!$A$1:$I$88,5,0)</f>
        <v>336.48575999999986</v>
      </c>
      <c r="AK90" s="14">
        <f t="shared" si="89"/>
        <v>78.773443730986543</v>
      </c>
      <c r="AL90" s="22">
        <f t="shared" si="58"/>
        <v>723.24311316480134</v>
      </c>
      <c r="AM90" s="62">
        <f t="shared" si="59"/>
        <v>1016.5764464981346</v>
      </c>
      <c r="AN90" s="62">
        <f ca="1">AVERAGE(OFFSET($AM$3,0,0,'Données projet'!$E$10+1,1))-AVERAGE(OFFSET($H$3,0,0,'Données projet'!$E$10+1,1))</f>
        <v>509.66893546110458</v>
      </c>
      <c r="AO90" s="62">
        <f t="shared" si="90"/>
        <v>280.1645836141924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28.341707469397765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28.341707469397765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projet'!$B$11,Paramètres!$A$1:$I$88,3,0)*VLOOKUP('Données projet'!$B$11,Paramètres!$A$1:$I$88,5,0)</f>
        <v>1.3596945791505279E-13</v>
      </c>
      <c r="BF90" s="14">
        <f t="shared" si="91"/>
        <v>1.9708830566360721E-12</v>
      </c>
      <c r="BG90" s="22">
        <f t="shared" si="61"/>
        <v>3.669434796176543E-12</v>
      </c>
      <c r="BH90" s="62">
        <f t="shared" si="62"/>
        <v>293.33333333333701</v>
      </c>
      <c r="BI90" s="62">
        <f ca="1">AVERAGE(OFFSET($BH$3,0,0,'Données projet'!$E$11+1,1))-AVERAGE(OFFSET($H$3,0,0,'Données projet'!$E$11+1,1))</f>
        <v>311.82072478731385</v>
      </c>
      <c r="BJ90" s="62">
        <f t="shared" si="92"/>
        <v>356.36714671797864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92.923362974728988</v>
      </c>
      <c r="BQ90" s="23">
        <f>EXP(-LN(2)/25)*BQ89+(1-EXP(-LN(2)/25))/(LN(2)/25)*Calculateur!BL90*Calculateur!BN90*VLOOKUP('Données projet'!$B$11,Paramètres!$A$1:$I$88,3,0)*0.475*44/12</f>
        <v>22.046510773971875</v>
      </c>
      <c r="BR90" s="23">
        <f>EXP(-LN(2)/2)*BR89+(1-EXP(-LN(2)/2))/(LN(2)/2)*BL90*BO90*VLOOKUP('Données projet'!$B$11,Paramètres!$A$1:$I$88,3,0)*0.475*44/12</f>
        <v>2.550556867571354E-3</v>
      </c>
      <c r="BS90" s="24">
        <f t="shared" si="63"/>
        <v>114.97242430556844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projet'!$B$12,Paramètres!$A$1:$I$88,3,0)*VLOOKUP('Données projet'!$B$12,Paramètres!$A$1:$I$88,5,0)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218.39403703215032</v>
      </c>
      <c r="CE90" s="62">
        <f t="shared" si="94"/>
        <v>254.08208375594052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83.331949655100601</v>
      </c>
      <c r="CL90" s="23">
        <f>EXP(-LN(2)/25)*CL89+(1-EXP(-LN(2)/25))/(LN(2)/25)*Calculateur!CG90*Calculateur!CI90*VLOOKUP('Données projet'!$B$12,Paramètres!$A$1:$I$88,3,0)*0.475*44/12</f>
        <v>13.545606678901905</v>
      </c>
      <c r="CM90" s="23">
        <f>EXP(-LN(2)/2)*CM89+(1-EXP(-LN(2)/2))/(LN(2)/2)*CG90*CJ90*VLOOKUP('Données projet'!$B$12,Paramètres!$A$1:$I$88,3,0)*0.475*44/12</f>
        <v>1.7829087156285429E-3</v>
      </c>
      <c r="CN90" s="24">
        <f t="shared" si="66"/>
        <v>96.879339242718132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projet'!$B$9,Paramètres!$A$1:$I$88,3,0)*VLOOKUP('Données projet'!$B$9,Paramètres!$A$1:$I$88,5,0)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373.09674935534343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19.966550176665887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19.966550176665887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7.8</v>
      </c>
      <c r="AI91" s="14">
        <f>IF('Données projet'!$A$62&gt;35,AI90+AH91-AQ90,IF(A91&lt;'Données projet'!$A$62,$AF$205^A91,IF(A91='Données projet'!$A$62,'Données projet'!$B$62,AI90+AH91-AQ90)))</f>
        <v>361.39999999999981</v>
      </c>
      <c r="AJ91" s="14">
        <f>AI91*VLOOKUP('Données projet'!$B$10,Paramètres!$A$1:$I$88,3,0)*VLOOKUP('Données projet'!$B$10,Paramètres!$A$1:$I$88,5,0)</f>
        <v>343.90823999999981</v>
      </c>
      <c r="AK91" s="14">
        <f t="shared" si="89"/>
        <v>80.306875652525562</v>
      </c>
      <c r="AL91" s="22">
        <f t="shared" si="58"/>
        <v>738.84132642814836</v>
      </c>
      <c r="AM91" s="62">
        <f t="shared" si="59"/>
        <v>1032.1746597614817</v>
      </c>
      <c r="AN91" s="62">
        <f ca="1">AVERAGE(OFFSET($AM$3,0,0,'Données projet'!$E$10+1,1))-AVERAGE(OFFSET($H$3,0,0,'Données projet'!$E$10+1,1))</f>
        <v>509.66893546110458</v>
      </c>
      <c r="AO91" s="62">
        <f t="shared" si="90"/>
        <v>280.1645836141924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27.785943872657509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27.785943872657509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projet'!$B$11,Paramètres!$A$1:$I$88,3,0)*VLOOKUP('Données projet'!$B$11,Paramètres!$A$1:$I$88,5,0)</f>
        <v>1.3596945791505279E-13</v>
      </c>
      <c r="BF91" s="14">
        <f t="shared" si="91"/>
        <v>1.9708830566360721E-12</v>
      </c>
      <c r="BG91" s="22">
        <f t="shared" si="61"/>
        <v>3.669434796176543E-12</v>
      </c>
      <c r="BH91" s="62">
        <f t="shared" si="62"/>
        <v>293.33333333333701</v>
      </c>
      <c r="BI91" s="62">
        <f ca="1">AVERAGE(OFFSET($BH$3,0,0,'Données projet'!$E$11+1,1))-AVERAGE(OFFSET($H$3,0,0,'Données projet'!$E$11+1,1))</f>
        <v>311.82072478731385</v>
      </c>
      <c r="BJ91" s="62">
        <f t="shared" si="92"/>
        <v>356.36714671797864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91.101192504449514</v>
      </c>
      <c r="BQ91" s="23">
        <f>EXP(-LN(2)/25)*BQ90+(1-EXP(-LN(2)/25))/(LN(2)/25)*Calculateur!BL91*Calculateur!BN91*VLOOKUP('Données projet'!$B$11,Paramètres!$A$1:$I$88,3,0)*0.475*44/12</f>
        <v>21.443647777481999</v>
      </c>
      <c r="BR91" s="23">
        <f>EXP(-LN(2)/2)*BR90+(1-EXP(-LN(2)/2))/(LN(2)/2)*BL91*BO91*VLOOKUP('Données projet'!$B$11,Paramètres!$A$1:$I$88,3,0)*0.475*44/12</f>
        <v>1.8035160568616235E-3</v>
      </c>
      <c r="BS91" s="24">
        <f t="shared" si="63"/>
        <v>112.54664379798838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projet'!$B$12,Paramètres!$A$1:$I$88,3,0)*VLOOKUP('Données projet'!$B$12,Paramètres!$A$1:$I$88,5,0)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218.39403703215032</v>
      </c>
      <c r="CE91" s="62">
        <f t="shared" si="94"/>
        <v>254.08208375594052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81.697860949834578</v>
      </c>
      <c r="CL91" s="23">
        <f>EXP(-LN(2)/25)*CL90+(1-EXP(-LN(2)/25))/(LN(2)/25)*Calculateur!CG91*Calculateur!CI91*VLOOKUP('Données projet'!$B$12,Paramètres!$A$1:$I$88,3,0)*0.475*44/12</f>
        <v>13.175201351934836</v>
      </c>
      <c r="CM91" s="23">
        <f>EXP(-LN(2)/2)*CM90+(1-EXP(-LN(2)/2))/(LN(2)/2)*CG91*CJ91*VLOOKUP('Données projet'!$B$12,Paramètres!$A$1:$I$88,3,0)*0.475*44/12</f>
        <v>1.2607068430575406E-3</v>
      </c>
      <c r="CN91" s="24">
        <f t="shared" si="66"/>
        <v>94.874323008612464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projet'!$B$9,Paramètres!$A$1:$I$88,3,0)*VLOOKUP('Données projet'!$B$9,Paramètres!$A$1:$I$88,5,0)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373.09674935534343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19.57501830609456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19.57501830609456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7.8</v>
      </c>
      <c r="AI92" s="14">
        <f>IF('Données projet'!$A$62&gt;35,AI91+AH92-AQ91,IF(A92&lt;'Données projet'!$A$62,$AF$205^A92,IF(A92='Données projet'!$A$62,'Données projet'!$B$62,AI91+AH92-AQ91)))</f>
        <v>369.19999999999982</v>
      </c>
      <c r="AJ92" s="14">
        <f>AI92*VLOOKUP('Données projet'!$B$10,Paramètres!$A$1:$I$88,3,0)*VLOOKUP('Données projet'!$B$10,Paramètres!$A$1:$I$88,5,0)</f>
        <v>351.33071999999981</v>
      </c>
      <c r="AK92" s="14">
        <f t="shared" si="89"/>
        <v>81.836459759230152</v>
      </c>
      <c r="AL92" s="22">
        <f t="shared" si="58"/>
        <v>754.43283808065883</v>
      </c>
      <c r="AM92" s="62">
        <f t="shared" si="59"/>
        <v>1047.7661714139922</v>
      </c>
      <c r="AN92" s="62">
        <f ca="1">AVERAGE(OFFSET($AM$3,0,0,'Données projet'!$E$10+1,1))-AVERAGE(OFFSET($H$3,0,0,'Données projet'!$E$10+1,1))</f>
        <v>509.66893546110458</v>
      </c>
      <c r="AO92" s="62">
        <f t="shared" si="90"/>
        <v>280.1645836141924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27.241078461067005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27.241078461067005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projet'!$B$11,Paramètres!$A$1:$I$88,3,0)*VLOOKUP('Données projet'!$B$11,Paramètres!$A$1:$I$88,5,0)</f>
        <v>1.3596945791505279E-13</v>
      </c>
      <c r="BF92" s="14">
        <f t="shared" si="91"/>
        <v>1.9708830566360721E-12</v>
      </c>
      <c r="BG92" s="22">
        <f t="shared" si="61"/>
        <v>3.669434796176543E-12</v>
      </c>
      <c r="BH92" s="62">
        <f t="shared" si="62"/>
        <v>293.33333333333701</v>
      </c>
      <c r="BI92" s="62">
        <f ca="1">AVERAGE(OFFSET($BH$3,0,0,'Données projet'!$E$11+1,1))-AVERAGE(OFFSET($H$3,0,0,'Données projet'!$E$11+1,1))</f>
        <v>311.82072478731385</v>
      </c>
      <c r="BJ92" s="62">
        <f t="shared" si="92"/>
        <v>356.36714671797864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89.314753685677971</v>
      </c>
      <c r="BQ92" s="23">
        <f>EXP(-LN(2)/25)*BQ91+(1-EXP(-LN(2)/25))/(LN(2)/25)*Calculateur!BL92*Calculateur!BN92*VLOOKUP('Données projet'!$B$11,Paramètres!$A$1:$I$88,3,0)*0.475*44/12</f>
        <v>20.857270101334329</v>
      </c>
      <c r="BR92" s="23">
        <f>EXP(-LN(2)/2)*BR91+(1-EXP(-LN(2)/2))/(LN(2)/2)*BL92*BO92*VLOOKUP('Données projet'!$B$11,Paramètres!$A$1:$I$88,3,0)*0.475*44/12</f>
        <v>1.275278433785677E-3</v>
      </c>
      <c r="BS92" s="24">
        <f t="shared" si="63"/>
        <v>110.17329906544609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projet'!$B$12,Paramètres!$A$1:$I$88,3,0)*VLOOKUP('Données projet'!$B$12,Paramètres!$A$1:$I$88,5,0)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218.39403703215032</v>
      </c>
      <c r="CE92" s="62">
        <f t="shared" si="94"/>
        <v>254.08208375594052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80.095815727383126</v>
      </c>
      <c r="CL92" s="23">
        <f>EXP(-LN(2)/25)*CL91+(1-EXP(-LN(2)/25))/(LN(2)/25)*Calculateur!CG92*Calculateur!CI92*VLOOKUP('Données projet'!$B$12,Paramètres!$A$1:$I$88,3,0)*0.475*44/12</f>
        <v>12.814924778112452</v>
      </c>
      <c r="CM92" s="23">
        <f>EXP(-LN(2)/2)*CM91+(1-EXP(-LN(2)/2))/(LN(2)/2)*CG92*CJ92*VLOOKUP('Données projet'!$B$12,Paramètres!$A$1:$I$88,3,0)*0.475*44/12</f>
        <v>8.9145435781427145E-4</v>
      </c>
      <c r="CN92" s="24">
        <f t="shared" si="66"/>
        <v>92.911631959853395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projet'!$B$9,Paramètres!$A$1:$I$88,3,0)*VLOOKUP('Données projet'!$B$9,Paramètres!$A$1:$I$88,5,0)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373.09674935534343</v>
      </c>
      <c r="T93" s="62">
        <f t="shared" si="88"/>
        <v>231.36959598460686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projet'!$B$9,Paramètres!$A$1:$I$88,7,0))</f>
        <v>0.25800000000000001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24.610408106251132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24.610408106251132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377</v>
      </c>
      <c r="AG93" s="13">
        <f>VLOOKUP(A93,'Données projet'!$A$61:$I$81,9,0)</f>
        <v>7.8</v>
      </c>
      <c r="AH93" s="13">
        <f t="array" ref="AH93">INDEX(AG:AG,MIN(IF(ISNUMBER(AG93:AG289),ROW(AG93:AG289),"")))</f>
        <v>7.8</v>
      </c>
      <c r="AI93" s="14">
        <f>IF('Données projet'!$A$62&gt;35,AI92+AH93-AQ92,IF(A93&lt;'Données projet'!$A$62,$AF$205^A93,IF(A93='Données projet'!$A$62,'Données projet'!$B$62,AI92+AH93-AQ92)))</f>
        <v>376.99999999999983</v>
      </c>
      <c r="AJ93" s="14">
        <f>AI93*VLOOKUP('Données projet'!$B$10,Paramètres!$A$1:$I$88,3,0)*VLOOKUP('Données projet'!$B$10,Paramètres!$A$1:$I$88,5,0)</f>
        <v>358.75319999999982</v>
      </c>
      <c r="AK93" s="14">
        <f t="shared" si="89"/>
        <v>83.362286707455752</v>
      </c>
      <c r="AL93" s="22">
        <f t="shared" si="58"/>
        <v>770.01780601548501</v>
      </c>
      <c r="AM93" s="62">
        <f t="shared" si="59"/>
        <v>1063.3511393488184</v>
      </c>
      <c r="AN93" s="62">
        <f ca="1">AVERAGE(OFFSET($AM$3,0,0,'Données projet'!$E$10+1,1))-AVERAGE(OFFSET($H$3,0,0,'Données projet'!$E$10+1,1))</f>
        <v>509.66893546110458</v>
      </c>
      <c r="AO93" s="62">
        <f t="shared" si="90"/>
        <v>280.1645836141924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26</v>
      </c>
      <c r="AR93" s="17">
        <f>IF(ISNA(VLOOKUP(A93,'Données projet'!$A$61:$I$81,5,0)),0%,VLOOKUP(A93,'Données projet'!$A$61:$I$81,5,0)*VLOOKUP('Données projet'!$B$10,Paramètres!$A$1:$I$88,7,0))</f>
        <v>0.25800000000000001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33.763482860963833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33.763482860963833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projet'!$B$11,Paramètres!$A$1:$I$88,3,0)*VLOOKUP('Données projet'!$B$11,Paramètres!$A$1:$I$88,5,0)</f>
        <v>1.3596945791505279E-13</v>
      </c>
      <c r="BF93" s="14">
        <f t="shared" si="91"/>
        <v>1.9708830566360721E-12</v>
      </c>
      <c r="BG93" s="22">
        <f t="shared" si="61"/>
        <v>3.669434796176543E-12</v>
      </c>
      <c r="BH93" s="62">
        <f t="shared" si="62"/>
        <v>293.33333333333701</v>
      </c>
      <c r="BI93" s="62">
        <f ca="1">AVERAGE(OFFSET($BH$3,0,0,'Données projet'!$E$11+1,1))-AVERAGE(OFFSET($H$3,0,0,'Données projet'!$E$11+1,1))</f>
        <v>311.82072478731385</v>
      </c>
      <c r="BJ93" s="62">
        <f t="shared" si="92"/>
        <v>356.36714671797864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87.563345842522452</v>
      </c>
      <c r="BQ93" s="23">
        <f>EXP(-LN(2)/25)*BQ92+(1-EXP(-LN(2)/25))/(LN(2)/25)*Calculateur!BL93*Calculateur!BN93*VLOOKUP('Données projet'!$B$11,Paramètres!$A$1:$I$88,3,0)*0.475*44/12</f>
        <v>20.286926953577176</v>
      </c>
      <c r="BR93" s="23">
        <f>EXP(-LN(2)/2)*BR92+(1-EXP(-LN(2)/2))/(LN(2)/2)*BL93*BO93*VLOOKUP('Données projet'!$B$11,Paramètres!$A$1:$I$88,3,0)*0.475*44/12</f>
        <v>9.0175802843081175E-4</v>
      </c>
      <c r="BS93" s="24">
        <f t="shared" si="63"/>
        <v>107.85117455412806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218.39403703215032</v>
      </c>
      <c r="CE93" s="62">
        <f t="shared" si="94"/>
        <v>254.08208375594052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78.525185634592845</v>
      </c>
      <c r="CL93" s="23">
        <f>EXP(-LN(2)/25)*CL92+(1-EXP(-LN(2)/25))/(LN(2)/25)*Calculateur!CG93*Calculateur!CI93*VLOOKUP('Données projet'!$B$12,Paramètres!$A$1:$I$88,3,0)*0.475*44/12</f>
        <v>12.464499986147363</v>
      </c>
      <c r="CM93" s="23">
        <f>EXP(-LN(2)/2)*CM92+(1-EXP(-LN(2)/2))/(LN(2)/2)*CG93*CJ93*VLOOKUP('Données projet'!$B$12,Paramètres!$A$1:$I$88,3,0)*0.475*44/12</f>
        <v>6.3035342152877028E-4</v>
      </c>
      <c r="CN93" s="24">
        <f t="shared" si="66"/>
        <v>90.990315974161732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projet'!$B$9,Paramètres!$A$1:$I$88,3,0)*VLOOKUP('Données projet'!$B$9,Paramètres!$A$1:$I$88,5,0)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373.09674935534343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24.127813014154292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24.127813014154292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7.6</v>
      </c>
      <c r="AI94" s="14">
        <f>IF('Données projet'!$A$62&gt;35,AI93+AH94-AQ93,IF(A94&lt;'Données projet'!$A$62,$AF$205^A94,IF(A94='Données projet'!$A$62,'Données projet'!$B$62,AI93+AH94-AQ93)))</f>
        <v>358.59999999999985</v>
      </c>
      <c r="AJ94" s="14">
        <f>AI94*VLOOKUP('Données projet'!$B$10,Paramètres!$A$1:$I$88,3,0)*VLOOKUP('Données projet'!$B$10,Paramètres!$A$1:$I$88,5,0)</f>
        <v>341.24375999999984</v>
      </c>
      <c r="AK94" s="14">
        <f t="shared" si="89"/>
        <v>79.756860477541935</v>
      </c>
      <c r="AL94" s="22">
        <f t="shared" si="58"/>
        <v>733.24274733171842</v>
      </c>
      <c r="AM94" s="62">
        <f t="shared" si="59"/>
        <v>1026.5760806650517</v>
      </c>
      <c r="AN94" s="62">
        <f ca="1">AVERAGE(OFFSET($AM$3,0,0,'Données projet'!$E$10+1,1))-AVERAGE(OFFSET($H$3,0,0,'Données projet'!$E$10+1,1))</f>
        <v>509.66893546110458</v>
      </c>
      <c r="AO94" s="62">
        <f t="shared" si="90"/>
        <v>280.1645836141924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33.101401555751423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33.101401555751423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projet'!$B$11,Paramètres!$A$1:$I$88,3,0)*VLOOKUP('Données projet'!$B$11,Paramètres!$A$1:$I$88,5,0)</f>
        <v>1.3596945791505279E-13</v>
      </c>
      <c r="BF94" s="14">
        <f t="shared" si="91"/>
        <v>1.9708830566360721E-12</v>
      </c>
      <c r="BG94" s="22">
        <f t="shared" si="61"/>
        <v>3.669434796176543E-12</v>
      </c>
      <c r="BH94" s="62">
        <f t="shared" si="62"/>
        <v>293.33333333333701</v>
      </c>
      <c r="BI94" s="62">
        <f ca="1">AVERAGE(OFFSET($BH$3,0,0,'Données projet'!$E$11+1,1))-AVERAGE(OFFSET($H$3,0,0,'Données projet'!$E$11+1,1))</f>
        <v>311.82072478731385</v>
      </c>
      <c r="BJ94" s="62">
        <f t="shared" si="92"/>
        <v>356.36714671797864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85.846282038917906</v>
      </c>
      <c r="BQ94" s="23">
        <f>EXP(-LN(2)/25)*BQ93+(1-EXP(-LN(2)/25))/(LN(2)/25)*Calculateur!BL94*Calculateur!BN94*VLOOKUP('Données projet'!$B$11,Paramètres!$A$1:$I$88,3,0)*0.475*44/12</f>
        <v>19.732179869188485</v>
      </c>
      <c r="BR94" s="23">
        <f>EXP(-LN(2)/2)*BR93+(1-EXP(-LN(2)/2))/(LN(2)/2)*BL94*BO94*VLOOKUP('Données projet'!$B$11,Paramètres!$A$1:$I$88,3,0)*0.475*44/12</f>
        <v>6.376392168928385E-4</v>
      </c>
      <c r="BS94" s="24">
        <f t="shared" si="63"/>
        <v>105.57909954732328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218.39403703215032</v>
      </c>
      <c r="CE94" s="62">
        <f t="shared" si="94"/>
        <v>254.08208375594052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76.98535463993241</v>
      </c>
      <c r="CL94" s="23">
        <f>EXP(-LN(2)/25)*CL93+(1-EXP(-LN(2)/25))/(LN(2)/25)*Calculateur!CG94*Calculateur!CI94*VLOOKUP('Données projet'!$B$12,Paramètres!$A$1:$I$88,3,0)*0.475*44/12</f>
        <v>12.123657578546597</v>
      </c>
      <c r="CM94" s="23">
        <f>EXP(-LN(2)/2)*CM93+(1-EXP(-LN(2)/2))/(LN(2)/2)*CG94*CJ94*VLOOKUP('Données projet'!$B$12,Paramètres!$A$1:$I$88,3,0)*0.475*44/12</f>
        <v>4.4572717890713573E-4</v>
      </c>
      <c r="CN94" s="24">
        <f t="shared" si="66"/>
        <v>89.109457945657923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projet'!$B$9,Paramètres!$A$1:$I$88,3,0)*VLOOKUP('Données projet'!$B$9,Paramètres!$A$1:$I$88,5,0)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373.09674935534343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23.654681317459531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23.654681317459531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7.6</v>
      </c>
      <c r="AI95" s="14">
        <f>IF('Données projet'!$A$62&gt;35,AI94+AH95-AQ94,IF(A95&lt;'Données projet'!$A$62,$AF$205^A95,IF(A95='Données projet'!$A$62,'Données projet'!$B$62,AI94+AH95-AQ94)))</f>
        <v>366.19999999999987</v>
      </c>
      <c r="AJ95" s="14">
        <f>AI95*VLOOKUP('Données projet'!$B$10,Paramètres!$A$1:$I$88,3,0)*VLOOKUP('Données projet'!$B$10,Paramètres!$A$1:$I$88,5,0)</f>
        <v>348.47591999999986</v>
      </c>
      <c r="AK95" s="14">
        <f t="shared" si="89"/>
        <v>81.248607675274144</v>
      </c>
      <c r="AL95" s="22">
        <f t="shared" si="58"/>
        <v>748.43688570110214</v>
      </c>
      <c r="AM95" s="62">
        <f t="shared" si="59"/>
        <v>1041.7702190344355</v>
      </c>
      <c r="AN95" s="62">
        <f ca="1">AVERAGE(OFFSET($AM$3,0,0,'Données projet'!$E$10+1,1))-AVERAGE(OFFSET($H$3,0,0,'Données projet'!$E$10+1,1))</f>
        <v>509.66893546110458</v>
      </c>
      <c r="AO95" s="62">
        <f t="shared" si="90"/>
        <v>280.1645836141924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32.452303261104504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32.452303261104504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projet'!$B$11,Paramètres!$A$1:$I$88,3,0)*VLOOKUP('Données projet'!$B$11,Paramètres!$A$1:$I$88,5,0)</f>
        <v>1.3596945791505279E-13</v>
      </c>
      <c r="BF95" s="14">
        <f t="shared" si="91"/>
        <v>1.9708830566360721E-12</v>
      </c>
      <c r="BG95" s="22">
        <f t="shared" si="61"/>
        <v>3.669434796176543E-12</v>
      </c>
      <c r="BH95" s="62">
        <f t="shared" si="62"/>
        <v>293.33333333333701</v>
      </c>
      <c r="BI95" s="62">
        <f ca="1">AVERAGE(OFFSET($BH$3,0,0,'Données projet'!$E$11+1,1))-AVERAGE(OFFSET($H$3,0,0,'Données projet'!$E$11+1,1))</f>
        <v>311.82072478731385</v>
      </c>
      <c r="BJ95" s="62">
        <f t="shared" si="92"/>
        <v>356.36714671797864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84.162888809196545</v>
      </c>
      <c r="BQ95" s="23">
        <f>EXP(-LN(2)/25)*BQ94+(1-EXP(-LN(2)/25))/(LN(2)/25)*Calculateur!BL95*Calculateur!BN95*VLOOKUP('Données projet'!$B$11,Paramètres!$A$1:$I$88,3,0)*0.475*44/12</f>
        <v>19.192602372995285</v>
      </c>
      <c r="BR95" s="23">
        <f>EXP(-LN(2)/2)*BR94+(1-EXP(-LN(2)/2))/(LN(2)/2)*BL95*BO95*VLOOKUP('Données projet'!$B$11,Paramètres!$A$1:$I$88,3,0)*0.475*44/12</f>
        <v>4.5087901421540587E-4</v>
      </c>
      <c r="BS95" s="24">
        <f t="shared" si="63"/>
        <v>103.35594206120604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218.39403703215032</v>
      </c>
      <c r="CE95" s="62">
        <f t="shared" si="94"/>
        <v>254.08208375594052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75.475718791873106</v>
      </c>
      <c r="CL95" s="23">
        <f>EXP(-LN(2)/25)*CL94+(1-EXP(-LN(2)/25))/(LN(2)/25)*Calculateur!CG95*Calculateur!CI95*VLOOKUP('Données projet'!$B$12,Paramètres!$A$1:$I$88,3,0)*0.475*44/12</f>
        <v>11.792135524505797</v>
      </c>
      <c r="CM95" s="23">
        <f>EXP(-LN(2)/2)*CM94+(1-EXP(-LN(2)/2))/(LN(2)/2)*CG95*CJ95*VLOOKUP('Données projet'!$B$12,Paramètres!$A$1:$I$88,3,0)*0.475*44/12</f>
        <v>3.1517671076438514E-4</v>
      </c>
      <c r="CN95" s="24">
        <f t="shared" si="66"/>
        <v>87.268169493089673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projet'!$B$9,Paramètres!$A$1:$I$88,3,0)*VLOOKUP('Données projet'!$B$9,Paramètres!$A$1:$I$88,5,0)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373.09674935534343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23.190827444755111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23.190827444755111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7.6</v>
      </c>
      <c r="AI96" s="14">
        <f>IF('Données projet'!$A$62&gt;35,AI95+AH96-AQ95,IF(A96&lt;'Données projet'!$A$62,$AF$205^A96,IF(A96='Données projet'!$A$62,'Données projet'!$B$62,AI95+AH96-AQ95)))</f>
        <v>373.7999999999999</v>
      </c>
      <c r="AJ96" s="14">
        <f>AI96*VLOOKUP('Données projet'!$B$10,Paramètres!$A$1:$I$88,3,0)*VLOOKUP('Données projet'!$B$10,Paramètres!$A$1:$I$88,5,0)</f>
        <v>355.70807999999994</v>
      </c>
      <c r="AK96" s="14">
        <f t="shared" si="89"/>
        <v>82.736755291966659</v>
      </c>
      <c r="AL96" s="22">
        <f t="shared" si="58"/>
        <v>763.62475480017508</v>
      </c>
      <c r="AM96" s="62">
        <f t="shared" si="59"/>
        <v>1056.9580881335085</v>
      </c>
      <c r="AN96" s="62">
        <f ca="1">AVERAGE(OFFSET($AM$3,0,0,'Données projet'!$E$10+1,1))-AVERAGE(OFFSET($H$3,0,0,'Données projet'!$E$10+1,1))</f>
        <v>509.66893546110458</v>
      </c>
      <c r="AO96" s="62">
        <f t="shared" si="90"/>
        <v>280.1645836141924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31.815933388104742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31.815933388104742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projet'!$B$11,Paramètres!$A$1:$I$88,3,0)*VLOOKUP('Données projet'!$B$11,Paramètres!$A$1:$I$88,5,0)</f>
        <v>1.3596945791505279E-13</v>
      </c>
      <c r="BF96" s="14">
        <f t="shared" si="91"/>
        <v>1.9708830566360721E-12</v>
      </c>
      <c r="BG96" s="22">
        <f t="shared" si="61"/>
        <v>3.669434796176543E-12</v>
      </c>
      <c r="BH96" s="62">
        <f t="shared" si="62"/>
        <v>293.33333333333701</v>
      </c>
      <c r="BI96" s="62">
        <f ca="1">AVERAGE(OFFSET($BH$3,0,0,'Données projet'!$E$11+1,1))-AVERAGE(OFFSET($H$3,0,0,'Données projet'!$E$11+1,1))</f>
        <v>311.82072478731385</v>
      </c>
      <c r="BJ96" s="62">
        <f t="shared" si="92"/>
        <v>356.36714671797864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82.512505893941537</v>
      </c>
      <c r="BQ96" s="23">
        <f>EXP(-LN(2)/25)*BQ95+(1-EXP(-LN(2)/25))/(LN(2)/25)*Calculateur!BL96*Calculateur!BN96*VLOOKUP('Données projet'!$B$11,Paramètres!$A$1:$I$88,3,0)*0.475*44/12</f>
        <v>18.667779651810637</v>
      </c>
      <c r="BR96" s="23">
        <f>EXP(-LN(2)/2)*BR95+(1-EXP(-LN(2)/2))/(LN(2)/2)*BL96*BO96*VLOOKUP('Données projet'!$B$11,Paramètres!$A$1:$I$88,3,0)*0.475*44/12</f>
        <v>3.1881960844641925E-4</v>
      </c>
      <c r="BS96" s="24">
        <f t="shared" si="63"/>
        <v>101.18060436536062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218.39403703215032</v>
      </c>
      <c r="CE96" s="62">
        <f t="shared" si="94"/>
        <v>254.08208375594052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73.995685982007302</v>
      </c>
      <c r="CL96" s="23">
        <f>EXP(-LN(2)/25)*CL95+(1-EXP(-LN(2)/25))/(LN(2)/25)*Calculateur!CG96*Calculateur!CI96*VLOOKUP('Données projet'!$B$12,Paramètres!$A$1:$I$88,3,0)*0.475*44/12</f>
        <v>11.46967895846673</v>
      </c>
      <c r="CM96" s="23">
        <f>EXP(-LN(2)/2)*CM95+(1-EXP(-LN(2)/2))/(LN(2)/2)*CG96*CJ96*VLOOKUP('Données projet'!$B$12,Paramètres!$A$1:$I$88,3,0)*0.475*44/12</f>
        <v>2.2286358945356786E-4</v>
      </c>
      <c r="CN96" s="24">
        <f t="shared" si="66"/>
        <v>85.465587804063489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projet'!$B$9,Paramètres!$A$1:$I$88,3,0)*VLOOKUP('Données projet'!$B$9,Paramètres!$A$1:$I$88,5,0)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373.09674935534343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22.7360694635715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22.7360694635715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7.6</v>
      </c>
      <c r="AI97" s="14">
        <f>IF('Données projet'!$A$62&gt;35,AI96+AH97-AQ96,IF(A97&lt;'Données projet'!$A$62,$AF$205^A97,IF(A97='Données projet'!$A$62,'Données projet'!$B$62,AI96+AH97-AQ96)))</f>
        <v>381.39999999999992</v>
      </c>
      <c r="AJ97" s="14">
        <f>AI97*VLOOKUP('Données projet'!$B$10,Paramètres!$A$1:$I$88,3,0)*VLOOKUP('Données projet'!$B$10,Paramètres!$A$1:$I$88,5,0)</f>
        <v>362.9402399999999</v>
      </c>
      <c r="AK97" s="14">
        <f t="shared" si="89"/>
        <v>84.221384946884442</v>
      </c>
      <c r="AL97" s="22">
        <f t="shared" si="58"/>
        <v>778.80649678249029</v>
      </c>
      <c r="AM97" s="62">
        <f t="shared" si="59"/>
        <v>1072.1398301158235</v>
      </c>
      <c r="AN97" s="62">
        <f ca="1">AVERAGE(OFFSET($AM$3,0,0,'Données projet'!$E$10+1,1))-AVERAGE(OFFSET($H$3,0,0,'Données projet'!$E$10+1,1))</f>
        <v>509.66893546110458</v>
      </c>
      <c r="AO97" s="62">
        <f t="shared" si="90"/>
        <v>280.1645836141924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31.192042340167212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31.192042340167212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projet'!$B$11,Paramètres!$A$1:$I$88,3,0)*VLOOKUP('Données projet'!$B$11,Paramètres!$A$1:$I$88,5,0)</f>
        <v>1.3596945791505279E-13</v>
      </c>
      <c r="BF97" s="14">
        <f t="shared" si="91"/>
        <v>1.9708830566360721E-12</v>
      </c>
      <c r="BG97" s="22">
        <f t="shared" si="61"/>
        <v>3.669434796176543E-12</v>
      </c>
      <c r="BH97" s="62">
        <f t="shared" si="62"/>
        <v>293.33333333333701</v>
      </c>
      <c r="BI97" s="62">
        <f ca="1">AVERAGE(OFFSET($BH$3,0,0,'Données projet'!$E$11+1,1))-AVERAGE(OFFSET($H$3,0,0,'Données projet'!$E$11+1,1))</f>
        <v>311.82072478731385</v>
      </c>
      <c r="BJ97" s="62">
        <f t="shared" si="92"/>
        <v>356.36714671797864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80.894485981020495</v>
      </c>
      <c r="BQ97" s="23">
        <f>EXP(-LN(2)/25)*BQ96+(1-EXP(-LN(2)/25))/(LN(2)/25)*Calculateur!BL97*Calculateur!BN97*VLOOKUP('Données projet'!$B$11,Paramètres!$A$1:$I$88,3,0)*0.475*44/12</f>
        <v>18.157308235536011</v>
      </c>
      <c r="BR97" s="23">
        <f>EXP(-LN(2)/2)*BR96+(1-EXP(-LN(2)/2))/(LN(2)/2)*BL97*BO97*VLOOKUP('Données projet'!$B$11,Paramètres!$A$1:$I$88,3,0)*0.475*44/12</f>
        <v>2.2543950710770294E-4</v>
      </c>
      <c r="BS97" s="24">
        <f t="shared" si="63"/>
        <v>99.052019656063607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218.39403703215032</v>
      </c>
      <c r="CE97" s="62">
        <f t="shared" si="94"/>
        <v>254.08208375594052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72.544675712812079</v>
      </c>
      <c r="CL97" s="23">
        <f>EXP(-LN(2)/25)*CL96+(1-EXP(-LN(2)/25))/(LN(2)/25)*Calculateur!CG97*Calculateur!CI97*VLOOKUP('Données projet'!$B$12,Paramètres!$A$1:$I$88,3,0)*0.475*44/12</f>
        <v>11.156039984183256</v>
      </c>
      <c r="CM97" s="23">
        <f>EXP(-LN(2)/2)*CM96+(1-EXP(-LN(2)/2))/(LN(2)/2)*CG97*CJ97*VLOOKUP('Données projet'!$B$12,Paramètres!$A$1:$I$88,3,0)*0.475*44/12</f>
        <v>1.5758835538219257E-4</v>
      </c>
      <c r="CN97" s="24">
        <f t="shared" si="66"/>
        <v>83.70087328535071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projet'!$B$9,Paramètres!$A$1:$I$88,3,0)*VLOOKUP('Données projet'!$B$9,Paramètres!$A$1:$I$88,5,0)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373.09674935534343</v>
      </c>
      <c r="T98" s="62">
        <f t="shared" si="88"/>
        <v>231.36959598460686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projet'!$B$9,Paramètres!$A$1:$I$88,7,0))</f>
        <v>0.25800000000000001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27.709472978580777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27.709472978580777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389</v>
      </c>
      <c r="AG98" s="13">
        <f>VLOOKUP(A98,'Données projet'!$A$61:$I$81,9,0)</f>
        <v>7.6</v>
      </c>
      <c r="AH98" s="13">
        <f t="array" ref="AH98">INDEX(AG:AG,MIN(IF(ISNUMBER(AG98:AG294),ROW(AG98:AG294),"")))</f>
        <v>7.6</v>
      </c>
      <c r="AI98" s="14">
        <f>IF('Données projet'!$A$62&gt;35,AI97+AH98-AQ97,IF(A98&lt;'Données projet'!$A$62,$AF$205^A98,IF(A98='Données projet'!$A$62,'Données projet'!$B$62,AI97+AH98-AQ97)))</f>
        <v>388.99999999999994</v>
      </c>
      <c r="AJ98" s="14">
        <f>AI98*VLOOKUP('Données projet'!$B$10,Paramètres!$A$1:$I$88,3,0)*VLOOKUP('Données projet'!$B$10,Paramètres!$A$1:$I$88,5,0)</f>
        <v>370.17239999999998</v>
      </c>
      <c r="AK98" s="14">
        <f t="shared" si="89"/>
        <v>85.702574820499791</v>
      </c>
      <c r="AL98" s="22">
        <f t="shared" si="58"/>
        <v>793.98224781237047</v>
      </c>
      <c r="AM98" s="62">
        <f t="shared" si="59"/>
        <v>1087.3155811457038</v>
      </c>
      <c r="AN98" s="62">
        <f ca="1">AVERAGE(OFFSET($AM$3,0,0,'Données projet'!$E$10+1,1))-AVERAGE(OFFSET($H$3,0,0,'Données projet'!$E$10+1,1))</f>
        <v>509.66893546110458</v>
      </c>
      <c r="AO98" s="62">
        <f t="shared" si="90"/>
        <v>280.1645836141924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25</v>
      </c>
      <c r="AR98" s="17">
        <f>IF(ISNA(VLOOKUP(A98,'Données projet'!$A$61:$I$81,5,0)),0%,VLOOKUP(A98,'Données projet'!$A$61:$I$81,5,0)*VLOOKUP('Données projet'!$B$10,Paramètres!$A$1:$I$88,7,0))</f>
        <v>0.25800000000000001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37.365563620048704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37.365563620048704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projet'!$B$11,Paramètres!$A$1:$I$88,3,0)*VLOOKUP('Données projet'!$B$11,Paramètres!$A$1:$I$88,5,0)</f>
        <v>1.3596945791505279E-13</v>
      </c>
      <c r="BF98" s="14">
        <f t="shared" si="91"/>
        <v>1.9708830566360721E-12</v>
      </c>
      <c r="BG98" s="22">
        <f t="shared" si="61"/>
        <v>3.669434796176543E-12</v>
      </c>
      <c r="BH98" s="62">
        <f t="shared" si="62"/>
        <v>293.33333333333701</v>
      </c>
      <c r="BI98" s="62">
        <f ca="1">AVERAGE(OFFSET($BH$3,0,0,'Données projet'!$E$11+1,1))-AVERAGE(OFFSET($H$3,0,0,'Données projet'!$E$11+1,1))</f>
        <v>311.82072478731385</v>
      </c>
      <c r="BJ98" s="62">
        <f t="shared" si="92"/>
        <v>356.36714671797864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79.308194451697133</v>
      </c>
      <c r="BQ98" s="23">
        <f>EXP(-LN(2)/25)*BQ97+(1-EXP(-LN(2)/25))/(LN(2)/25)*Calculateur!BL98*Calculateur!BN98*VLOOKUP('Données projet'!$B$11,Paramètres!$A$1:$I$88,3,0)*0.475*44/12</f>
        <v>17.660795686983938</v>
      </c>
      <c r="BR98" s="23">
        <f>EXP(-LN(2)/2)*BR97+(1-EXP(-LN(2)/2))/(LN(2)/2)*BL98*BO98*VLOOKUP('Données projet'!$B$11,Paramètres!$A$1:$I$88,3,0)*0.475*44/12</f>
        <v>1.5940980422320962E-4</v>
      </c>
      <c r="BS98" s="24">
        <f t="shared" si="63"/>
        <v>96.969149548485305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218.39403703215032</v>
      </c>
      <c r="CE98" s="62">
        <f t="shared" si="94"/>
        <v>254.08208375594052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71.122118869966897</v>
      </c>
      <c r="CL98" s="23">
        <f>EXP(-LN(2)/25)*CL97+(1-EXP(-LN(2)/25))/(LN(2)/25)*Calculateur!CG98*Calculateur!CI98*VLOOKUP('Données projet'!$B$12,Paramètres!$A$1:$I$88,3,0)*0.475*44/12</f>
        <v>10.850977484145119</v>
      </c>
      <c r="CM98" s="23">
        <f>EXP(-LN(2)/2)*CM97+(1-EXP(-LN(2)/2))/(LN(2)/2)*CG98*CJ98*VLOOKUP('Données projet'!$B$12,Paramètres!$A$1:$I$88,3,0)*0.475*44/12</f>
        <v>1.1143179472678393E-4</v>
      </c>
      <c r="CN98" s="24">
        <f t="shared" si="66"/>
        <v>81.973207785906737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projet'!$B$9,Paramètres!$A$1:$I$88,3,0)*VLOOKUP('Données projet'!$B$9,Paramètres!$A$1:$I$88,5,0)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373.09674935534343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27.16610711458048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27.16610711458048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7.2</v>
      </c>
      <c r="AI99" s="14">
        <f>IF('Données projet'!$A$62&gt;35,AI98+AH99-AQ98,IF(A99&lt;'Données projet'!$A$62,$AF$205^A99,IF(A99='Données projet'!$A$62,'Données projet'!$B$62,AI98+AH99-AQ98)))</f>
        <v>371.19999999999993</v>
      </c>
      <c r="AJ99" s="14">
        <f>AI99*VLOOKUP('Données projet'!$B$10,Paramètres!$A$1:$I$88,3,0)*VLOOKUP('Données projet'!$B$10,Paramètres!$A$1:$I$88,5,0)</f>
        <v>353.23391999999996</v>
      </c>
      <c r="AK99" s="14">
        <f t="shared" si="89"/>
        <v>82.228052087633429</v>
      </c>
      <c r="AL99" s="22">
        <f t="shared" si="58"/>
        <v>758.42960138596152</v>
      </c>
      <c r="AM99" s="62">
        <f t="shared" si="59"/>
        <v>1051.7629347192949</v>
      </c>
      <c r="AN99" s="62">
        <f ca="1">AVERAGE(OFFSET($AM$3,0,0,'Données projet'!$E$10+1,1))-AVERAGE(OFFSET($H$3,0,0,'Données projet'!$E$10+1,1))</f>
        <v>509.66893546110458</v>
      </c>
      <c r="AO99" s="62">
        <f t="shared" si="90"/>
        <v>280.1645836141924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36.632847708202959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36.632847708202959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projet'!$B$11,Paramètres!$A$1:$I$88,3,0)*VLOOKUP('Données projet'!$B$11,Paramètres!$A$1:$I$88,5,0)</f>
        <v>1.3596945791505279E-13</v>
      </c>
      <c r="BF99" s="14">
        <f t="shared" si="91"/>
        <v>1.9708830566360721E-12</v>
      </c>
      <c r="BG99" s="22">
        <f t="shared" si="61"/>
        <v>3.669434796176543E-12</v>
      </c>
      <c r="BH99" s="62">
        <f t="shared" si="62"/>
        <v>293.33333333333701</v>
      </c>
      <c r="BI99" s="62">
        <f ca="1">AVERAGE(OFFSET($BH$3,0,0,'Données projet'!$E$11+1,1))-AVERAGE(OFFSET($H$3,0,0,'Données projet'!$E$11+1,1))</f>
        <v>311.82072478731385</v>
      </c>
      <c r="BJ99" s="62">
        <f t="shared" si="92"/>
        <v>356.36714671797864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77.753009131721512</v>
      </c>
      <c r="BQ99" s="23">
        <f>EXP(-LN(2)/25)*BQ98+(1-EXP(-LN(2)/25))/(LN(2)/25)*Calculateur!BL99*Calculateur!BN99*VLOOKUP('Données projet'!$B$11,Paramètres!$A$1:$I$88,3,0)*0.475*44/12</f>
        <v>17.177860300182481</v>
      </c>
      <c r="BR99" s="23">
        <f>EXP(-LN(2)/2)*BR98+(1-EXP(-LN(2)/2))/(LN(2)/2)*BL99*BO99*VLOOKUP('Données projet'!$B$11,Paramètres!$A$1:$I$88,3,0)*0.475*44/12</f>
        <v>1.1271975355385147E-4</v>
      </c>
      <c r="BS99" s="24">
        <f t="shared" si="63"/>
        <v>94.93098215165756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218.39403703215032</v>
      </c>
      <c r="CE99" s="62">
        <f t="shared" si="94"/>
        <v>254.08208375594052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69.727457499135923</v>
      </c>
      <c r="CL99" s="23">
        <f>EXP(-LN(2)/25)*CL98+(1-EXP(-LN(2)/25))/(LN(2)/25)*Calculateur!CG99*Calculateur!CI99*VLOOKUP('Données projet'!$B$12,Paramètres!$A$1:$I$88,3,0)*0.475*44/12</f>
        <v>10.554256934213065</v>
      </c>
      <c r="CM99" s="23">
        <f>EXP(-LN(2)/2)*CM98+(1-EXP(-LN(2)/2))/(LN(2)/2)*CG99*CJ99*VLOOKUP('Données projet'!$B$12,Paramètres!$A$1:$I$88,3,0)*0.475*44/12</f>
        <v>7.8794177691096285E-5</v>
      </c>
      <c r="CN99" s="24">
        <f t="shared" si="66"/>
        <v>80.281793227526677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projet'!$B$9,Paramètres!$A$1:$I$88,3,0)*VLOOKUP('Données projet'!$B$9,Paramètres!$A$1:$I$88,5,0)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373.09674935534343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26.633396323752777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26.633396323752777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7.2</v>
      </c>
      <c r="AI100" s="14">
        <f>IF('Données projet'!$A$62&gt;35,AI99+AH100-AQ99,IF(A100&lt;'Données projet'!$A$62,$AF$205^A100,IF(A100='Données projet'!$A$62,'Données projet'!$B$62,AI99+AH100-AQ99)))</f>
        <v>378.39999999999992</v>
      </c>
      <c r="AJ100" s="14">
        <f>AI100*VLOOKUP('Données projet'!$B$10,Paramètres!$A$1:$I$88,3,0)*VLOOKUP('Données projet'!$B$10,Paramètres!$A$1:$I$88,5,0)</f>
        <v>360.08543999999995</v>
      </c>
      <c r="AK100" s="14">
        <f t="shared" si="89"/>
        <v>83.635762108787389</v>
      </c>
      <c r="AL100" s="22">
        <f t="shared" si="58"/>
        <v>772.81442700613798</v>
      </c>
      <c r="AM100" s="62">
        <f t="shared" si="59"/>
        <v>1066.1477603394712</v>
      </c>
      <c r="AN100" s="62">
        <f ca="1">AVERAGE(OFFSET($AM$3,0,0,'Données projet'!$E$10+1,1))-AVERAGE(OFFSET($H$3,0,0,'Données projet'!$E$10+1,1))</f>
        <v>509.66893546110458</v>
      </c>
      <c r="AO100" s="62">
        <f t="shared" si="90"/>
        <v>280.1645836141924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35.914499908475932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35.914499908475932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projet'!$B$11,Paramètres!$A$1:$I$88,3,0)*VLOOKUP('Données projet'!$B$11,Paramètres!$A$1:$I$88,5,0)</f>
        <v>1.3596945791505279E-13</v>
      </c>
      <c r="BF100" s="14">
        <f t="shared" si="91"/>
        <v>1.9708830566360721E-12</v>
      </c>
      <c r="BG100" s="22">
        <f t="shared" si="61"/>
        <v>3.669434796176543E-12</v>
      </c>
      <c r="BH100" s="62">
        <f t="shared" si="62"/>
        <v>293.33333333333701</v>
      </c>
      <c r="BI100" s="62">
        <f ca="1">AVERAGE(OFFSET($BH$3,0,0,'Données projet'!$E$11+1,1))-AVERAGE(OFFSET($H$3,0,0,'Données projet'!$E$11+1,1))</f>
        <v>311.82072478731385</v>
      </c>
      <c r="BJ100" s="62">
        <f t="shared" si="92"/>
        <v>356.36714671797864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76.228320047301224</v>
      </c>
      <c r="BQ100" s="23">
        <f>EXP(-LN(2)/25)*BQ99+(1-EXP(-LN(2)/25))/(LN(2)/25)*Calculateur!BL100*Calculateur!BN100*VLOOKUP('Données projet'!$B$11,Paramètres!$A$1:$I$88,3,0)*0.475*44/12</f>
        <v>16.708130806929578</v>
      </c>
      <c r="BR100" s="23">
        <f>EXP(-LN(2)/2)*BR99+(1-EXP(-LN(2)/2))/(LN(2)/2)*BL100*BO100*VLOOKUP('Données projet'!$B$11,Paramètres!$A$1:$I$88,3,0)*0.475*44/12</f>
        <v>7.9704902111604812E-5</v>
      </c>
      <c r="BS100" s="24">
        <f t="shared" si="63"/>
        <v>92.936530559132905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218.39403703215032</v>
      </c>
      <c r="CE100" s="62">
        <f t="shared" si="94"/>
        <v>254.08208375594052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68.360144587127493</v>
      </c>
      <c r="CL100" s="23">
        <f>EXP(-LN(2)/25)*CL99+(1-EXP(-LN(2)/25))/(LN(2)/25)*Calculateur!CG100*Calculateur!CI100*VLOOKUP('Données projet'!$B$12,Paramètres!$A$1:$I$88,3,0)*0.475*44/12</f>
        <v>10.265650223322758</v>
      </c>
      <c r="CM100" s="23">
        <f>EXP(-LN(2)/2)*CM99+(1-EXP(-LN(2)/2))/(LN(2)/2)*CG100*CJ100*VLOOKUP('Données projet'!$B$12,Paramètres!$A$1:$I$88,3,0)*0.475*44/12</f>
        <v>5.5715897363391966E-5</v>
      </c>
      <c r="CN100" s="24">
        <f t="shared" si="66"/>
        <v>78.62585052634762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projet'!$B$9,Paramètres!$A$1:$I$88,3,0)*VLOOKUP('Données projet'!$B$9,Paramètres!$A$1:$I$88,5,0)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373.09674935534343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26.111131666611705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26.111131666611705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7.2</v>
      </c>
      <c r="AI101" s="14">
        <f>IF('Données projet'!$A$62&gt;35,AI100+AH101-AQ100,IF(A101&lt;'Données projet'!$A$62,$AF$205^A101,IF(A101='Données projet'!$A$62,'Données projet'!$B$62,AI100+AH101-AQ100)))</f>
        <v>385.59999999999991</v>
      </c>
      <c r="AJ101" s="14">
        <f>AI101*VLOOKUP('Données projet'!$B$10,Paramètres!$A$1:$I$88,3,0)*VLOOKUP('Données projet'!$B$10,Paramètres!$A$1:$I$88,5,0)</f>
        <v>366.93695999999994</v>
      </c>
      <c r="AK101" s="14">
        <f t="shared" si="89"/>
        <v>85.040357586405037</v>
      </c>
      <c r="AL101" s="22">
        <f t="shared" si="58"/>
        <v>787.19382812965523</v>
      </c>
      <c r="AM101" s="62">
        <f t="shared" si="59"/>
        <v>1080.5271614629885</v>
      </c>
      <c r="AN101" s="62">
        <f ca="1">AVERAGE(OFFSET($AM$3,0,0,'Données projet'!$E$10+1,1))-AVERAGE(OFFSET($H$3,0,0,'Données projet'!$E$10+1,1))</f>
        <v>509.66893546110458</v>
      </c>
      <c r="AO101" s="62">
        <f t="shared" si="90"/>
        <v>280.1645836141924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35.210238470952653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35.210238470952653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projet'!$B$11,Paramètres!$A$1:$I$88,3,0)*VLOOKUP('Données projet'!$B$11,Paramètres!$A$1:$I$88,5,0)</f>
        <v>1.3596945791505279E-13</v>
      </c>
      <c r="BF101" s="14">
        <f t="shared" si="91"/>
        <v>1.9708830566360721E-12</v>
      </c>
      <c r="BG101" s="22">
        <f t="shared" si="61"/>
        <v>3.669434796176543E-12</v>
      </c>
      <c r="BH101" s="62">
        <f t="shared" si="62"/>
        <v>293.33333333333701</v>
      </c>
      <c r="BI101" s="62">
        <f ca="1">AVERAGE(OFFSET($BH$3,0,0,'Données projet'!$E$11+1,1))-AVERAGE(OFFSET($H$3,0,0,'Données projet'!$E$11+1,1))</f>
        <v>311.82072478731385</v>
      </c>
      <c r="BJ101" s="62">
        <f t="shared" si="92"/>
        <v>356.36714671797864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74.733529185857904</v>
      </c>
      <c r="BQ101" s="23">
        <f>EXP(-LN(2)/25)*BQ100+(1-EXP(-LN(2)/25))/(LN(2)/25)*Calculateur!BL101*Calculateur!BN101*VLOOKUP('Données projet'!$B$11,Paramètres!$A$1:$I$88,3,0)*0.475*44/12</f>
        <v>16.251246091371677</v>
      </c>
      <c r="BR101" s="23">
        <f>EXP(-LN(2)/2)*BR100+(1-EXP(-LN(2)/2))/(LN(2)/2)*BL101*BO101*VLOOKUP('Données projet'!$B$11,Paramètres!$A$1:$I$88,3,0)*0.475*44/12</f>
        <v>5.6359876776925734E-5</v>
      </c>
      <c r="BS101" s="24">
        <f t="shared" si="63"/>
        <v>90.984831637106353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218.39403703215032</v>
      </c>
      <c r="CE101" s="62">
        <f t="shared" si="94"/>
        <v>254.08208375594052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67.019643847345023</v>
      </c>
      <c r="CL101" s="23">
        <f>EXP(-LN(2)/25)*CL100+(1-EXP(-LN(2)/25))/(LN(2)/25)*Calculateur!CG101*Calculateur!CI101*VLOOKUP('Données projet'!$B$12,Paramètres!$A$1:$I$88,3,0)*0.475*44/12</f>
        <v>9.9849354781189152</v>
      </c>
      <c r="CM101" s="23">
        <f>EXP(-LN(2)/2)*CM100+(1-EXP(-LN(2)/2))/(LN(2)/2)*CG101*CJ101*VLOOKUP('Données projet'!$B$12,Paramètres!$A$1:$I$88,3,0)*0.475*44/12</f>
        <v>3.9397088845548142E-5</v>
      </c>
      <c r="CN101" s="24">
        <f t="shared" si="66"/>
        <v>77.004618722552777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projet'!$B$9,Paramètres!$A$1:$I$88,3,0)*VLOOKUP('Données projet'!$B$9,Paramètres!$A$1:$I$88,5,0)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373.09674935534343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25.599108300847181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25.599108300847181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7.2</v>
      </c>
      <c r="AI102" s="14">
        <f>IF('Données projet'!$A$62&gt;35,AI101+AH102-AQ101,IF(A102&lt;'Données projet'!$A$62,$AF$205^A102,IF(A102='Données projet'!$A$62,'Données projet'!$B$62,AI101+AH102-AQ101)))</f>
        <v>392.7999999999999</v>
      </c>
      <c r="AJ102" s="14">
        <f>AI102*VLOOKUP('Données projet'!$B$10,Paramètres!$A$1:$I$88,3,0)*VLOOKUP('Données projet'!$B$10,Paramètres!$A$1:$I$88,5,0)</f>
        <v>373.78847999999988</v>
      </c>
      <c r="AK102" s="14">
        <f t="shared" si="89"/>
        <v>86.44190338224746</v>
      </c>
      <c r="AL102" s="22">
        <f t="shared" si="58"/>
        <v>801.56791772408076</v>
      </c>
      <c r="AM102" s="62">
        <f t="shared" si="59"/>
        <v>1094.9012510574141</v>
      </c>
      <c r="AN102" s="62">
        <f ca="1">AVERAGE(OFFSET($AM$3,0,0,'Données projet'!$E$10+1,1))-AVERAGE(OFFSET($H$3,0,0,'Données projet'!$E$10+1,1))</f>
        <v>509.66893546110458</v>
      </c>
      <c r="AO102" s="62">
        <f t="shared" si="90"/>
        <v>280.1645836141924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34.519787170662148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34.519787170662148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projet'!$B$11,Paramètres!$A$1:$I$88,3,0)*VLOOKUP('Données projet'!$B$11,Paramètres!$A$1:$I$88,5,0)</f>
        <v>1.3596945791505279E-13</v>
      </c>
      <c r="BF102" s="14">
        <f t="shared" si="91"/>
        <v>1.9708830566360721E-12</v>
      </c>
      <c r="BG102" s="22">
        <f t="shared" si="61"/>
        <v>3.669434796176543E-12</v>
      </c>
      <c r="BH102" s="62">
        <f t="shared" si="62"/>
        <v>293.33333333333701</v>
      </c>
      <c r="BI102" s="62">
        <f ca="1">AVERAGE(OFFSET($BH$3,0,0,'Données projet'!$E$11+1,1))-AVERAGE(OFFSET($H$3,0,0,'Données projet'!$E$11+1,1))</f>
        <v>311.82072478731385</v>
      </c>
      <c r="BJ102" s="62">
        <f t="shared" si="92"/>
        <v>356.36714671797864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73.268050261475096</v>
      </c>
      <c r="BQ102" s="23">
        <f>EXP(-LN(2)/25)*BQ101+(1-EXP(-LN(2)/25))/(LN(2)/25)*Calculateur!BL102*Calculateur!BN102*VLOOKUP('Données projet'!$B$11,Paramètres!$A$1:$I$88,3,0)*0.475*44/12</f>
        <v>15.806854912387228</v>
      </c>
      <c r="BR102" s="23">
        <f>EXP(-LN(2)/2)*BR101+(1-EXP(-LN(2)/2))/(LN(2)/2)*BL102*BO102*VLOOKUP('Données projet'!$B$11,Paramètres!$A$1:$I$88,3,0)*0.475*44/12</f>
        <v>3.9852451055802406E-5</v>
      </c>
      <c r="BS102" s="24">
        <f t="shared" si="63"/>
        <v>89.074945026313372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218.39403703215032</v>
      </c>
      <c r="CE102" s="62">
        <f t="shared" si="94"/>
        <v>254.08208375594052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65.705429509444969</v>
      </c>
      <c r="CL102" s="23">
        <f>EXP(-LN(2)/25)*CL101+(1-EXP(-LN(2)/25))/(LN(2)/25)*Calculateur!CG102*Calculateur!CI102*VLOOKUP('Données projet'!$B$12,Paramètres!$A$1:$I$88,3,0)*0.475*44/12</f>
        <v>9.7118968923848179</v>
      </c>
      <c r="CM102" s="23">
        <f>EXP(-LN(2)/2)*CM101+(1-EXP(-LN(2)/2))/(LN(2)/2)*CG102*CJ102*VLOOKUP('Données projet'!$B$12,Paramètres!$A$1:$I$88,3,0)*0.475*44/12</f>
        <v>2.7857948681695983E-5</v>
      </c>
      <c r="CN102" s="24">
        <f t="shared" si="66"/>
        <v>75.417354259778463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projet'!$B$9,Paramètres!$A$1:$I$88,3,0)*VLOOKUP('Données projet'!$B$9,Paramètres!$A$1:$I$88,5,0)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373.09674935534343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projet'!$B$9,Paramètres!$A$1:$I$88,7,0))</f>
        <v>0.30099999999999999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31.419576698798217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31.419576698798217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400</v>
      </c>
      <c r="AG103" s="13">
        <f>VLOOKUP(A103,'Données projet'!$A$61:$I$81,9,0)</f>
        <v>7.2</v>
      </c>
      <c r="AH103" s="13">
        <f t="array" ref="AH103">INDEX(AG:AG,MIN(IF(ISNUMBER(AG103:AG299),ROW(AG103:AG299),"")))</f>
        <v>7.2</v>
      </c>
      <c r="AI103" s="14">
        <f>IF('Données projet'!$A$62&gt;35,AI102+AH103-AQ102,IF(A103&lt;'Données projet'!$A$62,$AF$205^A103,IF(A103='Données projet'!$A$62,'Données projet'!$B$62,AI102+AH103-AQ102)))</f>
        <v>399.99999999999989</v>
      </c>
      <c r="AJ103" s="14">
        <f>AI103*VLOOKUP('Données projet'!$B$10,Paramètres!$A$1:$I$88,3,0)*VLOOKUP('Données projet'!$B$10,Paramètres!$A$1:$I$88,5,0)</f>
        <v>380.63999999999987</v>
      </c>
      <c r="AK103" s="14">
        <f t="shared" si="89"/>
        <v>87.840461844123254</v>
      </c>
      <c r="AL103" s="22">
        <f t="shared" si="58"/>
        <v>815.93680437851435</v>
      </c>
      <c r="AM103" s="62">
        <f t="shared" si="59"/>
        <v>1109.2701377118476</v>
      </c>
      <c r="AN103" s="62">
        <f ca="1">AVERAGE(OFFSET($AM$3,0,0,'Données projet'!$E$10+1,1))-AVERAGE(OFFSET($H$3,0,0,'Données projet'!$E$10+1,1))</f>
        <v>509.66893546110458</v>
      </c>
      <c r="AO103" s="62">
        <f t="shared" si="90"/>
        <v>280.1645836141924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24</v>
      </c>
      <c r="AR103" s="17">
        <f>IF(ISNA(VLOOKUP(A103,'Données projet'!$A$61:$I$81,5,0)),0%,VLOOKUP(A103,'Données projet'!$A$61:$I$81,5,0)*VLOOKUP('Données projet'!$B$10,Paramètres!$A$1:$I$88,7,0))</f>
        <v>0.30099999999999999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41.442274788730153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41.442274788730153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projet'!$B$11,Paramètres!$A$1:$I$88,3,0)*VLOOKUP('Données projet'!$B$11,Paramètres!$A$1:$I$88,5,0)</f>
        <v>1.3596945791505279E-13</v>
      </c>
      <c r="BF103" s="14">
        <f t="shared" si="91"/>
        <v>1.9708830566360721E-12</v>
      </c>
      <c r="BG103" s="22">
        <f t="shared" si="61"/>
        <v>3.669434796176543E-12</v>
      </c>
      <c r="BH103" s="62">
        <f t="shared" si="62"/>
        <v>293.33333333333701</v>
      </c>
      <c r="BI103" s="62">
        <f ca="1">AVERAGE(OFFSET($BH$3,0,0,'Données projet'!$E$11+1,1))-AVERAGE(OFFSET($H$3,0,0,'Données projet'!$E$11+1,1))</f>
        <v>311.82072478731385</v>
      </c>
      <c r="BJ103" s="62">
        <f t="shared" si="92"/>
        <v>356.36714671797864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71.831308484945552</v>
      </c>
      <c r="BQ103" s="23">
        <f>EXP(-LN(2)/25)*BQ102+(1-EXP(-LN(2)/25))/(LN(2)/25)*Calculateur!BL103*Calculateur!BN103*VLOOKUP('Données projet'!$B$11,Paramètres!$A$1:$I$88,3,0)*0.475*44/12</f>
        <v>15.374615633561627</v>
      </c>
      <c r="BR103" s="23">
        <f>EXP(-LN(2)/2)*BR102+(1-EXP(-LN(2)/2))/(LN(2)/2)*BL103*BO103*VLOOKUP('Données projet'!$B$11,Paramètres!$A$1:$I$88,3,0)*0.475*44/12</f>
        <v>2.8179938388462867E-5</v>
      </c>
      <c r="BS103" s="24">
        <f t="shared" si="63"/>
        <v>87.205952298445567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218.39403703215032</v>
      </c>
      <c r="CE103" s="62">
        <f t="shared" si="94"/>
        <v>254.08208375594052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64.416986113119549</v>
      </c>
      <c r="CL103" s="23">
        <f>EXP(-LN(2)/25)*CL102+(1-EXP(-LN(2)/25))/(LN(2)/25)*Calculateur!CG103*Calculateur!CI103*VLOOKUP('Données projet'!$B$12,Paramètres!$A$1:$I$88,3,0)*0.475*44/12</f>
        <v>9.4463245611360946</v>
      </c>
      <c r="CM103" s="23">
        <f>EXP(-LN(2)/2)*CM102+(1-EXP(-LN(2)/2))/(LN(2)/2)*CG103*CJ103*VLOOKUP('Données projet'!$B$12,Paramètres!$A$1:$I$88,3,0)*0.475*44/12</f>
        <v>1.9698544422774071E-5</v>
      </c>
      <c r="CN103" s="24">
        <f t="shared" si="66"/>
        <v>73.863330372800064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projet'!$B$9,Paramètres!$A$1:$I$88,3,0)*VLOOKUP('Données projet'!$B$9,Paramètres!$A$1:$I$88,5,0)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373.09674935534343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30.803457963784279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30.803457963784279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8.4</v>
      </c>
      <c r="AI104" s="14">
        <f>IF('Données projet'!$A$62&gt;35,AI103+AH104-AQ103,IF(A104&lt;'Données projet'!$A$62,$AF$205^A104,IF(A104='Données projet'!$A$62,'Données projet'!$B$62,AI103+AH104-AQ103)))</f>
        <v>384.39999999999986</v>
      </c>
      <c r="AJ104" s="14">
        <f>AI104*VLOOKUP('Données projet'!$B$10,Paramètres!$A$1:$I$88,3,0)*VLOOKUP('Données projet'!$B$10,Paramètres!$A$1:$I$88,5,0)</f>
        <v>365.79503999999991</v>
      </c>
      <c r="AK104" s="14">
        <f t="shared" si="89"/>
        <v>84.806471843356306</v>
      </c>
      <c r="AL104" s="22">
        <f t="shared" si="58"/>
        <v>784.79763312717876</v>
      </c>
      <c r="AM104" s="62">
        <f t="shared" si="59"/>
        <v>1078.1309664605121</v>
      </c>
      <c r="AN104" s="62">
        <f ca="1">AVERAGE(OFFSET($AM$3,0,0,'Données projet'!$E$10+1,1))-AVERAGE(OFFSET($H$3,0,0,'Données projet'!$E$10+1,1))</f>
        <v>509.66893546110458</v>
      </c>
      <c r="AO104" s="62">
        <f t="shared" si="90"/>
        <v>280.1645836141924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40.629617057414848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40.629617057414848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projet'!$B$11,Paramètres!$A$1:$I$88,3,0)*VLOOKUP('Données projet'!$B$11,Paramètres!$A$1:$I$88,5,0)</f>
        <v>1.3596945791505279E-13</v>
      </c>
      <c r="BF104" s="14">
        <f t="shared" si="91"/>
        <v>1.9708830566360721E-12</v>
      </c>
      <c r="BG104" s="22">
        <f t="shared" si="61"/>
        <v>3.669434796176543E-12</v>
      </c>
      <c r="BH104" s="62">
        <f t="shared" si="62"/>
        <v>293.33333333333701</v>
      </c>
      <c r="BI104" s="62">
        <f ca="1">AVERAGE(OFFSET($BH$3,0,0,'Données projet'!$E$11+1,1))-AVERAGE(OFFSET($H$3,0,0,'Données projet'!$E$11+1,1))</f>
        <v>311.82072478731385</v>
      </c>
      <c r="BJ104" s="62">
        <f t="shared" si="92"/>
        <v>356.36714671797864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70.422740338327799</v>
      </c>
      <c r="BQ104" s="23">
        <f>EXP(-LN(2)/25)*BQ103+(1-EXP(-LN(2)/25))/(LN(2)/25)*Calculateur!BL104*Calculateur!BN104*VLOOKUP('Données projet'!$B$11,Paramètres!$A$1:$I$88,3,0)*0.475*44/12</f>
        <v>14.954195960545986</v>
      </c>
      <c r="BR104" s="23">
        <f>EXP(-LN(2)/2)*BR103+(1-EXP(-LN(2)/2))/(LN(2)/2)*BL104*BO104*VLOOKUP('Données projet'!$B$11,Paramètres!$A$1:$I$88,3,0)*0.475*44/12</f>
        <v>1.9926225527901203E-5</v>
      </c>
      <c r="BS104" s="24">
        <f t="shared" si="63"/>
        <v>85.37695622509932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218.39403703215032</v>
      </c>
      <c r="CE104" s="62">
        <f t="shared" si="94"/>
        <v>254.08208375594052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63.153808305923192</v>
      </c>
      <c r="CL104" s="23">
        <f>EXP(-LN(2)/25)*CL103+(1-EXP(-LN(2)/25))/(LN(2)/25)*Calculateur!CG104*Calculateur!CI104*VLOOKUP('Données projet'!$B$12,Paramètres!$A$1:$I$88,3,0)*0.475*44/12</f>
        <v>9.1880143192512094</v>
      </c>
      <c r="CM104" s="23">
        <f>EXP(-LN(2)/2)*CM103+(1-EXP(-LN(2)/2))/(LN(2)/2)*CG104*CJ104*VLOOKUP('Données projet'!$B$12,Paramètres!$A$1:$I$88,3,0)*0.475*44/12</f>
        <v>1.3928974340847991E-5</v>
      </c>
      <c r="CN104" s="24">
        <f t="shared" si="66"/>
        <v>72.341836554148742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projet'!$B$9,Paramètres!$A$1:$I$88,3,0)*VLOOKUP('Données projet'!$B$9,Paramètres!$A$1:$I$88,5,0)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373.09674935534343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30.19942094136864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30.19942094136864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8.4</v>
      </c>
      <c r="AI105" s="14">
        <f>IF('Données projet'!$A$62&gt;35,AI104+AH105-AQ104,IF(A105&lt;'Données projet'!$A$62,$AF$205^A105,IF(A105='Données projet'!$A$62,'Données projet'!$B$62,AI104+AH105-AQ104)))</f>
        <v>392.79999999999984</v>
      </c>
      <c r="AJ105" s="14">
        <f>AI105*VLOOKUP('Données projet'!$B$10,Paramètres!$A$1:$I$88,3,0)*VLOOKUP('Données projet'!$B$10,Paramètres!$A$1:$I$88,5,0)</f>
        <v>373.78847999999982</v>
      </c>
      <c r="AK105" s="14">
        <f t="shared" si="89"/>
        <v>86.441903382247375</v>
      </c>
      <c r="AL105" s="22">
        <f t="shared" si="58"/>
        <v>801.56791772408042</v>
      </c>
      <c r="AM105" s="62">
        <f t="shared" si="59"/>
        <v>1094.9012510574137</v>
      </c>
      <c r="AN105" s="62">
        <f ca="1">AVERAGE(OFFSET($AM$3,0,0,'Données projet'!$E$10+1,1))-AVERAGE(OFFSET($H$3,0,0,'Données projet'!$E$10+1,1))</f>
        <v>509.66893546110458</v>
      </c>
      <c r="AO105" s="62">
        <f t="shared" si="90"/>
        <v>280.1645836141924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39.832895048538369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39.832895048538369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projet'!$B$11,Paramètres!$A$1:$I$88,3,0)*VLOOKUP('Données projet'!$B$11,Paramètres!$A$1:$I$88,5,0)</f>
        <v>1.3596945791505279E-13</v>
      </c>
      <c r="BF105" s="14">
        <f t="shared" si="91"/>
        <v>1.9708830566360721E-12</v>
      </c>
      <c r="BG105" s="22">
        <f t="shared" si="61"/>
        <v>3.669434796176543E-12</v>
      </c>
      <c r="BH105" s="62">
        <f t="shared" si="62"/>
        <v>293.33333333333701</v>
      </c>
      <c r="BI105" s="62">
        <f ca="1">AVERAGE(OFFSET($BH$3,0,0,'Données projet'!$E$11+1,1))-AVERAGE(OFFSET($H$3,0,0,'Données projet'!$E$11+1,1))</f>
        <v>311.82072478731385</v>
      </c>
      <c r="BJ105" s="62">
        <f t="shared" si="92"/>
        <v>356.36714671797864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69.041793353923481</v>
      </c>
      <c r="BQ105" s="23">
        <f>EXP(-LN(2)/25)*BQ104+(1-EXP(-LN(2)/25))/(LN(2)/25)*Calculateur!BL105*Calculateur!BN105*VLOOKUP('Données projet'!$B$11,Paramètres!$A$1:$I$88,3,0)*0.475*44/12</f>
        <v>14.545272685597869</v>
      </c>
      <c r="BR105" s="23">
        <f>EXP(-LN(2)/2)*BR104+(1-EXP(-LN(2)/2))/(LN(2)/2)*BL105*BO105*VLOOKUP('Données projet'!$B$11,Paramètres!$A$1:$I$88,3,0)*0.475*44/12</f>
        <v>1.4089969194231434E-5</v>
      </c>
      <c r="BS105" s="24">
        <f t="shared" si="63"/>
        <v>83.587080129490545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218.39403703215032</v>
      </c>
      <c r="CE105" s="62">
        <f t="shared" si="94"/>
        <v>254.08208375594052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61.915400645063571</v>
      </c>
      <c r="CL105" s="23">
        <f>EXP(-LN(2)/25)*CL104+(1-EXP(-LN(2)/25))/(LN(2)/25)*Calculateur!CG105*Calculateur!CI105*VLOOKUP('Données projet'!$B$12,Paramètres!$A$1:$I$88,3,0)*0.475*44/12</f>
        <v>8.9367675845146106</v>
      </c>
      <c r="CM105" s="23">
        <f>EXP(-LN(2)/2)*CM104+(1-EXP(-LN(2)/2))/(LN(2)/2)*CG105*CJ105*VLOOKUP('Données projet'!$B$12,Paramètres!$A$1:$I$88,3,0)*0.475*44/12</f>
        <v>9.8492722113870356E-6</v>
      </c>
      <c r="CN105" s="24">
        <f t="shared" si="66"/>
        <v>70.8521780788504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projet'!$B$9,Paramètres!$A$1:$I$88,3,0)*VLOOKUP('Données projet'!$B$9,Paramètres!$A$1:$I$88,5,0)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373.09674935534343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29.607228716536369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29.607228716536369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8.4</v>
      </c>
      <c r="AI106" s="14">
        <f>IF('Données projet'!$A$62&gt;35,AI105+AH106-AQ105,IF(A106&lt;'Données projet'!$A$62,$AF$205^A106,IF(A106='Données projet'!$A$62,'Données projet'!$B$62,AI105+AH106-AQ105)))</f>
        <v>401.19999999999982</v>
      </c>
      <c r="AJ106" s="14">
        <f>AI106*VLOOKUP('Données projet'!$B$10,Paramètres!$A$1:$I$88,3,0)*VLOOKUP('Données projet'!$B$10,Paramètres!$A$1:$I$88,5,0)</f>
        <v>381.78191999999984</v>
      </c>
      <c r="AK106" s="14">
        <f t="shared" si="89"/>
        <v>88.073268730522258</v>
      </c>
      <c r="AL106" s="22">
        <f t="shared" si="58"/>
        <v>818.33112037232604</v>
      </c>
      <c r="AM106" s="62">
        <f t="shared" si="59"/>
        <v>1111.6644537056593</v>
      </c>
      <c r="AN106" s="62">
        <f ca="1">AVERAGE(OFFSET($AM$3,0,0,'Données projet'!$E$10+1,1))-AVERAGE(OFFSET($H$3,0,0,'Données projet'!$E$10+1,1))</f>
        <v>509.66893546110458</v>
      </c>
      <c r="AO106" s="62">
        <f t="shared" si="90"/>
        <v>280.1645836141924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39.051796272303513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39.051796272303513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projet'!$B$11,Paramètres!$A$1:$I$88,3,0)*VLOOKUP('Données projet'!$B$11,Paramètres!$A$1:$I$88,5,0)</f>
        <v>1.3596945791505279E-13</v>
      </c>
      <c r="BF106" s="14">
        <f t="shared" si="91"/>
        <v>1.9708830566360721E-12</v>
      </c>
      <c r="BG106" s="22">
        <f t="shared" si="61"/>
        <v>3.669434796176543E-12</v>
      </c>
      <c r="BH106" s="62">
        <f t="shared" si="62"/>
        <v>293.33333333333701</v>
      </c>
      <c r="BI106" s="62">
        <f ca="1">AVERAGE(OFFSET($BH$3,0,0,'Données projet'!$E$11+1,1))-AVERAGE(OFFSET($H$3,0,0,'Données projet'!$E$11+1,1))</f>
        <v>311.82072478731385</v>
      </c>
      <c r="BJ106" s="62">
        <f t="shared" si="92"/>
        <v>356.36714671797864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67.68792589758884</v>
      </c>
      <c r="BQ106" s="23">
        <f>EXP(-LN(2)/25)*BQ105+(1-EXP(-LN(2)/25))/(LN(2)/25)*Calculateur!BL106*Calculateur!BN106*VLOOKUP('Données projet'!$B$11,Paramètres!$A$1:$I$88,3,0)*0.475*44/12</f>
        <v>14.147531439107548</v>
      </c>
      <c r="BR106" s="23">
        <f>EXP(-LN(2)/2)*BR105+(1-EXP(-LN(2)/2))/(LN(2)/2)*BL106*BO106*VLOOKUP('Données projet'!$B$11,Paramètres!$A$1:$I$88,3,0)*0.475*44/12</f>
        <v>9.9631127639506016E-6</v>
      </c>
      <c r="BS106" s="24">
        <f t="shared" si="63"/>
        <v>81.835467299809153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218.39403703215032</v>
      </c>
      <c r="CE106" s="62">
        <f t="shared" si="94"/>
        <v>254.08208375594052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60.701277403079317</v>
      </c>
      <c r="CL106" s="23">
        <f>EXP(-LN(2)/25)*CL105+(1-EXP(-LN(2)/25))/(LN(2)/25)*Calculateur!CG106*Calculateur!CI106*VLOOKUP('Données projet'!$B$12,Paramètres!$A$1:$I$88,3,0)*0.475*44/12</f>
        <v>8.6923912049518766</v>
      </c>
      <c r="CM106" s="23">
        <f>EXP(-LN(2)/2)*CM105+(1-EXP(-LN(2)/2))/(LN(2)/2)*CG106*CJ106*VLOOKUP('Données projet'!$B$12,Paramètres!$A$1:$I$88,3,0)*0.475*44/12</f>
        <v>6.9644871704239957E-6</v>
      </c>
      <c r="CN106" s="24">
        <f t="shared" si="66"/>
        <v>69.393675572518362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projet'!$B$9,Paramètres!$A$1:$I$88,3,0)*VLOOKUP('Données projet'!$B$9,Paramètres!$A$1:$I$88,5,0)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373.09674935534343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29.026649020031467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29.026649020031467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8.4</v>
      </c>
      <c r="AI107" s="14">
        <f>IF('Données projet'!$A$62&gt;35,AI106+AH107-AQ106,IF(A107&lt;'Données projet'!$A$62,$AF$205^A107,IF(A107='Données projet'!$A$62,'Données projet'!$B$62,AI106+AH107-AQ106)))</f>
        <v>409.5999999999998</v>
      </c>
      <c r="AJ107" s="14">
        <f>AI107*VLOOKUP('Données projet'!$B$10,Paramètres!$A$1:$I$88,3,0)*VLOOKUP('Données projet'!$B$10,Paramètres!$A$1:$I$88,5,0)</f>
        <v>389.77535999999981</v>
      </c>
      <c r="AK107" s="14">
        <f t="shared" si="89"/>
        <v>89.70066283073163</v>
      </c>
      <c r="AL107" s="22">
        <f t="shared" si="58"/>
        <v>835.08740643019064</v>
      </c>
      <c r="AM107" s="62">
        <f t="shared" si="59"/>
        <v>1128.4207397635239</v>
      </c>
      <c r="AN107" s="62">
        <f ca="1">AVERAGE(OFFSET($AM$3,0,0,'Données projet'!$E$10+1,1))-AVERAGE(OFFSET($H$3,0,0,'Données projet'!$E$10+1,1))</f>
        <v>509.66893546110458</v>
      </c>
      <c r="AO107" s="62">
        <f t="shared" si="90"/>
        <v>280.1645836141924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38.286014366647414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38.286014366647414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projet'!$B$11,Paramètres!$A$1:$I$88,3,0)*VLOOKUP('Données projet'!$B$11,Paramètres!$A$1:$I$88,5,0)</f>
        <v>1.3596945791505279E-13</v>
      </c>
      <c r="BF107" s="14">
        <f t="shared" si="91"/>
        <v>1.9708830566360721E-12</v>
      </c>
      <c r="BG107" s="22">
        <f t="shared" si="61"/>
        <v>3.669434796176543E-12</v>
      </c>
      <c r="BH107" s="62">
        <f t="shared" si="62"/>
        <v>293.33333333333701</v>
      </c>
      <c r="BI107" s="62">
        <f ca="1">AVERAGE(OFFSET($BH$3,0,0,'Données projet'!$E$11+1,1))-AVERAGE(OFFSET($H$3,0,0,'Données projet'!$E$11+1,1))</f>
        <v>311.82072478731385</v>
      </c>
      <c r="BJ107" s="62">
        <f t="shared" si="92"/>
        <v>356.36714671797864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66.360606956295314</v>
      </c>
      <c r="BQ107" s="23">
        <f>EXP(-LN(2)/25)*BQ106+(1-EXP(-LN(2)/25))/(LN(2)/25)*Calculateur!BL107*Calculateur!BN107*VLOOKUP('Données projet'!$B$11,Paramètres!$A$1:$I$88,3,0)*0.475*44/12</f>
        <v>13.760666447918808</v>
      </c>
      <c r="BR107" s="23">
        <f>EXP(-LN(2)/2)*BR106+(1-EXP(-LN(2)/2))/(LN(2)/2)*BL107*BO107*VLOOKUP('Données projet'!$B$11,Paramètres!$A$1:$I$88,3,0)*0.475*44/12</f>
        <v>7.0449845971157168E-6</v>
      </c>
      <c r="BS107" s="24">
        <f t="shared" si="63"/>
        <v>80.121280449198721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218.39403703215032</v>
      </c>
      <c r="CE107" s="62">
        <f t="shared" si="94"/>
        <v>254.08208375594052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59.510962377328319</v>
      </c>
      <c r="CL107" s="23">
        <f>EXP(-LN(2)/25)*CL106+(1-EXP(-LN(2)/25))/(LN(2)/25)*Calculateur!CG107*Calculateur!CI107*VLOOKUP('Données projet'!$B$12,Paramètres!$A$1:$I$88,3,0)*0.475*44/12</f>
        <v>8.4546973103394816</v>
      </c>
      <c r="CM107" s="23">
        <f>EXP(-LN(2)/2)*CM106+(1-EXP(-LN(2)/2))/(LN(2)/2)*CG107*CJ107*VLOOKUP('Données projet'!$B$12,Paramètres!$A$1:$I$88,3,0)*0.475*44/12</f>
        <v>4.9246361056935178E-6</v>
      </c>
      <c r="CN107" s="24">
        <f t="shared" si="66"/>
        <v>67.965664612303897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projet'!$B$9,Paramètres!$A$1:$I$88,3,0)*VLOOKUP('Données projet'!$B$9,Paramètres!$A$1:$I$88,5,0)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373.09674935534343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projet'!$B$9,Paramètres!$A$1:$I$88,7,0))</f>
        <v>0.30099999999999999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34.478836325652885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34.478836325652885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418</v>
      </c>
      <c r="AG108" s="13">
        <f>VLOOKUP(A108,'Données projet'!$A$61:$I$81,9,0)</f>
        <v>8.4</v>
      </c>
      <c r="AH108" s="13">
        <f t="array" ref="AH108">INDEX(AG:AG,MIN(IF(ISNUMBER(AG108:AG304),ROW(AG108:AG304),"")))</f>
        <v>8.4</v>
      </c>
      <c r="AI108" s="14">
        <f>IF('Données projet'!$A$62&gt;35,AI107+AH108-AQ107,IF(A108&lt;'Données projet'!$A$62,$AF$205^A108,IF(A108='Données projet'!$A$62,'Données projet'!$B$62,AI107+AH108-AQ107)))</f>
        <v>417.99999999999977</v>
      </c>
      <c r="AJ108" s="14">
        <f>AI108*VLOOKUP('Données projet'!$B$10,Paramètres!$A$1:$I$88,3,0)*VLOOKUP('Données projet'!$B$10,Paramètres!$A$1:$I$88,5,0)</f>
        <v>397.76879999999977</v>
      </c>
      <c r="AK108" s="14">
        <f t="shared" si="89"/>
        <v>91.324176508708348</v>
      </c>
      <c r="AL108" s="22">
        <f t="shared" si="58"/>
        <v>851.83693408600004</v>
      </c>
      <c r="AM108" s="62">
        <f t="shared" si="59"/>
        <v>1145.1702674193334</v>
      </c>
      <c r="AN108" s="62">
        <f ca="1">AVERAGE(OFFSET($AM$3,0,0,'Données projet'!$E$10+1,1))-AVERAGE(OFFSET($H$3,0,0,'Données projet'!$E$10+1,1))</f>
        <v>509.66893546110458</v>
      </c>
      <c r="AO108" s="62">
        <f t="shared" si="90"/>
        <v>280.1645836141924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23</v>
      </c>
      <c r="AR108" s="17">
        <f>IF(ISNA(VLOOKUP(A108,'Données projet'!$A$61:$I$81,5,0)),0%,VLOOKUP(A108,'Données projet'!$A$61:$I$81,5,0)*VLOOKUP('Données projet'!$B$10,Paramètres!$A$1:$I$88,7,0))</f>
        <v>0.30099999999999999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44.818006917011679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44.818006917011679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projet'!$B$11,Paramètres!$A$1:$I$88,3,0)*VLOOKUP('Données projet'!$B$11,Paramètres!$A$1:$I$88,5,0)</f>
        <v>1.3596945791505279E-13</v>
      </c>
      <c r="BF108" s="14">
        <f t="shared" si="91"/>
        <v>1.9708830566360721E-12</v>
      </c>
      <c r="BG108" s="22">
        <f t="shared" si="61"/>
        <v>3.669434796176543E-12</v>
      </c>
      <c r="BH108" s="62">
        <f t="shared" si="62"/>
        <v>293.33333333333701</v>
      </c>
      <c r="BI108" s="62">
        <f ca="1">AVERAGE(OFFSET($BH$3,0,0,'Données projet'!$E$11+1,1))-AVERAGE(OFFSET($H$3,0,0,'Données projet'!$E$11+1,1))</f>
        <v>311.82072478731385</v>
      </c>
      <c r="BJ108" s="62">
        <f t="shared" si="92"/>
        <v>356.36714671797864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65.059315929855941</v>
      </c>
      <c r="BQ108" s="23">
        <f>EXP(-LN(2)/25)*BQ107+(1-EXP(-LN(2)/25))/(LN(2)/25)*Calculateur!BL108*Calculateur!BN108*VLOOKUP('Données projet'!$B$11,Paramètres!$A$1:$I$88,3,0)*0.475*44/12</f>
        <v>13.384380300258471</v>
      </c>
      <c r="BR108" s="23">
        <f>EXP(-LN(2)/2)*BR107+(1-EXP(-LN(2)/2))/(LN(2)/2)*BL108*BO108*VLOOKUP('Données projet'!$B$11,Paramètres!$A$1:$I$88,3,0)*0.475*44/12</f>
        <v>4.9815563819753008E-6</v>
      </c>
      <c r="BS108" s="24">
        <f t="shared" si="63"/>
        <v>78.443701211670799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218.39403703215032</v>
      </c>
      <c r="CE108" s="62">
        <f t="shared" si="94"/>
        <v>254.08208375594052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58.343988703211821</v>
      </c>
      <c r="CL108" s="23">
        <f>EXP(-LN(2)/25)*CL107+(1-EXP(-LN(2)/25))/(LN(2)/25)*Calculateur!CG108*Calculateur!CI108*VLOOKUP('Données projet'!$B$12,Paramètres!$A$1:$I$88,3,0)*0.475*44/12</f>
        <v>8.223503167775041</v>
      </c>
      <c r="CM108" s="23">
        <f>EXP(-LN(2)/2)*CM107+(1-EXP(-LN(2)/2))/(LN(2)/2)*CG108*CJ108*VLOOKUP('Données projet'!$B$12,Paramètres!$A$1:$I$88,3,0)*0.475*44/12</f>
        <v>3.4822435852119979E-6</v>
      </c>
      <c r="CN108" s="24">
        <f t="shared" si="66"/>
        <v>66.567495353230441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projet'!$B$9,Paramètres!$A$1:$I$88,3,0)*VLOOKUP('Données projet'!$B$9,Paramètres!$A$1:$I$88,5,0)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373.09674935534343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33.802727375320451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33.802727375320451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6.2</v>
      </c>
      <c r="AI109" s="14">
        <f>IF('Données projet'!$A$62&gt;35,AI108+AH109-AQ108,IF(A109&lt;'Données projet'!$A$62,$AF$205^A109,IF(A109='Données projet'!$A$62,'Données projet'!$B$62,AI108+AH109-AQ108)))</f>
        <v>401.19999999999976</v>
      </c>
      <c r="AJ109" s="14">
        <f>AI109*VLOOKUP('Données projet'!$B$10,Paramètres!$A$1:$I$88,3,0)*VLOOKUP('Données projet'!$B$10,Paramètres!$A$1:$I$88,5,0)</f>
        <v>381.78191999999979</v>
      </c>
      <c r="AK109" s="14">
        <f t="shared" si="89"/>
        <v>88.073268730522258</v>
      </c>
      <c r="AL109" s="22">
        <f t="shared" si="58"/>
        <v>818.33112037232593</v>
      </c>
      <c r="AM109" s="62">
        <f t="shared" si="59"/>
        <v>1111.6644537056593</v>
      </c>
      <c r="AN109" s="62">
        <f ca="1">AVERAGE(OFFSET($AM$3,0,0,'Données projet'!$E$10+1,1))-AVERAGE(OFFSET($H$3,0,0,'Données projet'!$E$10+1,1))</f>
        <v>509.66893546110458</v>
      </c>
      <c r="AO109" s="62">
        <f t="shared" si="90"/>
        <v>280.1645836141924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43.939153137654067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43.939153137654067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projet'!$B$11,Paramètres!$A$1:$I$88,3,0)*VLOOKUP('Données projet'!$B$11,Paramètres!$A$1:$I$88,5,0)</f>
        <v>1.3596945791505279E-13</v>
      </c>
      <c r="BF109" s="14">
        <f t="shared" si="91"/>
        <v>1.9708830566360721E-12</v>
      </c>
      <c r="BG109" s="22">
        <f t="shared" si="61"/>
        <v>3.669434796176543E-12</v>
      </c>
      <c r="BH109" s="62">
        <f t="shared" si="62"/>
        <v>293.33333333333701</v>
      </c>
      <c r="BI109" s="62">
        <f ca="1">AVERAGE(OFFSET($BH$3,0,0,'Données projet'!$E$11+1,1))-AVERAGE(OFFSET($H$3,0,0,'Données projet'!$E$11+1,1))</f>
        <v>311.82072478731385</v>
      </c>
      <c r="BJ109" s="62">
        <f t="shared" si="92"/>
        <v>356.36714671797864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63.783542426735885</v>
      </c>
      <c r="BQ109" s="23">
        <f>EXP(-LN(2)/25)*BQ108+(1-EXP(-LN(2)/25))/(LN(2)/25)*Calculateur!BL109*Calculateur!BN109*VLOOKUP('Données projet'!$B$11,Paramètres!$A$1:$I$88,3,0)*0.475*44/12</f>
        <v>13.018383717093933</v>
      </c>
      <c r="BR109" s="23">
        <f>EXP(-LN(2)/2)*BR108+(1-EXP(-LN(2)/2))/(LN(2)/2)*BL109*BO109*VLOOKUP('Données projet'!$B$11,Paramètres!$A$1:$I$88,3,0)*0.475*44/12</f>
        <v>3.5224922985578584E-6</v>
      </c>
      <c r="BS109" s="24">
        <f t="shared" si="63"/>
        <v>76.80192966632211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218.39403703215032</v>
      </c>
      <c r="CE109" s="62">
        <f t="shared" si="94"/>
        <v>254.08208375594052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57.199898671061092</v>
      </c>
      <c r="CL109" s="23">
        <f>EXP(-LN(2)/25)*CL108+(1-EXP(-LN(2)/25))/(LN(2)/25)*Calculateur!CG109*Calculateur!CI109*VLOOKUP('Données projet'!$B$12,Paramètres!$A$1:$I$88,3,0)*0.475*44/12</f>
        <v>7.9986310411969956</v>
      </c>
      <c r="CM109" s="23">
        <f>EXP(-LN(2)/2)*CM108+(1-EXP(-LN(2)/2))/(LN(2)/2)*CG109*CJ109*VLOOKUP('Données projet'!$B$12,Paramètres!$A$1:$I$88,3,0)*0.475*44/12</f>
        <v>2.4623180528467589E-6</v>
      </c>
      <c r="CN109" s="24">
        <f t="shared" si="66"/>
        <v>65.198532174576144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projet'!$B$9,Paramètres!$A$1:$I$88,3,0)*VLOOKUP('Données projet'!$B$9,Paramètres!$A$1:$I$88,5,0)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373.09674935534343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33.139876509118295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33.139876509118295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6.2</v>
      </c>
      <c r="AI110" s="14">
        <f>IF('Données projet'!$A$62&gt;35,AI109+AH110-AQ109,IF(A110&lt;'Données projet'!$A$62,$AF$205^A110,IF(A110='Données projet'!$A$62,'Données projet'!$B$62,AI109+AH110-AQ109)))</f>
        <v>407.39999999999975</v>
      </c>
      <c r="AJ110" s="14">
        <f>AI110*VLOOKUP('Données projet'!$B$10,Paramètres!$A$1:$I$88,3,0)*VLOOKUP('Données projet'!$B$10,Paramètres!$A$1:$I$88,5,0)</f>
        <v>387.68183999999974</v>
      </c>
      <c r="AK110" s="14">
        <f t="shared" si="89"/>
        <v>89.274819252392788</v>
      </c>
      <c r="AL110" s="22">
        <f t="shared" si="58"/>
        <v>830.69951486458365</v>
      </c>
      <c r="AM110" s="62">
        <f t="shared" si="59"/>
        <v>1124.032848197917</v>
      </c>
      <c r="AN110" s="62">
        <f ca="1">AVERAGE(OFFSET($AM$3,0,0,'Données projet'!$E$10+1,1))-AVERAGE(OFFSET($H$3,0,0,'Données projet'!$E$10+1,1))</f>
        <v>509.66893546110458</v>
      </c>
      <c r="AO110" s="62">
        <f t="shared" si="90"/>
        <v>280.1645836141924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43.077533144861782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43.077533144861782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projet'!$B$11,Paramètres!$A$1:$I$88,3,0)*VLOOKUP('Données projet'!$B$11,Paramètres!$A$1:$I$88,5,0)</f>
        <v>1.3596945791505279E-13</v>
      </c>
      <c r="BF110" s="14">
        <f t="shared" si="91"/>
        <v>1.9708830566360721E-12</v>
      </c>
      <c r="BG110" s="22">
        <f t="shared" si="61"/>
        <v>3.669434796176543E-12</v>
      </c>
      <c r="BH110" s="62">
        <f t="shared" si="62"/>
        <v>293.33333333333701</v>
      </c>
      <c r="BI110" s="62">
        <f ca="1">AVERAGE(OFFSET($BH$3,0,0,'Données projet'!$E$11+1,1))-AVERAGE(OFFSET($H$3,0,0,'Données projet'!$E$11+1,1))</f>
        <v>311.82072478731385</v>
      </c>
      <c r="BJ110" s="62">
        <f t="shared" si="92"/>
        <v>356.36714671797864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62.532786063867015</v>
      </c>
      <c r="BQ110" s="23">
        <f>EXP(-LN(2)/25)*BQ109+(1-EXP(-LN(2)/25))/(LN(2)/25)*Calculateur!BL110*Calculateur!BN110*VLOOKUP('Données projet'!$B$11,Paramètres!$A$1:$I$88,3,0)*0.475*44/12</f>
        <v>12.662395329742953</v>
      </c>
      <c r="BR110" s="23">
        <f>EXP(-LN(2)/2)*BR109+(1-EXP(-LN(2)/2))/(LN(2)/2)*BL110*BO110*VLOOKUP('Données projet'!$B$11,Paramètres!$A$1:$I$88,3,0)*0.475*44/12</f>
        <v>2.4907781909876504E-6</v>
      </c>
      <c r="BS110" s="24">
        <f t="shared" si="63"/>
        <v>75.195183884388157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218.39403703215032</v>
      </c>
      <c r="CE110" s="62">
        <f t="shared" si="94"/>
        <v>254.08208375594052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56.078243546614821</v>
      </c>
      <c r="CL110" s="23">
        <f>EXP(-LN(2)/25)*CL109+(1-EXP(-LN(2)/25))/(LN(2)/25)*Calculateur!CG110*Calculateur!CI110*VLOOKUP('Données projet'!$B$12,Paramètres!$A$1:$I$88,3,0)*0.475*44/12</f>
        <v>7.7799080547457384</v>
      </c>
      <c r="CM110" s="23">
        <f>EXP(-LN(2)/2)*CM109+(1-EXP(-LN(2)/2))/(LN(2)/2)*CG110*CJ110*VLOOKUP('Données projet'!$B$12,Paramètres!$A$1:$I$88,3,0)*0.475*44/12</f>
        <v>1.7411217926059989E-6</v>
      </c>
      <c r="CN110" s="24">
        <f t="shared" si="66"/>
        <v>63.858153342482353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projet'!$B$9,Paramètres!$A$1:$I$88,3,0)*VLOOKUP('Données projet'!$B$9,Paramètres!$A$1:$I$88,5,0)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373.09674935534343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32.490023744103254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32.490023744103254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6.2</v>
      </c>
      <c r="AI111" s="14">
        <f>IF('Données projet'!$A$62&gt;35,AI110+AH111-AQ110,IF(A111&lt;'Données projet'!$A$62,$AF$205^A111,IF(A111='Données projet'!$A$62,'Données projet'!$B$62,AI110+AH111-AQ110)))</f>
        <v>413.59999999999974</v>
      </c>
      <c r="AJ111" s="14">
        <f>AI111*VLOOKUP('Données projet'!$B$10,Paramètres!$A$1:$I$88,3,0)*VLOOKUP('Données projet'!$B$10,Paramètres!$A$1:$I$88,5,0)</f>
        <v>393.58175999999975</v>
      </c>
      <c r="AK111" s="14">
        <f t="shared" si="89"/>
        <v>90.474243110639065</v>
      </c>
      <c r="AL111" s="22">
        <f t="shared" si="58"/>
        <v>843.06420541769592</v>
      </c>
      <c r="AM111" s="62">
        <f t="shared" si="59"/>
        <v>1136.3975387510293</v>
      </c>
      <c r="AN111" s="62">
        <f ca="1">AVERAGE(OFFSET($AM$3,0,0,'Données projet'!$E$10+1,1))-AVERAGE(OFFSET($H$3,0,0,'Données projet'!$E$10+1,1))</f>
        <v>509.66893546110458</v>
      </c>
      <c r="AO111" s="62">
        <f t="shared" si="90"/>
        <v>280.1645836141924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42.232808994591849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42.232808994591849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projet'!$B$11,Paramètres!$A$1:$I$88,3,0)*VLOOKUP('Données projet'!$B$11,Paramètres!$A$1:$I$88,5,0)</f>
        <v>1.3596945791505279E-13</v>
      </c>
      <c r="BF111" s="14">
        <f t="shared" si="91"/>
        <v>1.9708830566360721E-12</v>
      </c>
      <c r="BG111" s="22">
        <f t="shared" si="61"/>
        <v>3.669434796176543E-12</v>
      </c>
      <c r="BH111" s="62">
        <f t="shared" si="62"/>
        <v>293.33333333333701</v>
      </c>
      <c r="BI111" s="62">
        <f ca="1">AVERAGE(OFFSET($BH$3,0,0,'Données projet'!$E$11+1,1))-AVERAGE(OFFSET($H$3,0,0,'Données projet'!$E$11+1,1))</f>
        <v>311.82072478731385</v>
      </c>
      <c r="BJ111" s="62">
        <f t="shared" si="92"/>
        <v>356.36714671797864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61.306556270387951</v>
      </c>
      <c r="BQ111" s="23">
        <f>EXP(-LN(2)/25)*BQ110+(1-EXP(-LN(2)/25))/(LN(2)/25)*Calculateur!BL111*Calculateur!BN111*VLOOKUP('Données projet'!$B$11,Paramètres!$A$1:$I$88,3,0)*0.475*44/12</f>
        <v>12.316141463564701</v>
      </c>
      <c r="BR111" s="23">
        <f>EXP(-LN(2)/2)*BR110+(1-EXP(-LN(2)/2))/(LN(2)/2)*BL111*BO111*VLOOKUP('Données projet'!$B$11,Paramètres!$A$1:$I$88,3,0)*0.475*44/12</f>
        <v>1.7612461492789292E-6</v>
      </c>
      <c r="BS111" s="24">
        <f t="shared" si="63"/>
        <v>73.622699495198802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218.39403703215032</v>
      </c>
      <c r="CE111" s="62">
        <f t="shared" si="94"/>
        <v>254.08208375594052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54.978583395016869</v>
      </c>
      <c r="CL111" s="23">
        <f>EXP(-LN(2)/25)*CL110+(1-EXP(-LN(2)/25))/(LN(2)/25)*Calculateur!CG111*Calculateur!CI111*VLOOKUP('Données projet'!$B$12,Paramètres!$A$1:$I$88,3,0)*0.475*44/12</f>
        <v>7.5671660598611332</v>
      </c>
      <c r="CM111" s="23">
        <f>EXP(-LN(2)/2)*CM110+(1-EXP(-LN(2)/2))/(LN(2)/2)*CG111*CJ111*VLOOKUP('Données projet'!$B$12,Paramètres!$A$1:$I$88,3,0)*0.475*44/12</f>
        <v>1.2311590264233794E-6</v>
      </c>
      <c r="CN111" s="24">
        <f t="shared" si="66"/>
        <v>62.545750686037032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projet'!$B$9,Paramètres!$A$1:$I$88,3,0)*VLOOKUP('Données projet'!$B$9,Paramètres!$A$1:$I$88,5,0)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373.09674935534343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31.852914195439112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31.852914195439112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6.2</v>
      </c>
      <c r="AI112" s="14">
        <f>IF('Données projet'!$A$62&gt;35,AI111+AH112-AQ111,IF(A112&lt;'Données projet'!$A$62,$AF$205^A112,IF(A112='Données projet'!$A$62,'Données projet'!$B$62,AI111+AH112-AQ111)))</f>
        <v>419.79999999999973</v>
      </c>
      <c r="AJ112" s="14">
        <f>AI112*VLOOKUP('Données projet'!$B$10,Paramètres!$A$1:$I$88,3,0)*VLOOKUP('Données projet'!$B$10,Paramètres!$A$1:$I$88,5,0)</f>
        <v>399.4816799999997</v>
      </c>
      <c r="AK112" s="14">
        <f t="shared" si="89"/>
        <v>91.671575867058436</v>
      </c>
      <c r="AL112" s="22">
        <f t="shared" si="58"/>
        <v>855.42525396845951</v>
      </c>
      <c r="AM112" s="62">
        <f t="shared" si="59"/>
        <v>1148.7585873017929</v>
      </c>
      <c r="AN112" s="62">
        <f ca="1">AVERAGE(OFFSET($AM$3,0,0,'Données projet'!$E$10+1,1))-AVERAGE(OFFSET($H$3,0,0,'Données projet'!$E$10+1,1))</f>
        <v>509.66893546110458</v>
      </c>
      <c r="AO112" s="62">
        <f t="shared" si="90"/>
        <v>280.1645836141924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41.404649369677855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41.404649369677855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projet'!$B$11,Paramètres!$A$1:$I$88,3,0)*VLOOKUP('Données projet'!$B$11,Paramètres!$A$1:$I$88,5,0)</f>
        <v>1.3596945791505279E-13</v>
      </c>
      <c r="BF112" s="14">
        <f t="shared" si="91"/>
        <v>1.9708830566360721E-12</v>
      </c>
      <c r="BG112" s="22">
        <f t="shared" si="61"/>
        <v>3.669434796176543E-12</v>
      </c>
      <c r="BH112" s="62">
        <f t="shared" si="62"/>
        <v>293.33333333333701</v>
      </c>
      <c r="BI112" s="62">
        <f ca="1">AVERAGE(OFFSET($BH$3,0,0,'Données projet'!$E$11+1,1))-AVERAGE(OFFSET($H$3,0,0,'Données projet'!$E$11+1,1))</f>
        <v>311.82072478731385</v>
      </c>
      <c r="BJ112" s="62">
        <f t="shared" si="92"/>
        <v>356.36714671797864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60.104372095232684</v>
      </c>
      <c r="BQ112" s="23">
        <f>EXP(-LN(2)/25)*BQ111+(1-EXP(-LN(2)/25))/(LN(2)/25)*Calculateur!BL112*Calculateur!BN112*VLOOKUP('Données projet'!$B$11,Paramètres!$A$1:$I$88,3,0)*0.475*44/12</f>
        <v>11.979355927565793</v>
      </c>
      <c r="BR112" s="23">
        <f>EXP(-LN(2)/2)*BR111+(1-EXP(-LN(2)/2))/(LN(2)/2)*BL112*BO112*VLOOKUP('Données projet'!$B$11,Paramètres!$A$1:$I$88,3,0)*0.475*44/12</f>
        <v>1.2453890954938252E-6</v>
      </c>
      <c r="BS112" s="24">
        <f t="shared" si="63"/>
        <v>72.083729268187582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218.39403703215032</v>
      </c>
      <c r="CE112" s="62">
        <f t="shared" si="94"/>
        <v>254.08208375594052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53.900486908265286</v>
      </c>
      <c r="CL112" s="23">
        <f>EXP(-LN(2)/25)*CL111+(1-EXP(-LN(2)/25))/(LN(2)/25)*Calculateur!CG112*Calculateur!CI112*VLOOKUP('Données projet'!$B$12,Paramètres!$A$1:$I$88,3,0)*0.475*44/12</f>
        <v>7.3602415060142627</v>
      </c>
      <c r="CM112" s="23">
        <f>EXP(-LN(2)/2)*CM111+(1-EXP(-LN(2)/2))/(LN(2)/2)*CG112*CJ112*VLOOKUP('Données projet'!$B$12,Paramètres!$A$1:$I$88,3,0)*0.475*44/12</f>
        <v>8.7056089630299946E-7</v>
      </c>
      <c r="CN112" s="24">
        <f t="shared" si="66"/>
        <v>61.260729284840444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projet'!$B$9,Paramètres!$A$1:$I$88,3,0)*VLOOKUP('Données projet'!$B$9,Paramètres!$A$1:$I$88,5,0)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373.09674935534343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projet'!$B$9,Paramètres!$A$1:$I$88,7,0))</f>
        <v>0.34400000000000003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37.765798638113452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37.765798638113452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426</v>
      </c>
      <c r="AG113" s="13">
        <f>VLOOKUP(A113,'Données projet'!$A$61:$I$81,9,0)</f>
        <v>6.2</v>
      </c>
      <c r="AH113" s="13">
        <f t="array" ref="AH113">INDEX(AG:AG,MIN(IF(ISNUMBER(AG113:AG309),ROW(AG113:AG309),"")))</f>
        <v>6.2</v>
      </c>
      <c r="AI113" s="14">
        <f>IF('Données projet'!$A$62&gt;35,AI112+AH113-AQ112,IF(A113&lt;'Données projet'!$A$62,$AF$205^A113,IF(A113='Données projet'!$A$62,'Données projet'!$B$62,AI112+AH113-AQ112)))</f>
        <v>425.99999999999972</v>
      </c>
      <c r="AJ113" s="14">
        <f>AI113*VLOOKUP('Données projet'!$B$10,Paramètres!$A$1:$I$88,3,0)*VLOOKUP('Données projet'!$B$10,Paramètres!$A$1:$I$88,5,0)</f>
        <v>405.38159999999976</v>
      </c>
      <c r="AK113" s="14">
        <f t="shared" si="89"/>
        <v>92.866851972728284</v>
      </c>
      <c r="AL113" s="22">
        <f t="shared" si="58"/>
        <v>867.78272051916804</v>
      </c>
      <c r="AM113" s="62">
        <f t="shared" si="59"/>
        <v>1161.1160538525014</v>
      </c>
      <c r="AN113" s="62">
        <f ca="1">AVERAGE(OFFSET($AM$3,0,0,'Données projet'!$E$10+1,1))-AVERAGE(OFFSET($H$3,0,0,'Données projet'!$E$10+1,1))</f>
        <v>509.66893546110458</v>
      </c>
      <c r="AO113" s="62">
        <f t="shared" si="90"/>
        <v>280.1645836141924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22</v>
      </c>
      <c r="AR113" s="17">
        <f>IF(ISNA(VLOOKUP(A113,'Données projet'!$A$61:$I$81,5,0)),0%,VLOOKUP(A113,'Données projet'!$A$61:$I$81,5,0)*VLOOKUP('Données projet'!$B$10,Paramètres!$A$1:$I$88,7,0))</f>
        <v>0.34400000000000003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48.554005210302712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48.554005210302712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projet'!$B$11,Paramètres!$A$1:$I$88,3,0)*VLOOKUP('Données projet'!$B$11,Paramètres!$A$1:$I$88,5,0)</f>
        <v>1.3596945791505279E-13</v>
      </c>
      <c r="BF113" s="14">
        <f t="shared" si="91"/>
        <v>1.9708830566360721E-12</v>
      </c>
      <c r="BG113" s="22">
        <f t="shared" si="61"/>
        <v>3.669434796176543E-12</v>
      </c>
      <c r="BH113" s="62">
        <f t="shared" si="62"/>
        <v>293.33333333333701</v>
      </c>
      <c r="BI113" s="62">
        <f ca="1">AVERAGE(OFFSET($BH$3,0,0,'Données projet'!$E$11+1,1))-AVERAGE(OFFSET($H$3,0,0,'Données projet'!$E$11+1,1))</f>
        <v>311.82072478731385</v>
      </c>
      <c r="BJ113" s="62">
        <f t="shared" si="92"/>
        <v>356.36714671797864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58.925762018492271</v>
      </c>
      <c r="BQ113" s="23">
        <f>EXP(-LN(2)/25)*BQ112+(1-EXP(-LN(2)/25))/(LN(2)/25)*Calculateur!BL113*Calculateur!BN113*VLOOKUP('Données projet'!$B$11,Paramètres!$A$1:$I$88,3,0)*0.475*44/12</f>
        <v>11.651779809759557</v>
      </c>
      <c r="BR113" s="23">
        <f>EXP(-LN(2)/2)*BR112+(1-EXP(-LN(2)/2))/(LN(2)/2)*BL113*BO113*VLOOKUP('Données projet'!$B$11,Paramètres!$A$1:$I$88,3,0)*0.475*44/12</f>
        <v>8.806230746394646E-7</v>
      </c>
      <c r="BS113" s="24">
        <f t="shared" si="63"/>
        <v>70.577542708874901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218.39403703215032</v>
      </c>
      <c r="CE113" s="62">
        <f t="shared" si="94"/>
        <v>254.08208375594052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52.843531236044974</v>
      </c>
      <c r="CL113" s="23">
        <f>EXP(-LN(2)/25)*CL112+(1-EXP(-LN(2)/25))/(LN(2)/25)*Calculateur!CG113*Calculateur!CI113*VLOOKUP('Données projet'!$B$12,Paramètres!$A$1:$I$88,3,0)*0.475*44/12</f>
        <v>7.1589753149740236</v>
      </c>
      <c r="CM113" s="23">
        <f>EXP(-LN(2)/2)*CM112+(1-EXP(-LN(2)/2))/(LN(2)/2)*CG113*CJ113*VLOOKUP('Données projet'!$B$12,Paramètres!$A$1:$I$88,3,0)*0.475*44/12</f>
        <v>6.1557951321168972E-7</v>
      </c>
      <c r="CN113" s="24">
        <f t="shared" si="66"/>
        <v>60.002507166598512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1.9</v>
      </c>
      <c r="N114" s="14">
        <f>IF('Données projet'!$A$36&gt;35,N113+M114-V113,IF(A114&lt;'Données projet'!$A$36,$K$205^A114,IF(A114='Données projet'!$A$36,'Données projet'!$B$36,N113+M114-V113)))</f>
        <v>267.89999999999992</v>
      </c>
      <c r="O114" s="14">
        <f>N114*VLOOKUP('Données projet'!$B$9,Paramètres!$A$1:$I$88,3,0)*VLOOKUP('Données projet'!$B$9,Paramètres!$A$1:$I$88,5,0)</f>
        <v>242.39591999999993</v>
      </c>
      <c r="P114" s="14">
        <f t="shared" si="87"/>
        <v>58.954725941114745</v>
      </c>
      <c r="Q114" s="22">
        <f t="shared" si="107"/>
        <v>524.85237501410813</v>
      </c>
      <c r="R114" s="62">
        <f t="shared" si="55"/>
        <v>818.1857083474415</v>
      </c>
      <c r="S114" s="62">
        <f ca="1">AVERAGE(OFFSET($R$3,0,0,'Données projet'!$E$9+1,1))-AVERAGE(OFFSET($H$3,0,0,'Données projet'!$E$9+1,1))</f>
        <v>373.09674935534343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37.025234361682713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37.025234361682713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406.79999999999973</v>
      </c>
      <c r="AJ114" s="14">
        <f>AI114*VLOOKUP('Données projet'!$B$10,Paramètres!$A$1:$I$88,3,0)*VLOOKUP('Données projet'!$B$10,Paramètres!$A$1:$I$88,5,0)</f>
        <v>387.11087999999972</v>
      </c>
      <c r="AK114" s="14">
        <f t="shared" si="89"/>
        <v>89.158633692128063</v>
      </c>
      <c r="AL114" s="22">
        <f t="shared" si="58"/>
        <v>829.50273634712255</v>
      </c>
      <c r="AM114" s="62">
        <f t="shared" si="59"/>
        <v>1122.8360696804559</v>
      </c>
      <c r="AN114" s="62">
        <f ca="1">AVERAGE(OFFSET($AM$3,0,0,'Données projet'!$E$10+1,1))-AVERAGE(OFFSET($H$3,0,0,'Données projet'!$E$10+1,1))</f>
        <v>509.66893546110458</v>
      </c>
      <c r="AO114" s="62">
        <f t="shared" si="90"/>
        <v>280.1645836141924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47.601890783147617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47.601890783147617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projet'!$B$11,Paramètres!$A$1:$I$88,3,0)*VLOOKUP('Données projet'!$B$11,Paramètres!$A$1:$I$88,5,0)</f>
        <v>1.3596945791505279E-13</v>
      </c>
      <c r="BF114" s="14">
        <f t="shared" si="91"/>
        <v>1.9708830566360721E-12</v>
      </c>
      <c r="BG114" s="22">
        <f t="shared" si="61"/>
        <v>3.669434796176543E-12</v>
      </c>
      <c r="BH114" s="62">
        <f t="shared" si="62"/>
        <v>293.33333333333701</v>
      </c>
      <c r="BI114" s="62">
        <f ca="1">AVERAGE(OFFSET($BH$3,0,0,'Données projet'!$E$11+1,1))-AVERAGE(OFFSET($H$3,0,0,'Données projet'!$E$11+1,1))</f>
        <v>311.82072478731385</v>
      </c>
      <c r="BJ114" s="62">
        <f t="shared" si="92"/>
        <v>356.36714671797864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57.770263766475573</v>
      </c>
      <c r="BQ114" s="23">
        <f>EXP(-LN(2)/25)*BQ113+(1-EXP(-LN(2)/25))/(LN(2)/25)*Calculateur!BL114*Calculateur!BN114*VLOOKUP('Données projet'!$B$11,Paramètres!$A$1:$I$88,3,0)*0.475*44/12</f>
        <v>11.333161278121212</v>
      </c>
      <c r="BR114" s="23">
        <f>EXP(-LN(2)/2)*BR113+(1-EXP(-LN(2)/2))/(LN(2)/2)*BL114*BO114*VLOOKUP('Données projet'!$B$11,Paramètres!$A$1:$I$88,3,0)*0.475*44/12</f>
        <v>6.226945477469126E-7</v>
      </c>
      <c r="BS114" s="24">
        <f t="shared" si="63"/>
        <v>69.103425667291333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218.39403703215032</v>
      </c>
      <c r="CE114" s="62">
        <f t="shared" si="94"/>
        <v>254.08208375594052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51.807301819877601</v>
      </c>
      <c r="CL114" s="23">
        <f>EXP(-LN(2)/25)*CL113+(1-EXP(-LN(2)/25))/(LN(2)/25)*Calculateur!CG114*Calculateur!CI114*VLOOKUP('Données projet'!$B$12,Paramètres!$A$1:$I$88,3,0)*0.475*44/12</f>
        <v>6.9632127585119088</v>
      </c>
      <c r="CM114" s="23">
        <f>EXP(-LN(2)/2)*CM113+(1-EXP(-LN(2)/2))/(LN(2)/2)*CG114*CJ114*VLOOKUP('Données projet'!$B$12,Paramètres!$A$1:$I$88,3,0)*0.475*44/12</f>
        <v>4.3528044815149973E-7</v>
      </c>
      <c r="CN114" s="24">
        <f t="shared" si="66"/>
        <v>58.770515013669957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1.9</v>
      </c>
      <c r="N115" s="14">
        <f>IF('Données projet'!$A$36&gt;35,N114+M115-V114,IF(A115&lt;'Données projet'!$A$36,$K$205^A115,IF(A115='Données projet'!$A$36,'Données projet'!$B$36,N114+M115-V114)))</f>
        <v>269.7999999999999</v>
      </c>
      <c r="O115" s="14">
        <f>N115*VLOOKUP('Données projet'!$B$9,Paramètres!$A$1:$I$88,3,0)*VLOOKUP('Données projet'!$B$9,Paramètres!$A$1:$I$88,5,0)</f>
        <v>244.11503999999988</v>
      </c>
      <c r="P115" s="14">
        <f t="shared" si="87"/>
        <v>59.324023461759012</v>
      </c>
      <c r="Q115" s="22">
        <f t="shared" si="107"/>
        <v>528.48970219589671</v>
      </c>
      <c r="R115" s="62">
        <f t="shared" si="55"/>
        <v>821.82303552923008</v>
      </c>
      <c r="S115" s="62">
        <f ca="1">AVERAGE(OFFSET($R$3,0,0,'Données projet'!$E$9+1,1))-AVERAGE(OFFSET($H$3,0,0,'Données projet'!$E$9+1,1))</f>
        <v>373.09674935534343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36.299192099013176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36.299192099013176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409.59999999999974</v>
      </c>
      <c r="AJ115" s="14">
        <f>AI115*VLOOKUP('Données projet'!$B$10,Paramètres!$A$1:$I$88,3,0)*VLOOKUP('Données projet'!$B$10,Paramètres!$A$1:$I$88,5,0)</f>
        <v>389.77535999999975</v>
      </c>
      <c r="AK115" s="14">
        <f t="shared" si="89"/>
        <v>89.70066283073163</v>
      </c>
      <c r="AL115" s="22">
        <f t="shared" si="58"/>
        <v>835.08740643019053</v>
      </c>
      <c r="AM115" s="62">
        <f t="shared" si="59"/>
        <v>1128.4207397635239</v>
      </c>
      <c r="AN115" s="62">
        <f ca="1">AVERAGE(OFFSET($AM$3,0,0,'Données projet'!$E$10+1,1))-AVERAGE(OFFSET($H$3,0,0,'Données projet'!$E$10+1,1))</f>
        <v>509.66893546110458</v>
      </c>
      <c r="AO115" s="62">
        <f t="shared" si="90"/>
        <v>280.1645836141924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46.668446739176574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46.668446739176574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projet'!$B$11,Paramètres!$A$1:$I$88,3,0)*VLOOKUP('Données projet'!$B$11,Paramètres!$A$1:$I$88,5,0)</f>
        <v>1.3596945791505279E-13</v>
      </c>
      <c r="BF115" s="14">
        <f t="shared" si="91"/>
        <v>1.9708830566360721E-12</v>
      </c>
      <c r="BG115" s="22">
        <f t="shared" si="61"/>
        <v>3.669434796176543E-12</v>
      </c>
      <c r="BH115" s="62">
        <f t="shared" si="62"/>
        <v>293.33333333333701</v>
      </c>
      <c r="BI115" s="62">
        <f ca="1">AVERAGE(OFFSET($BH$3,0,0,'Données projet'!$E$11+1,1))-AVERAGE(OFFSET($H$3,0,0,'Données projet'!$E$11+1,1))</f>
        <v>311.82072478731385</v>
      </c>
      <c r="BJ115" s="62">
        <f t="shared" si="92"/>
        <v>356.36714671797864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56.637424130396582</v>
      </c>
      <c r="BQ115" s="23">
        <f>EXP(-LN(2)/25)*BQ114+(1-EXP(-LN(2)/25))/(LN(2)/25)*Calculateur!BL115*Calculateur!BN115*VLOOKUP('Données projet'!$B$11,Paramètres!$A$1:$I$88,3,0)*0.475*44/12</f>
        <v>11.023255386985937</v>
      </c>
      <c r="BR115" s="23">
        <f>EXP(-LN(2)/2)*BR114+(1-EXP(-LN(2)/2))/(LN(2)/2)*BL115*BO115*VLOOKUP('Données projet'!$B$11,Paramètres!$A$1:$I$88,3,0)*0.475*44/12</f>
        <v>4.403115373197323E-7</v>
      </c>
      <c r="BS115" s="24">
        <f t="shared" si="63"/>
        <v>67.660679957694057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218.39403703215032</v>
      </c>
      <c r="CE115" s="62">
        <f t="shared" si="94"/>
        <v>254.08208375594052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50.791392230523734</v>
      </c>
      <c r="CL115" s="23">
        <f>EXP(-LN(2)/25)*CL114+(1-EXP(-LN(2)/25))/(LN(2)/25)*Calculateur!CG115*Calculateur!CI115*VLOOKUP('Données projet'!$B$12,Paramètres!$A$1:$I$88,3,0)*0.475*44/12</f>
        <v>6.7728033394509559</v>
      </c>
      <c r="CM115" s="23">
        <f>EXP(-LN(2)/2)*CM114+(1-EXP(-LN(2)/2))/(LN(2)/2)*CG115*CJ115*VLOOKUP('Données projet'!$B$12,Paramètres!$A$1:$I$88,3,0)*0.475*44/12</f>
        <v>3.0778975660584486E-7</v>
      </c>
      <c r="CN115" s="24">
        <f t="shared" si="66"/>
        <v>57.56419587776444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1.9</v>
      </c>
      <c r="N116" s="14">
        <f>IF('Données projet'!$A$36&gt;35,N115+M116-V115,IF(A116&lt;'Données projet'!$A$36,$K$205^A116,IF(A116='Données projet'!$A$36,'Données projet'!$B$36,N115+M116-V115)))</f>
        <v>271.69999999999987</v>
      </c>
      <c r="O116" s="14">
        <f>N116*VLOOKUP('Données projet'!$B$9,Paramètres!$A$1:$I$88,3,0)*VLOOKUP('Données projet'!$B$9,Paramètres!$A$1:$I$88,5,0)</f>
        <v>245.83415999999988</v>
      </c>
      <c r="P116" s="14">
        <f t="shared" si="87"/>
        <v>59.693018383856781</v>
      </c>
      <c r="Q116" s="22">
        <f t="shared" si="107"/>
        <v>532.12650235188369</v>
      </c>
      <c r="R116" s="62">
        <f t="shared" si="55"/>
        <v>825.45983568521706</v>
      </c>
      <c r="S116" s="62">
        <f ca="1">AVERAGE(OFFSET($R$3,0,0,'Données projet'!$E$9+1,1))-AVERAGE(OFFSET($H$3,0,0,'Données projet'!$E$9+1,1))</f>
        <v>373.09674935534343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35.587387082272535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35.587387082272535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412.39999999999975</v>
      </c>
      <c r="AJ116" s="14">
        <f>AI116*VLOOKUP('Données projet'!$B$10,Paramètres!$A$1:$I$88,3,0)*VLOOKUP('Données projet'!$B$10,Paramètres!$A$1:$I$88,5,0)</f>
        <v>392.43983999999978</v>
      </c>
      <c r="AK116" s="14">
        <f t="shared" si="89"/>
        <v>90.242260843049465</v>
      </c>
      <c r="AL116" s="22">
        <f t="shared" si="58"/>
        <v>840.67132563497728</v>
      </c>
      <c r="AM116" s="62">
        <f t="shared" si="59"/>
        <v>1134.0046589683107</v>
      </c>
      <c r="AN116" s="62">
        <f ca="1">AVERAGE(OFFSET($AM$3,0,0,'Données projet'!$E$10+1,1))-AVERAGE(OFFSET($H$3,0,0,'Données projet'!$E$10+1,1))</f>
        <v>509.66893546110458</v>
      </c>
      <c r="AO116" s="62">
        <f t="shared" si="90"/>
        <v>280.1645836141924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45.753306963563155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45.753306963563155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projet'!$B$11,Paramètres!$A$1:$I$88,3,0)*VLOOKUP('Données projet'!$B$11,Paramètres!$A$1:$I$88,5,0)</f>
        <v>1.3596945791505279E-13</v>
      </c>
      <c r="BF116" s="14">
        <f t="shared" si="91"/>
        <v>1.9708830566360721E-12</v>
      </c>
      <c r="BG116" s="22">
        <f t="shared" si="61"/>
        <v>3.669434796176543E-12</v>
      </c>
      <c r="BH116" s="62">
        <f t="shared" si="62"/>
        <v>293.33333333333701</v>
      </c>
      <c r="BI116" s="62">
        <f ca="1">AVERAGE(OFFSET($BH$3,0,0,'Données projet'!$E$11+1,1))-AVERAGE(OFFSET($H$3,0,0,'Données projet'!$E$11+1,1))</f>
        <v>311.82072478731385</v>
      </c>
      <c r="BJ116" s="62">
        <f t="shared" si="92"/>
        <v>356.36714671797864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55.52679878861715</v>
      </c>
      <c r="BQ116" s="23">
        <f>EXP(-LN(2)/25)*BQ115+(1-EXP(-LN(2)/25))/(LN(2)/25)*Calculateur!BL116*Calculateur!BN116*VLOOKUP('Données projet'!$B$11,Paramètres!$A$1:$I$88,3,0)*0.475*44/12</f>
        <v>10.721823888741</v>
      </c>
      <c r="BR116" s="23">
        <f>EXP(-LN(2)/2)*BR115+(1-EXP(-LN(2)/2))/(LN(2)/2)*BL116*BO116*VLOOKUP('Données projet'!$B$11,Paramètres!$A$1:$I$88,3,0)*0.475*44/12</f>
        <v>3.113472738734563E-7</v>
      </c>
      <c r="BS116" s="24">
        <f t="shared" si="63"/>
        <v>66.248622988705435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218.39403703215032</v>
      </c>
      <c r="CE116" s="62">
        <f t="shared" si="94"/>
        <v>254.08208375594052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49.795404008573435</v>
      </c>
      <c r="CL116" s="23">
        <f>EXP(-LN(2)/25)*CL115+(1-EXP(-LN(2)/25))/(LN(2)/25)*Calculateur!CG116*Calculateur!CI116*VLOOKUP('Données projet'!$B$12,Paramètres!$A$1:$I$88,3,0)*0.475*44/12</f>
        <v>6.5876006759674217</v>
      </c>
      <c r="CM116" s="23">
        <f>EXP(-LN(2)/2)*CM115+(1-EXP(-LN(2)/2))/(LN(2)/2)*CG116*CJ116*VLOOKUP('Données projet'!$B$12,Paramètres!$A$1:$I$88,3,0)*0.475*44/12</f>
        <v>2.1764022407574987E-7</v>
      </c>
      <c r="CN116" s="24">
        <f t="shared" si="66"/>
        <v>56.383004902181085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1.9</v>
      </c>
      <c r="N117" s="14">
        <f>IF('Données projet'!$A$36&gt;35,N116+M117-V116,IF(A117&lt;'Données projet'!$A$36,$K$205^A117,IF(A117='Données projet'!$A$36,'Données projet'!$B$36,N116+M117-V116)))</f>
        <v>273.59999999999985</v>
      </c>
      <c r="O117" s="14">
        <f>N117*VLOOKUP('Données projet'!$B$9,Paramètres!$A$1:$I$88,3,0)*VLOOKUP('Données projet'!$B$9,Paramètres!$A$1:$I$88,5,0)</f>
        <v>247.55327999999986</v>
      </c>
      <c r="P117" s="14">
        <f t="shared" si="87"/>
        <v>60.061713068870255</v>
      </c>
      <c r="Q117" s="22">
        <f t="shared" si="107"/>
        <v>535.76277959494871</v>
      </c>
      <c r="R117" s="62">
        <f t="shared" si="55"/>
        <v>829.09611292828208</v>
      </c>
      <c r="S117" s="62">
        <f ca="1">AVERAGE(OFFSET($R$3,0,0,'Données projet'!$E$9+1,1))-AVERAGE(OFFSET($H$3,0,0,'Données projet'!$E$9+1,1))</f>
        <v>373.09674935534343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34.889540127751985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34.889540127751985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415.19999999999976</v>
      </c>
      <c r="AJ117" s="14">
        <f>AI117*VLOOKUP('Données projet'!$B$10,Paramètres!$A$1:$I$88,3,0)*VLOOKUP('Données projet'!$B$10,Paramètres!$A$1:$I$88,5,0)</f>
        <v>395.1043199999998</v>
      </c>
      <c r="AK117" s="14">
        <f t="shared" si="89"/>
        <v>90.783430995703085</v>
      </c>
      <c r="AL117" s="22">
        <f t="shared" si="58"/>
        <v>846.2544996508492</v>
      </c>
      <c r="AM117" s="62">
        <f t="shared" si="59"/>
        <v>1139.5878329841826</v>
      </c>
      <c r="AN117" s="62">
        <f ca="1">AVERAGE(OFFSET($AM$3,0,0,'Données projet'!$E$10+1,1))-AVERAGE(OFFSET($H$3,0,0,'Données projet'!$E$10+1,1))</f>
        <v>509.66893546110458</v>
      </c>
      <c r="AO117" s="62">
        <f t="shared" si="90"/>
        <v>280.1645836141924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44.856112520769365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44.856112520769365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projet'!$B$11,Paramètres!$A$1:$I$88,3,0)*VLOOKUP('Données projet'!$B$11,Paramètres!$A$1:$I$88,5,0)</f>
        <v>1.3596945791505279E-13</v>
      </c>
      <c r="BF117" s="14">
        <f t="shared" si="91"/>
        <v>1.9708830566360721E-12</v>
      </c>
      <c r="BG117" s="22">
        <f t="shared" si="61"/>
        <v>3.669434796176543E-12</v>
      </c>
      <c r="BH117" s="62">
        <f t="shared" si="62"/>
        <v>293.33333333333701</v>
      </c>
      <c r="BI117" s="62">
        <f ca="1">AVERAGE(OFFSET($BH$3,0,0,'Données projet'!$E$11+1,1))-AVERAGE(OFFSET($H$3,0,0,'Données projet'!$E$11+1,1))</f>
        <v>311.82072478731385</v>
      </c>
      <c r="BJ117" s="62">
        <f t="shared" si="92"/>
        <v>356.36714671797864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54.437952132375443</v>
      </c>
      <c r="BQ117" s="23">
        <f>EXP(-LN(2)/25)*BQ116+(1-EXP(-LN(2)/25))/(LN(2)/25)*Calculateur!BL117*Calculateur!BN117*VLOOKUP('Données projet'!$B$11,Paramètres!$A$1:$I$88,3,0)*0.475*44/12</f>
        <v>10.428635050667165</v>
      </c>
      <c r="BR117" s="23">
        <f>EXP(-LN(2)/2)*BR116+(1-EXP(-LN(2)/2))/(LN(2)/2)*BL117*BO117*VLOOKUP('Données projet'!$B$11,Paramètres!$A$1:$I$88,3,0)*0.475*44/12</f>
        <v>2.2015576865986615E-7</v>
      </c>
      <c r="BS117" s="24">
        <f t="shared" si="63"/>
        <v>64.86658740319838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218.39403703215032</v>
      </c>
      <c r="CE117" s="62">
        <f t="shared" si="94"/>
        <v>254.08208375594052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48.818946508162753</v>
      </c>
      <c r="CL117" s="23">
        <f>EXP(-LN(2)/25)*CL116+(1-EXP(-LN(2)/25))/(LN(2)/25)*Calculateur!CG117*Calculateur!CI117*VLOOKUP('Données projet'!$B$12,Paramètres!$A$1:$I$88,3,0)*0.475*44/12</f>
        <v>6.4074623890562288</v>
      </c>
      <c r="CM117" s="23">
        <f>EXP(-LN(2)/2)*CM116+(1-EXP(-LN(2)/2))/(LN(2)/2)*CG117*CJ117*VLOOKUP('Données projet'!$B$12,Paramètres!$A$1:$I$88,3,0)*0.475*44/12</f>
        <v>1.5389487830292243E-7</v>
      </c>
      <c r="CN117" s="24">
        <f t="shared" si="66"/>
        <v>55.226409051113862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1.9</v>
      </c>
      <c r="N118" s="14">
        <f>IF('Données projet'!$A$36&gt;35,N117+M118-V117,IF(A118&lt;'Données projet'!$A$36,$K$205^A118,IF(A118='Données projet'!$A$36,'Données projet'!$B$36,N117+M118-V117)))</f>
        <v>275.49999999999983</v>
      </c>
      <c r="O118" s="14">
        <f>N118*VLOOKUP('Données projet'!$B$9,Paramètres!$A$1:$I$88,3,0)*VLOOKUP('Données projet'!$B$9,Paramètres!$A$1:$I$88,5,0)</f>
        <v>249.27239999999981</v>
      </c>
      <c r="P118" s="14">
        <f t="shared" si="87"/>
        <v>60.430109843567706</v>
      </c>
      <c r="Q118" s="22">
        <f t="shared" si="107"/>
        <v>539.39853797754665</v>
      </c>
      <c r="R118" s="62">
        <f t="shared" si="55"/>
        <v>832.73187131088002</v>
      </c>
      <c r="S118" s="62">
        <f ca="1">AVERAGE(OFFSET($R$3,0,0,'Données projet'!$E$9+1,1))-AVERAGE(OFFSET($H$3,0,0,'Données projet'!$E$9+1,1))</f>
        <v>373.09674935534343</v>
      </c>
      <c r="T118" s="62">
        <f t="shared" si="88"/>
        <v>231.36959598460686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34.20537752636497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34.20537752636497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417.99999999999977</v>
      </c>
      <c r="AJ118" s="14">
        <f>AI118*VLOOKUP('Données projet'!$B$10,Paramètres!$A$1:$I$88,3,0)*VLOOKUP('Données projet'!$B$10,Paramètres!$A$1:$I$88,5,0)</f>
        <v>397.76879999999977</v>
      </c>
      <c r="AK118" s="14">
        <f t="shared" si="89"/>
        <v>91.324176508708348</v>
      </c>
      <c r="AL118" s="22">
        <f t="shared" si="58"/>
        <v>851.83693408600004</v>
      </c>
      <c r="AM118" s="62">
        <f t="shared" si="59"/>
        <v>1145.1702674193334</v>
      </c>
      <c r="AN118" s="62">
        <f ca="1">AVERAGE(OFFSET($AM$3,0,0,'Données projet'!$E$10+1,1))-AVERAGE(OFFSET($H$3,0,0,'Données projet'!$E$10+1,1))</f>
        <v>509.66893546110458</v>
      </c>
      <c r="AO118" s="62">
        <f t="shared" si="90"/>
        <v>280.1645836141924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43.976511513764187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43.976511513764187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projet'!$B$11,Paramètres!$A$1:$I$88,3,0)*VLOOKUP('Données projet'!$B$11,Paramètres!$A$1:$I$88,5,0)</f>
        <v>1.3596945791505279E-13</v>
      </c>
      <c r="BF118" s="14">
        <f t="shared" si="91"/>
        <v>1.9708830566360721E-12</v>
      </c>
      <c r="BG118" s="22">
        <f t="shared" si="61"/>
        <v>3.669434796176543E-12</v>
      </c>
      <c r="BH118" s="62">
        <f t="shared" si="62"/>
        <v>293.33333333333701</v>
      </c>
      <c r="BI118" s="62">
        <f ca="1">AVERAGE(OFFSET($BH$3,0,0,'Données projet'!$E$11+1,1))-AVERAGE(OFFSET($H$3,0,0,'Données projet'!$E$11+1,1))</f>
        <v>311.82072478731385</v>
      </c>
      <c r="BJ118" s="62">
        <f t="shared" si="92"/>
        <v>356.36714671797864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53.370457094931751</v>
      </c>
      <c r="BQ118" s="23">
        <f>EXP(-LN(2)/25)*BQ117+(1-EXP(-LN(2)/25))/(LN(2)/25)*Calculateur!BL118*Calculateur!BN118*VLOOKUP('Données projet'!$B$11,Paramètres!$A$1:$I$88,3,0)*0.475*44/12</f>
        <v>10.143463476788588</v>
      </c>
      <c r="BR118" s="23">
        <f>EXP(-LN(2)/2)*BR117+(1-EXP(-LN(2)/2))/(LN(2)/2)*BL118*BO118*VLOOKUP('Données projet'!$B$11,Paramètres!$A$1:$I$88,3,0)*0.475*44/12</f>
        <v>1.5567363693672815E-7</v>
      </c>
      <c r="BS118" s="24">
        <f t="shared" si="63"/>
        <v>63.51392072739398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218.39403703215032</v>
      </c>
      <c r="CE118" s="62">
        <f t="shared" si="94"/>
        <v>254.08208375594052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47.861636743754858</v>
      </c>
      <c r="CL118" s="23">
        <f>EXP(-LN(2)/25)*CL117+(1-EXP(-LN(2)/25))/(LN(2)/25)*Calculateur!CG118*Calculateur!CI118*VLOOKUP('Données projet'!$B$12,Paramètres!$A$1:$I$88,3,0)*0.475*44/12</f>
        <v>6.2322499930736832</v>
      </c>
      <c r="CM118" s="23">
        <f>EXP(-LN(2)/2)*CM117+(1-EXP(-LN(2)/2))/(LN(2)/2)*CG118*CJ118*VLOOKUP('Données projet'!$B$12,Paramètres!$A$1:$I$88,3,0)*0.475*44/12</f>
        <v>1.0882011203787493E-7</v>
      </c>
      <c r="CN118" s="24">
        <f t="shared" si="66"/>
        <v>54.093886845648647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1.9</v>
      </c>
      <c r="N119" s="14">
        <f>IF('Données projet'!$A$36&gt;35,N118+M119-V118,IF(A119&lt;'Données projet'!$A$36,$K$205^A119,IF(A119='Données projet'!$A$36,'Données projet'!$B$36,N118+M119-V118)))</f>
        <v>277.39999999999981</v>
      </c>
      <c r="O119" s="14">
        <f>N119*VLOOKUP('Données projet'!$B$9,Paramètres!$A$1:$I$88,3,0)*VLOOKUP('Données projet'!$B$9,Paramètres!$A$1:$I$88,5,0)</f>
        <v>250.99151999999984</v>
      </c>
      <c r="P119" s="14">
        <f t="shared" si="87"/>
        <v>60.798211000769349</v>
      </c>
      <c r="Q119" s="22">
        <f t="shared" si="107"/>
        <v>543.03378149300625</v>
      </c>
      <c r="R119" s="62">
        <f t="shared" si="55"/>
        <v>836.3671148263395</v>
      </c>
      <c r="S119" s="62">
        <f ca="1">AVERAGE(OFFSET($R$3,0,0,'Données projet'!$E$9+1,1))-AVERAGE(OFFSET($H$3,0,0,'Données projet'!$E$9+1,1))</f>
        <v>373.09674935534343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33.534630936293169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33.534630936293169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</v>
      </c>
      <c r="AI119" s="14">
        <f>IF('Données projet'!$A$62&gt;35,AI118+AH119-AQ118,IF(A119&lt;'Données projet'!$A$62,$AF$205^A119,IF(A119='Données projet'!$A$62,'Données projet'!$B$62,AI118+AH119-AQ118)))</f>
        <v>420.79999999999978</v>
      </c>
      <c r="AJ119" s="14">
        <f>AI119*VLOOKUP('Données projet'!$B$10,Paramètres!$A$1:$I$88,3,0)*VLOOKUP('Données projet'!$B$10,Paramètres!$A$1:$I$88,5,0)</f>
        <v>400.4332799999998</v>
      </c>
      <c r="AK119" s="14">
        <f t="shared" si="89"/>
        <v>91.864500556448363</v>
      </c>
      <c r="AL119" s="22">
        <f t="shared" si="58"/>
        <v>857.41863446914715</v>
      </c>
      <c r="AM119" s="62">
        <f t="shared" si="59"/>
        <v>1150.7519678024805</v>
      </c>
      <c r="AN119" s="62">
        <f ca="1">AVERAGE(OFFSET($AM$3,0,0,'Données projet'!$E$10+1,1))-AVERAGE(OFFSET($H$3,0,0,'Données projet'!$E$10+1,1))</f>
        <v>509.66893546110458</v>
      </c>
      <c r="AO119" s="62">
        <f t="shared" si="90"/>
        <v>280.1645836141924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43.114158946002739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43.114158946002739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projet'!$B$11,Paramètres!$A$1:$I$88,3,0)*VLOOKUP('Données projet'!$B$11,Paramètres!$A$1:$I$88,5,0)</f>
        <v>1.3596945791505279E-13</v>
      </c>
      <c r="BF119" s="14">
        <f t="shared" si="91"/>
        <v>1.9708830566360721E-12</v>
      </c>
      <c r="BG119" s="22">
        <f t="shared" si="61"/>
        <v>3.669434796176543E-12</v>
      </c>
      <c r="BH119" s="62">
        <f t="shared" si="62"/>
        <v>293.33333333333701</v>
      </c>
      <c r="BI119" s="62">
        <f ca="1">AVERAGE(OFFSET($BH$3,0,0,'Données projet'!$E$11+1,1))-AVERAGE(OFFSET($H$3,0,0,'Données projet'!$E$11+1,1))</f>
        <v>311.82072478731385</v>
      </c>
      <c r="BJ119" s="62">
        <f t="shared" si="92"/>
        <v>356.36714671797864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52.323894984064651</v>
      </c>
      <c r="BQ119" s="23">
        <f>EXP(-LN(2)/25)*BQ118+(1-EXP(-LN(2)/25))/(LN(2)/25)*Calculateur!BL119*Calculateur!BN119*VLOOKUP('Données projet'!$B$11,Paramètres!$A$1:$I$88,3,0)*0.475*44/12</f>
        <v>9.8660899345942425</v>
      </c>
      <c r="BR119" s="23">
        <f>EXP(-LN(2)/2)*BR118+(1-EXP(-LN(2)/2))/(LN(2)/2)*BL119*BO119*VLOOKUP('Données projet'!$B$11,Paramètres!$A$1:$I$88,3,0)*0.475*44/12</f>
        <v>1.1007788432993307E-7</v>
      </c>
      <c r="BS119" s="24">
        <f t="shared" si="63"/>
        <v>62.189985028736778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218.39403703215032</v>
      </c>
      <c r="CE119" s="62">
        <f t="shared" si="94"/>
        <v>254.08208375594052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46.923099239925698</v>
      </c>
      <c r="CL119" s="23">
        <f>EXP(-LN(2)/25)*CL118+(1-EXP(-LN(2)/25))/(LN(2)/25)*Calculateur!CG119*Calculateur!CI119*VLOOKUP('Données projet'!$B$12,Paramètres!$A$1:$I$88,3,0)*0.475*44/12</f>
        <v>6.0618287892733003</v>
      </c>
      <c r="CM119" s="23">
        <f>EXP(-LN(2)/2)*CM118+(1-EXP(-LN(2)/2))/(LN(2)/2)*CG119*CJ119*VLOOKUP('Données projet'!$B$12,Paramètres!$A$1:$I$88,3,0)*0.475*44/12</f>
        <v>7.6947439151461215E-8</v>
      </c>
      <c r="CN119" s="24">
        <f t="shared" si="66"/>
        <v>52.984928106146434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1.9</v>
      </c>
      <c r="N120" s="14">
        <f>IF('Données projet'!$A$36&gt;35,N119+M120-V119,IF(A120&lt;'Données projet'!$A$36,$K$205^A120,IF(A120='Données projet'!$A$36,'Données projet'!$B$36,N119+M120-V119)))</f>
        <v>279.29999999999978</v>
      </c>
      <c r="O120" s="14">
        <f>N120*VLOOKUP('Données projet'!$B$9,Paramètres!$A$1:$I$88,3,0)*VLOOKUP('Données projet'!$B$9,Paramètres!$A$1:$I$88,5,0)</f>
        <v>252.71063999999978</v>
      </c>
      <c r="P120" s="14">
        <f t="shared" si="87"/>
        <v>61.166018800071114</v>
      </c>
      <c r="Q120" s="22">
        <f t="shared" si="107"/>
        <v>546.66851407679007</v>
      </c>
      <c r="R120" s="62">
        <f t="shared" si="55"/>
        <v>840.00184741012345</v>
      </c>
      <c r="S120" s="62">
        <f ca="1">AVERAGE(OFFSET($R$3,0,0,'Données projet'!$E$9+1,1))-AVERAGE(OFFSET($H$3,0,0,'Données projet'!$E$9+1,1))</f>
        <v>373.09674935534343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32.877037277737656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32.877037277737656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</v>
      </c>
      <c r="AI120" s="14">
        <f>IF('Données projet'!$A$62&gt;35,AI119+AH120-AQ119,IF(A120&lt;'Données projet'!$A$62,$AF$205^A120,IF(A120='Données projet'!$A$62,'Données projet'!$B$62,AI119+AH120-AQ119)))</f>
        <v>423.5999999999998</v>
      </c>
      <c r="AJ120" s="14">
        <f>AI120*VLOOKUP('Données projet'!$B$10,Paramètres!$A$1:$I$88,3,0)*VLOOKUP('Données projet'!$B$10,Paramètres!$A$1:$I$88,5,0)</f>
        <v>403.09775999999977</v>
      </c>
      <c r="AK120" s="14">
        <f t="shared" si="89"/>
        <v>92.404406268619155</v>
      </c>
      <c r="AL120" s="22">
        <f t="shared" si="58"/>
        <v>862.99960625117785</v>
      </c>
      <c r="AM120" s="62">
        <f t="shared" si="59"/>
        <v>1156.3329395845112</v>
      </c>
      <c r="AN120" s="62">
        <f ca="1">AVERAGE(OFFSET($AM$3,0,0,'Données projet'!$E$10+1,1))-AVERAGE(OFFSET($H$3,0,0,'Données projet'!$E$10+1,1))</f>
        <v>509.66893546110458</v>
      </c>
      <c r="AO120" s="62">
        <f t="shared" si="90"/>
        <v>280.1645836141924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42.268716586111964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42.268716586111964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projet'!$B$11,Paramètres!$A$1:$I$88,3,0)*VLOOKUP('Données projet'!$B$11,Paramètres!$A$1:$I$88,5,0)</f>
        <v>1.3596945791505279E-13</v>
      </c>
      <c r="BF120" s="14">
        <f t="shared" si="91"/>
        <v>1.9708830566360721E-12</v>
      </c>
      <c r="BG120" s="22">
        <f t="shared" si="61"/>
        <v>3.669434796176543E-12</v>
      </c>
      <c r="BH120" s="62">
        <f t="shared" si="62"/>
        <v>293.33333333333701</v>
      </c>
      <c r="BI120" s="62">
        <f ca="1">AVERAGE(OFFSET($BH$3,0,0,'Données projet'!$E$11+1,1))-AVERAGE(OFFSET($H$3,0,0,'Données projet'!$E$11+1,1))</f>
        <v>311.82072478731385</v>
      </c>
      <c r="BJ120" s="62">
        <f t="shared" si="92"/>
        <v>356.36714671797864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51.297855317851798</v>
      </c>
      <c r="BQ120" s="23">
        <f>EXP(-LN(2)/25)*BQ119+(1-EXP(-LN(2)/25))/(LN(2)/25)*Calculateur!BL120*Calculateur!BN120*VLOOKUP('Données projet'!$B$11,Paramètres!$A$1:$I$88,3,0)*0.475*44/12</f>
        <v>9.5963011864976426</v>
      </c>
      <c r="BR120" s="23">
        <f>EXP(-LN(2)/2)*BR119+(1-EXP(-LN(2)/2))/(LN(2)/2)*BL120*BO120*VLOOKUP('Données projet'!$B$11,Paramètres!$A$1:$I$88,3,0)*0.475*44/12</f>
        <v>7.7836818468364075E-8</v>
      </c>
      <c r="BS120" s="24">
        <f t="shared" si="63"/>
        <v>60.894156582186255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218.39403703215032</v>
      </c>
      <c r="CE120" s="62">
        <f t="shared" si="94"/>
        <v>254.08208375594052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46.002965884095275</v>
      </c>
      <c r="CL120" s="23">
        <f>EXP(-LN(2)/25)*CL119+(1-EXP(-LN(2)/25))/(LN(2)/25)*Calculateur!CG120*Calculateur!CI120*VLOOKUP('Données projet'!$B$12,Paramètres!$A$1:$I$88,3,0)*0.475*44/12</f>
        <v>5.8960677622529003</v>
      </c>
      <c r="CM120" s="23">
        <f>EXP(-LN(2)/2)*CM119+(1-EXP(-LN(2)/2))/(LN(2)/2)*CG120*CJ120*VLOOKUP('Données projet'!$B$12,Paramètres!$A$1:$I$88,3,0)*0.475*44/12</f>
        <v>5.4410056018937466E-8</v>
      </c>
      <c r="CN120" s="24">
        <f t="shared" si="66"/>
        <v>51.899033700758231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1.9</v>
      </c>
      <c r="N121" s="14">
        <f>IF('Données projet'!$A$36&gt;35,N120+M121-V120,IF(A121&lt;'Données projet'!$A$36,$K$205^A121,IF(A121='Données projet'!$A$36,'Données projet'!$B$36,N120+M121-V120)))</f>
        <v>281.19999999999976</v>
      </c>
      <c r="O121" s="14">
        <f>N121*VLOOKUP('Données projet'!$B$9,Paramètres!$A$1:$I$88,3,0)*VLOOKUP('Données projet'!$B$9,Paramètres!$A$1:$I$88,5,0)</f>
        <v>254.42975999999979</v>
      </c>
      <c r="P121" s="14">
        <f t="shared" si="87"/>
        <v>61.53353546854914</v>
      </c>
      <c r="Q121" s="22">
        <f t="shared" si="107"/>
        <v>550.30273960772274</v>
      </c>
      <c r="R121" s="62">
        <f t="shared" si="55"/>
        <v>843.636072941056</v>
      </c>
      <c r="S121" s="62">
        <f ca="1">AVERAGE(OFFSET($R$3,0,0,'Données projet'!$E$9+1,1))-AVERAGE(OFFSET($H$3,0,0,'Données projet'!$E$9+1,1))</f>
        <v>373.09674935534343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32.232338629733889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32.232338629733889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</v>
      </c>
      <c r="AI121" s="14">
        <f>IF('Données projet'!$A$62&gt;35,AI120+AH121-AQ120,IF(A121&lt;'Données projet'!$A$62,$AF$205^A121,IF(A121='Données projet'!$A$62,'Données projet'!$B$62,AI120+AH121-AQ120)))</f>
        <v>426.39999999999981</v>
      </c>
      <c r="AJ121" s="14">
        <f>AI121*VLOOKUP('Données projet'!$B$10,Paramètres!$A$1:$I$88,3,0)*VLOOKUP('Données projet'!$B$10,Paramètres!$A$1:$I$88,5,0)</f>
        <v>405.76223999999979</v>
      </c>
      <c r="AK121" s="14">
        <f t="shared" si="89"/>
        <v>92.943896731150218</v>
      </c>
      <c r="AL121" s="22">
        <f t="shared" si="58"/>
        <v>868.57985480675291</v>
      </c>
      <c r="AM121" s="62">
        <f t="shared" si="59"/>
        <v>1161.9131881400863</v>
      </c>
      <c r="AN121" s="62">
        <f ca="1">AVERAGE(OFFSET($AM$3,0,0,'Données projet'!$E$10+1,1))-AVERAGE(OFFSET($H$3,0,0,'Données projet'!$E$10+1,1))</f>
        <v>509.66893546110458</v>
      </c>
      <c r="AO121" s="62">
        <f t="shared" si="90"/>
        <v>280.1645836141924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41.439852835229729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41.439852835229729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projet'!$B$11,Paramètres!$A$1:$I$88,3,0)*VLOOKUP('Données projet'!$B$11,Paramètres!$A$1:$I$88,5,0)</f>
        <v>1.3596945791505279E-13</v>
      </c>
      <c r="BF121" s="14">
        <f t="shared" si="91"/>
        <v>1.9708830566360721E-12</v>
      </c>
      <c r="BG121" s="22">
        <f t="shared" si="61"/>
        <v>3.669434796176543E-12</v>
      </c>
      <c r="BH121" s="62">
        <f t="shared" si="62"/>
        <v>293.33333333333701</v>
      </c>
      <c r="BI121" s="62">
        <f ca="1">AVERAGE(OFFSET($BH$3,0,0,'Données projet'!$E$11+1,1))-AVERAGE(OFFSET($H$3,0,0,'Données projet'!$E$11+1,1))</f>
        <v>311.82072478731385</v>
      </c>
      <c r="BJ121" s="62">
        <f t="shared" si="92"/>
        <v>356.36714671797864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50.291935663670976</v>
      </c>
      <c r="BQ121" s="23">
        <f>EXP(-LN(2)/25)*BQ120+(1-EXP(-LN(2)/25))/(LN(2)/25)*Calculateur!BL121*Calculateur!BN121*VLOOKUP('Données projet'!$B$11,Paramètres!$A$1:$I$88,3,0)*0.475*44/12</f>
        <v>9.3338898259053185</v>
      </c>
      <c r="BR121" s="23">
        <f>EXP(-LN(2)/2)*BR120+(1-EXP(-LN(2)/2))/(LN(2)/2)*BL121*BO121*VLOOKUP('Données projet'!$B$11,Paramètres!$A$1:$I$88,3,0)*0.475*44/12</f>
        <v>5.5038942164966537E-8</v>
      </c>
      <c r="BS121" s="24">
        <f t="shared" si="63"/>
        <v>59.625825544615232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218.39403703215032</v>
      </c>
      <c r="CE121" s="62">
        <f t="shared" si="94"/>
        <v>254.08208375594052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45.100875782146758</v>
      </c>
      <c r="CL121" s="23">
        <f>EXP(-LN(2)/25)*CL120+(1-EXP(-LN(2)/25))/(LN(2)/25)*Calculateur!CG121*Calculateur!CI121*VLOOKUP('Données projet'!$B$12,Paramètres!$A$1:$I$88,3,0)*0.475*44/12</f>
        <v>5.7348394792333668</v>
      </c>
      <c r="CM121" s="23">
        <f>EXP(-LN(2)/2)*CM120+(1-EXP(-LN(2)/2))/(LN(2)/2)*CG121*CJ121*VLOOKUP('Données projet'!$B$12,Paramètres!$A$1:$I$88,3,0)*0.475*44/12</f>
        <v>3.8473719575730608E-8</v>
      </c>
      <c r="CN121" s="24">
        <f t="shared" si="66"/>
        <v>50.835715299853845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1.9</v>
      </c>
      <c r="N122" s="14">
        <f>IF('Données projet'!$A$36&gt;35,N121+M122-V121,IF(A122&lt;'Données projet'!$A$36,$K$205^A122,IF(A122='Données projet'!$A$36,'Données projet'!$B$36,N121+M122-V121)))</f>
        <v>283.09999999999974</v>
      </c>
      <c r="O122" s="14">
        <f>N122*VLOOKUP('Données projet'!$B$9,Paramètres!$A$1:$I$88,3,0)*VLOOKUP('Données projet'!$B$9,Paramètres!$A$1:$I$88,5,0)</f>
        <v>256.14887999999974</v>
      </c>
      <c r="P122" s="14">
        <f t="shared" si="87"/>
        <v>61.900763201444285</v>
      </c>
      <c r="Q122" s="22">
        <f t="shared" si="107"/>
        <v>553.93646190918173</v>
      </c>
      <c r="R122" s="62">
        <f t="shared" si="55"/>
        <v>847.2697952425151</v>
      </c>
      <c r="S122" s="62">
        <f ca="1">AVERAGE(OFFSET($R$3,0,0,'Données projet'!$E$9+1,1))-AVERAGE(OFFSET($H$3,0,0,'Données projet'!$E$9+1,1))</f>
        <v>373.09674935534343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31.600282128990127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31.600282128990127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</v>
      </c>
      <c r="AI122" s="14">
        <f>IF('Données projet'!$A$62&gt;35,AI121+AH122-AQ121,IF(A122&lt;'Données projet'!$A$62,$AF$205^A122,IF(A122='Données projet'!$A$62,'Données projet'!$B$62,AI121+AH122-AQ121)))</f>
        <v>429.19999999999982</v>
      </c>
      <c r="AJ122" s="14">
        <f>AI122*VLOOKUP('Données projet'!$B$10,Paramètres!$A$1:$I$88,3,0)*VLOOKUP('Données projet'!$B$10,Paramètres!$A$1:$I$88,5,0)</f>
        <v>408.42671999999988</v>
      </c>
      <c r="AK122" s="14">
        <f t="shared" si="89"/>
        <v>93.482974987099325</v>
      </c>
      <c r="AL122" s="22">
        <f t="shared" si="58"/>
        <v>874.15938543586446</v>
      </c>
      <c r="AM122" s="62">
        <f t="shared" si="59"/>
        <v>1167.4927187691978</v>
      </c>
      <c r="AN122" s="62">
        <f ca="1">AVERAGE(OFFSET($AM$3,0,0,'Données projet'!$E$10+1,1))-AVERAGE(OFFSET($H$3,0,0,'Données projet'!$E$10+1,1))</f>
        <v>509.66893546110458</v>
      </c>
      <c r="AO122" s="62">
        <f t="shared" si="90"/>
        <v>280.1645836141924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40.627242596945322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40.627242596945322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projet'!$B$11,Paramètres!$A$1:$I$88,3,0)*VLOOKUP('Données projet'!$B$11,Paramètres!$A$1:$I$88,5,0)</f>
        <v>1.3596945791505279E-13</v>
      </c>
      <c r="BF122" s="14">
        <f t="shared" si="91"/>
        <v>1.9708830566360721E-12</v>
      </c>
      <c r="BG122" s="22">
        <f t="shared" si="61"/>
        <v>3.669434796176543E-12</v>
      </c>
      <c r="BH122" s="62">
        <f t="shared" si="62"/>
        <v>293.33333333333701</v>
      </c>
      <c r="BI122" s="62">
        <f ca="1">AVERAGE(OFFSET($BH$3,0,0,'Données projet'!$E$11+1,1))-AVERAGE(OFFSET($H$3,0,0,'Données projet'!$E$11+1,1))</f>
        <v>311.82072478731385</v>
      </c>
      <c r="BJ122" s="62">
        <f t="shared" si="92"/>
        <v>356.36714671797864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49.305741480358236</v>
      </c>
      <c r="BQ122" s="23">
        <f>EXP(-LN(2)/25)*BQ121+(1-EXP(-LN(2)/25))/(LN(2)/25)*Calculateur!BL122*Calculateur!BN122*VLOOKUP('Données projet'!$B$11,Paramètres!$A$1:$I$88,3,0)*0.475*44/12</f>
        <v>9.0786541177680053</v>
      </c>
      <c r="BR122" s="23">
        <f>EXP(-LN(2)/2)*BR121+(1-EXP(-LN(2)/2))/(LN(2)/2)*BL122*BO122*VLOOKUP('Données projet'!$B$11,Paramètres!$A$1:$I$88,3,0)*0.475*44/12</f>
        <v>3.8918409234182037E-8</v>
      </c>
      <c r="BS122" s="24">
        <f t="shared" si="63"/>
        <v>58.384395637044648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218.39403703215032</v>
      </c>
      <c r="CE122" s="62">
        <f t="shared" si="94"/>
        <v>254.08208375594052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44.216475116876815</v>
      </c>
      <c r="CL122" s="23">
        <f>EXP(-LN(2)/25)*CL121+(1-EXP(-LN(2)/25))/(LN(2)/25)*Calculateur!CG122*Calculateur!CI122*VLOOKUP('Données projet'!$B$12,Paramètres!$A$1:$I$88,3,0)*0.475*44/12</f>
        <v>5.5780199920916296</v>
      </c>
      <c r="CM122" s="23">
        <f>EXP(-LN(2)/2)*CM121+(1-EXP(-LN(2)/2))/(LN(2)/2)*CG122*CJ122*VLOOKUP('Données projet'!$B$12,Paramètres!$A$1:$I$88,3,0)*0.475*44/12</f>
        <v>2.7205028009468733E-8</v>
      </c>
      <c r="CN122" s="24">
        <f t="shared" si="66"/>
        <v>49.794495136173474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1.9</v>
      </c>
      <c r="M123" s="13">
        <f t="array" ref="M123">INDEX(L:L,MIN(IF(ISNUMBER(L123:L319),ROW(L123:L319),"")))</f>
        <v>1.9</v>
      </c>
      <c r="N123" s="14">
        <f>IF('Données projet'!$A$36&gt;35,N122+M123-V122,IF(A123&lt;'Données projet'!$A$36,$K$205^A123,IF(A123='Données projet'!$A$36,'Données projet'!$B$36,N122+M123-V122)))</f>
        <v>284.99999999999972</v>
      </c>
      <c r="O123" s="14">
        <f>N123*VLOOKUP('Données projet'!$B$9,Paramètres!$A$1:$I$88,3,0)*VLOOKUP('Données projet'!$B$9,Paramètres!$A$1:$I$88,5,0)</f>
        <v>257.86799999999971</v>
      </c>
      <c r="P123" s="14">
        <f t="shared" si="87"/>
        <v>62.267704162827471</v>
      </c>
      <c r="Q123" s="22">
        <f t="shared" si="107"/>
        <v>557.56968475025735</v>
      </c>
      <c r="R123" s="62">
        <f t="shared" si="55"/>
        <v>850.90301808359072</v>
      </c>
      <c r="S123" s="62">
        <f ca="1">AVERAGE(OFFSET($R$3,0,0,'Données projet'!$E$9+1,1))-AVERAGE(OFFSET($H$3,0,0,'Données projet'!$E$9+1,1))</f>
        <v>373.09674935534343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projet'!$B$9,Paramètres!$A$1:$I$88,7,0))</f>
        <v>0.34400000000000003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129.04312979602412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129.04312979602412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432</v>
      </c>
      <c r="AG123" s="13">
        <f>VLOOKUP(A123,'Données projet'!$A$61:$I$81,9,0)</f>
        <v>2.8</v>
      </c>
      <c r="AH123" s="13">
        <f t="array" ref="AH123">INDEX(AG:AG,MIN(IF(ISNUMBER(AG123:AG319),ROW(AG123:AG319),"")))</f>
        <v>2.8</v>
      </c>
      <c r="AI123" s="14">
        <f>IF('Données projet'!$A$62&gt;35,AI122+AH123-AQ122,IF(A123&lt;'Données projet'!$A$62,$AF$205^A123,IF(A123='Données projet'!$A$62,'Données projet'!$B$62,AI122+AH123-AQ122)))</f>
        <v>431.99999999999983</v>
      </c>
      <c r="AJ123" s="14">
        <f>AI123*VLOOKUP('Données projet'!$B$10,Paramètres!$A$1:$I$88,3,0)*VLOOKUP('Données projet'!$B$10,Paramètres!$A$1:$I$88,5,0)</f>
        <v>411.09119999999979</v>
      </c>
      <c r="AK123" s="14">
        <f t="shared" si="89"/>
        <v>94.021644037524425</v>
      </c>
      <c r="AL123" s="22">
        <f t="shared" si="58"/>
        <v>879.73820336535471</v>
      </c>
      <c r="AM123" s="62">
        <f t="shared" si="59"/>
        <v>1173.0715366986881</v>
      </c>
      <c r="AN123" s="62">
        <f ca="1">AVERAGE(OFFSET($AM$3,0,0,'Données projet'!$E$10+1,1))-AVERAGE(OFFSET($H$3,0,0,'Données projet'!$E$10+1,1))</f>
        <v>509.66893546110458</v>
      </c>
      <c r="AO123" s="62">
        <f t="shared" si="90"/>
        <v>280.1645836141924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432</v>
      </c>
      <c r="AR123" s="17">
        <f>IF(ISNA(VLOOKUP(A123,'Données projet'!$A$61:$I$81,5,0)),0%,VLOOKUP(A123,'Données projet'!$A$61:$I$81,5,0)*VLOOKUP('Données projet'!$B$10,Paramètres!$A$1:$I$88,7,0))</f>
        <v>0.34400000000000003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196.16107299079999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196.16107299079999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projet'!$B$11,Paramètres!$A$1:$I$88,3,0)*VLOOKUP('Données projet'!$B$11,Paramètres!$A$1:$I$88,5,0)</f>
        <v>1.3596945791505279E-13</v>
      </c>
      <c r="BF123" s="14">
        <f t="shared" si="91"/>
        <v>1.9708830566360721E-12</v>
      </c>
      <c r="BG123" s="22">
        <f t="shared" si="61"/>
        <v>3.669434796176543E-12</v>
      </c>
      <c r="BH123" s="62">
        <f t="shared" si="62"/>
        <v>293.33333333333701</v>
      </c>
      <c r="BI123" s="62">
        <f ca="1">AVERAGE(OFFSET($BH$3,0,0,'Données projet'!$E$11+1,1))-AVERAGE(OFFSET($H$3,0,0,'Données projet'!$E$11+1,1))</f>
        <v>311.82072478731385</v>
      </c>
      <c r="BJ123" s="62">
        <f t="shared" si="92"/>
        <v>356.36714671797864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48.338885963461202</v>
      </c>
      <c r="BQ123" s="23">
        <f>EXP(-LN(2)/25)*BQ122+(1-EXP(-LN(2)/25))/(LN(2)/25)*Calculateur!BL123*Calculateur!BN123*VLOOKUP('Données projet'!$B$11,Paramètres!$A$1:$I$88,3,0)*0.475*44/12</f>
        <v>8.8303978434919692</v>
      </c>
      <c r="BR123" s="23">
        <f>EXP(-LN(2)/2)*BR122+(1-EXP(-LN(2)/2))/(LN(2)/2)*BL123*BO123*VLOOKUP('Données projet'!$B$11,Paramètres!$A$1:$I$88,3,0)*0.475*44/12</f>
        <v>2.7519471082483269E-8</v>
      </c>
      <c r="BS123" s="24">
        <f t="shared" si="63"/>
        <v>57.169283834472644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218.39403703215032</v>
      </c>
      <c r="CE123" s="62">
        <f t="shared" si="94"/>
        <v>254.08208375594052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43.349417009221675</v>
      </c>
      <c r="CL123" s="23">
        <f>EXP(-LN(2)/25)*CL122+(1-EXP(-LN(2)/25))/(LN(2)/25)*Calculateur!CG123*Calculateur!CI123*VLOOKUP('Données projet'!$B$12,Paramètres!$A$1:$I$88,3,0)*0.475*44/12</f>
        <v>5.4254887420725613</v>
      </c>
      <c r="CM123" s="23">
        <f>EXP(-LN(2)/2)*CM122+(1-EXP(-LN(2)/2))/(LN(2)/2)*CG123*CJ123*VLOOKUP('Données projet'!$B$12,Paramètres!$A$1:$I$88,3,0)*0.475*44/12</f>
        <v>1.9236859787865304E-8</v>
      </c>
      <c r="CN123" s="24">
        <f t="shared" si="66"/>
        <v>48.774905770531092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-2.8421709430404007E-13</v>
      </c>
      <c r="O124" s="14">
        <f>N124*VLOOKUP('Données projet'!$B$9,Paramètres!$A$1:$I$88,3,0)*VLOOKUP('Données projet'!$B$9,Paramètres!$A$1:$I$88,5,0)</f>
        <v>-2.5715962692629546E-13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373.09674935534343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126.51267272926144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126.51267272926144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projet'!$B$10,Paramètres!$A$1:$I$88,3,0)*VLOOKUP('Données projet'!$B$10,Paramètres!$A$1:$I$88,5,0)</f>
        <v>-1.6227659216383472E-13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509.66893546110458</v>
      </c>
      <c r="AO124" s="62">
        <f t="shared" si="90"/>
        <v>280.1645836141924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192.31447399589084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192.31447399589084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projet'!$B$11,Paramètres!$A$1:$I$88,3,0)*VLOOKUP('Données projet'!$B$11,Paramètres!$A$1:$I$88,5,0)</f>
        <v>1.3596945791505279E-13</v>
      </c>
      <c r="BF124" s="14">
        <f t="shared" si="91"/>
        <v>1.9708830566360721E-12</v>
      </c>
      <c r="BG124" s="22">
        <f t="shared" si="61"/>
        <v>3.669434796176543E-12</v>
      </c>
      <c r="BH124" s="62">
        <f t="shared" si="62"/>
        <v>293.33333333333701</v>
      </c>
      <c r="BI124" s="62">
        <f ca="1">AVERAGE(OFFSET($BH$3,0,0,'Données projet'!$E$11+1,1))-AVERAGE(OFFSET($H$3,0,0,'Données projet'!$E$11+1,1))</f>
        <v>311.82072478731385</v>
      </c>
      <c r="BJ124" s="62">
        <f t="shared" si="92"/>
        <v>356.36714671797864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47.390989893526879</v>
      </c>
      <c r="BQ124" s="23">
        <f>EXP(-LN(2)/25)*BQ123+(1-EXP(-LN(2)/25))/(LN(2)/25)*Calculateur!BL124*Calculateur!BN124*VLOOKUP('Données projet'!$B$11,Paramètres!$A$1:$I$88,3,0)*0.475*44/12</f>
        <v>8.5889301500912403</v>
      </c>
      <c r="BR124" s="23">
        <f>EXP(-LN(2)/2)*BR123+(1-EXP(-LN(2)/2))/(LN(2)/2)*BL124*BO124*VLOOKUP('Données projet'!$B$11,Paramètres!$A$1:$I$88,3,0)*0.475*44/12</f>
        <v>1.9459204617091019E-8</v>
      </c>
      <c r="BS124" s="24">
        <f t="shared" si="63"/>
        <v>55.97992006307733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218.39403703215032</v>
      </c>
      <c r="CE124" s="62">
        <f t="shared" si="94"/>
        <v>254.08208375594052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42.499361382204427</v>
      </c>
      <c r="CL124" s="23">
        <f>EXP(-LN(2)/25)*CL123+(1-EXP(-LN(2)/25))/(LN(2)/25)*Calculateur!CG124*Calculateur!CI124*VLOOKUP('Données projet'!$B$12,Paramètres!$A$1:$I$88,3,0)*0.475*44/12</f>
        <v>5.2771284671065342</v>
      </c>
      <c r="CM124" s="23">
        <f>EXP(-LN(2)/2)*CM123+(1-EXP(-LN(2)/2))/(LN(2)/2)*CG124*CJ124*VLOOKUP('Données projet'!$B$12,Paramètres!$A$1:$I$88,3,0)*0.475*44/12</f>
        <v>1.3602514004734367E-8</v>
      </c>
      <c r="CN124" s="24">
        <f t="shared" si="66"/>
        <v>47.776489862913479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-2.8421709430404007E-13</v>
      </c>
      <c r="O125" s="14">
        <f>N125*VLOOKUP('Données projet'!$B$9,Paramètres!$A$1:$I$88,3,0)*VLOOKUP('Données projet'!$B$9,Paramètres!$A$1:$I$88,5,0)</f>
        <v>-2.5715962692629546E-13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373.09674935534343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124.03183638215157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124.03183638215157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projet'!$B$10,Paramètres!$A$1:$I$88,3,0)*VLOOKUP('Données projet'!$B$10,Paramètres!$A$1:$I$88,5,0)</f>
        <v>-1.6227659216383472E-13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509.66893546110458</v>
      </c>
      <c r="AO125" s="62">
        <f t="shared" si="90"/>
        <v>280.1645836141924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188.54330446107812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188.54330446107812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projet'!$B$11,Paramètres!$A$1:$I$88,3,0)*VLOOKUP('Données projet'!$B$11,Paramètres!$A$1:$I$88,5,0)</f>
        <v>1.3596945791505279E-13</v>
      </c>
      <c r="BF125" s="14">
        <f t="shared" si="91"/>
        <v>1.9708830566360721E-12</v>
      </c>
      <c r="BG125" s="22">
        <f t="shared" si="61"/>
        <v>3.669434796176543E-12</v>
      </c>
      <c r="BH125" s="62">
        <f t="shared" si="62"/>
        <v>293.33333333333701</v>
      </c>
      <c r="BI125" s="62">
        <f ca="1">AVERAGE(OFFSET($BH$3,0,0,'Données projet'!$E$11+1,1))-AVERAGE(OFFSET($H$3,0,0,'Données projet'!$E$11+1,1))</f>
        <v>311.82072478731385</v>
      </c>
      <c r="BJ125" s="62">
        <f t="shared" si="92"/>
        <v>356.36714671797864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46.461681487364459</v>
      </c>
      <c r="BQ125" s="23">
        <f>EXP(-LN(2)/25)*BQ124+(1-EXP(-LN(2)/25))/(LN(2)/25)*Calculateur!BL125*Calculateur!BN125*VLOOKUP('Données projet'!$B$11,Paramètres!$A$1:$I$88,3,0)*0.475*44/12</f>
        <v>8.354065403464789</v>
      </c>
      <c r="BR125" s="23">
        <f>EXP(-LN(2)/2)*BR124+(1-EXP(-LN(2)/2))/(LN(2)/2)*BL125*BO125*VLOOKUP('Données projet'!$B$11,Paramètres!$A$1:$I$88,3,0)*0.475*44/12</f>
        <v>1.3759735541241634E-8</v>
      </c>
      <c r="BS125" s="24">
        <f t="shared" si="63"/>
        <v>54.815746904588984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218.39403703215032</v>
      </c>
      <c r="CE125" s="62">
        <f t="shared" si="94"/>
        <v>254.08208375594052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41.665974827550251</v>
      </c>
      <c r="CL125" s="23">
        <f>EXP(-LN(2)/25)*CL124+(1-EXP(-LN(2)/25))/(LN(2)/25)*Calculateur!CG125*Calculateur!CI125*VLOOKUP('Données projet'!$B$12,Paramètres!$A$1:$I$88,3,0)*0.475*44/12</f>
        <v>5.132825111661381</v>
      </c>
      <c r="CM125" s="23">
        <f>EXP(-LN(2)/2)*CM124+(1-EXP(-LN(2)/2))/(LN(2)/2)*CG125*CJ125*VLOOKUP('Données projet'!$B$12,Paramètres!$A$1:$I$88,3,0)*0.475*44/12</f>
        <v>9.6184298939326519E-9</v>
      </c>
      <c r="CN125" s="24">
        <f t="shared" si="66"/>
        <v>46.798799948830066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-2.8421709430404007E-13</v>
      </c>
      <c r="O126" s="14">
        <f>N126*VLOOKUP('Données projet'!$B$9,Paramètres!$A$1:$I$88,3,0)*VLOOKUP('Données projet'!$B$9,Paramètres!$A$1:$I$88,5,0)</f>
        <v>-2.5715962692629546E-13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373.09674935534343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121.59964772264776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121.59964772264776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projet'!$B$10,Paramètres!$A$1:$I$88,3,0)*VLOOKUP('Données projet'!$B$10,Paramètres!$A$1:$I$88,5,0)</f>
        <v>-1.6227659216383472E-13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509.66893546110458</v>
      </c>
      <c r="AO126" s="62">
        <f t="shared" si="90"/>
        <v>280.1645836141924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184.84608526065679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184.84608526065679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projet'!$B$11,Paramètres!$A$1:$I$88,3,0)*VLOOKUP('Données projet'!$B$11,Paramètres!$A$1:$I$88,5,0)</f>
        <v>1.3596945791505279E-13</v>
      </c>
      <c r="BF126" s="14">
        <f t="shared" si="91"/>
        <v>1.9708830566360721E-12</v>
      </c>
      <c r="BG126" s="22">
        <f t="shared" si="61"/>
        <v>3.669434796176543E-12</v>
      </c>
      <c r="BH126" s="62">
        <f t="shared" si="62"/>
        <v>293.33333333333701</v>
      </c>
      <c r="BI126" s="62">
        <f ca="1">AVERAGE(OFFSET($BH$3,0,0,'Données projet'!$E$11+1,1))-AVERAGE(OFFSET($H$3,0,0,'Données projet'!$E$11+1,1))</f>
        <v>311.82072478731385</v>
      </c>
      <c r="BJ126" s="62">
        <f t="shared" si="92"/>
        <v>356.36714671797864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45.550596252224722</v>
      </c>
      <c r="BQ126" s="23">
        <f>EXP(-LN(2)/25)*BQ125+(1-EXP(-LN(2)/25))/(LN(2)/25)*Calculateur!BL126*Calculateur!BN126*VLOOKUP('Données projet'!$B$11,Paramètres!$A$1:$I$88,3,0)*0.475*44/12</f>
        <v>8.1256230456858383</v>
      </c>
      <c r="BR126" s="23">
        <f>EXP(-LN(2)/2)*BR125+(1-EXP(-LN(2)/2))/(LN(2)/2)*BL126*BO126*VLOOKUP('Données projet'!$B$11,Paramètres!$A$1:$I$88,3,0)*0.475*44/12</f>
        <v>9.7296023085455093E-9</v>
      </c>
      <c r="BS126" s="24">
        <f t="shared" si="63"/>
        <v>53.676219307640167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218.39403703215032</v>
      </c>
      <c r="CE126" s="62">
        <f t="shared" si="94"/>
        <v>254.08208375594052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40.848930474917239</v>
      </c>
      <c r="CL126" s="23">
        <f>EXP(-LN(2)/25)*CL125+(1-EXP(-LN(2)/25))/(LN(2)/25)*Calculateur!CG126*Calculateur!CI126*VLOOKUP('Données projet'!$B$12,Paramètres!$A$1:$I$88,3,0)*0.475*44/12</f>
        <v>4.9924677390594594</v>
      </c>
      <c r="CM126" s="23">
        <f>EXP(-LN(2)/2)*CM125+(1-EXP(-LN(2)/2))/(LN(2)/2)*CG126*CJ126*VLOOKUP('Données projet'!$B$12,Paramètres!$A$1:$I$88,3,0)*0.475*44/12</f>
        <v>6.8012570023671833E-9</v>
      </c>
      <c r="CN126" s="24">
        <f t="shared" si="66"/>
        <v>45.841398220777954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-2.8421709430404007E-13</v>
      </c>
      <c r="O127" s="14">
        <f>N127*VLOOKUP('Données projet'!$B$9,Paramètres!$A$1:$I$88,3,0)*VLOOKUP('Données projet'!$B$9,Paramètres!$A$1:$I$88,5,0)</f>
        <v>-2.5715962692629546E-13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373.09674935534343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119.21515279926822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119.21515279926822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projet'!$B$10,Paramètres!$A$1:$I$88,3,0)*VLOOKUP('Données projet'!$B$10,Paramètres!$A$1:$I$88,5,0)</f>
        <v>-1.6227659216383472E-13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509.66893546110458</v>
      </c>
      <c r="AO127" s="62">
        <f t="shared" si="90"/>
        <v>280.1645836141924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181.22136627367468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181.22136627367468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projet'!$B$11,Paramètres!$A$1:$I$88,3,0)*VLOOKUP('Données projet'!$B$11,Paramètres!$A$1:$I$88,5,0)</f>
        <v>1.3596945791505279E-13</v>
      </c>
      <c r="BF127" s="14">
        <f t="shared" si="91"/>
        <v>1.9708830566360721E-12</v>
      </c>
      <c r="BG127" s="22">
        <f t="shared" si="61"/>
        <v>3.669434796176543E-12</v>
      </c>
      <c r="BH127" s="62">
        <f t="shared" si="62"/>
        <v>293.33333333333701</v>
      </c>
      <c r="BI127" s="62">
        <f ca="1">AVERAGE(OFFSET($BH$3,0,0,'Données projet'!$E$11+1,1))-AVERAGE(OFFSET($H$3,0,0,'Données projet'!$E$11+1,1))</f>
        <v>311.82072478731385</v>
      </c>
      <c r="BJ127" s="62">
        <f t="shared" si="92"/>
        <v>356.36714671797864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44.65737684283895</v>
      </c>
      <c r="BQ127" s="23">
        <f>EXP(-LN(2)/25)*BQ126+(1-EXP(-LN(2)/25))/(LN(2)/25)*Calculateur!BL127*Calculateur!BN127*VLOOKUP('Données projet'!$B$11,Paramètres!$A$1:$I$88,3,0)*0.475*44/12</f>
        <v>7.9034274561936142</v>
      </c>
      <c r="BR127" s="23">
        <f>EXP(-LN(2)/2)*BR126+(1-EXP(-LN(2)/2))/(LN(2)/2)*BL127*BO127*VLOOKUP('Données projet'!$B$11,Paramètres!$A$1:$I$88,3,0)*0.475*44/12</f>
        <v>6.8798677706208172E-9</v>
      </c>
      <c r="BS127" s="24">
        <f t="shared" si="63"/>
        <v>52.560804305912427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218.39403703215032</v>
      </c>
      <c r="CE127" s="62">
        <f t="shared" si="94"/>
        <v>254.08208375594052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40.047907863691513</v>
      </c>
      <c r="CL127" s="23">
        <f>EXP(-LN(2)/25)*CL126+(1-EXP(-LN(2)/25))/(LN(2)/25)*Calculateur!CG127*Calculateur!CI127*VLOOKUP('Données projet'!$B$12,Paramètres!$A$1:$I$88,3,0)*0.475*44/12</f>
        <v>4.8559484461924107</v>
      </c>
      <c r="CM127" s="23">
        <f>EXP(-LN(2)/2)*CM126+(1-EXP(-LN(2)/2))/(LN(2)/2)*CG127*CJ127*VLOOKUP('Données projet'!$B$12,Paramètres!$A$1:$I$88,3,0)*0.475*44/12</f>
        <v>4.809214946966326E-9</v>
      </c>
      <c r="CN127" s="24">
        <f t="shared" si="66"/>
        <v>44.903856314693137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-2.8421709430404007E-13</v>
      </c>
      <c r="O128" s="14">
        <f>N128*VLOOKUP('Données projet'!$B$9,Paramètres!$A$1:$I$88,3,0)*VLOOKUP('Données projet'!$B$9,Paramètres!$A$1:$I$88,5,0)</f>
        <v>-2.5715962692629546E-13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373.09674935534343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116.87741636693787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116.87741636693787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projet'!$B$10,Paramètres!$A$1:$I$88,3,0)*VLOOKUP('Données projet'!$B$10,Paramètres!$A$1:$I$88,5,0)</f>
        <v>-1.6227659216383472E-13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509.66893546110458</v>
      </c>
      <c r="AO128" s="62">
        <f t="shared" si="90"/>
        <v>280.1645836141924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177.66772581516702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177.66772581516702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projet'!$B$11,Paramètres!$A$1:$I$88,3,0)*VLOOKUP('Données projet'!$B$11,Paramètres!$A$1:$I$88,5,0)</f>
        <v>1.3596945791505279E-13</v>
      </c>
      <c r="BF128" s="14">
        <f t="shared" si="91"/>
        <v>1.9708830566360721E-12</v>
      </c>
      <c r="BG128" s="22">
        <f t="shared" si="61"/>
        <v>3.669434796176543E-12</v>
      </c>
      <c r="BH128" s="62">
        <f t="shared" si="62"/>
        <v>293.33333333333701</v>
      </c>
      <c r="BI128" s="62">
        <f ca="1">AVERAGE(OFFSET($BH$3,0,0,'Données projet'!$E$11+1,1))-AVERAGE(OFFSET($H$3,0,0,'Données projet'!$E$11+1,1))</f>
        <v>311.82072478731385</v>
      </c>
      <c r="BJ128" s="62">
        <f t="shared" si="92"/>
        <v>356.36714671797864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43.78167292126119</v>
      </c>
      <c r="BQ128" s="23">
        <f>EXP(-LN(2)/25)*BQ127+(1-EXP(-LN(2)/25))/(LN(2)/25)*Calculateur!BL128*Calculateur!BN128*VLOOKUP('Données projet'!$B$11,Paramètres!$A$1:$I$88,3,0)*0.475*44/12</f>
        <v>7.6873078167808133</v>
      </c>
      <c r="BR128" s="23">
        <f>EXP(-LN(2)/2)*BR127+(1-EXP(-LN(2)/2))/(LN(2)/2)*BL128*BO128*VLOOKUP('Données projet'!$B$11,Paramètres!$A$1:$I$88,3,0)*0.475*44/12</f>
        <v>4.8648011542727547E-9</v>
      </c>
      <c r="BS128" s="24">
        <f t="shared" si="63"/>
        <v>51.468980742906808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218.39403703215032</v>
      </c>
      <c r="CE128" s="62">
        <f t="shared" si="94"/>
        <v>254.08208375594052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39.262592817296373</v>
      </c>
      <c r="CL128" s="23">
        <f>EXP(-LN(2)/25)*CL127+(1-EXP(-LN(2)/25))/(LN(2)/25)*Calculateur!CG128*Calculateur!CI128*VLOOKUP('Données projet'!$B$12,Paramètres!$A$1:$I$88,3,0)*0.475*44/12</f>
        <v>4.7231622805680491</v>
      </c>
      <c r="CM128" s="23">
        <f>EXP(-LN(2)/2)*CM127+(1-EXP(-LN(2)/2))/(LN(2)/2)*CG128*CJ128*VLOOKUP('Données projet'!$B$12,Paramètres!$A$1:$I$88,3,0)*0.475*44/12</f>
        <v>3.4006285011835917E-9</v>
      </c>
      <c r="CN128" s="24">
        <f t="shared" si="66"/>
        <v>43.985755101265049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-2.8421709430404007E-13</v>
      </c>
      <c r="O129" s="14">
        <f>N129*VLOOKUP('Données projet'!$B$9,Paramètres!$A$1:$I$88,3,0)*VLOOKUP('Données projet'!$B$9,Paramètres!$A$1:$I$88,5,0)</f>
        <v>-2.5715962692629546E-13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373.09674935534343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114.58552152016708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114.58552152016708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projet'!$B$10,Paramètres!$A$1:$I$88,3,0)*VLOOKUP('Données projet'!$B$10,Paramètres!$A$1:$I$88,5,0)</f>
        <v>-1.6227659216383472E-13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509.66893546110458</v>
      </c>
      <c r="AO129" s="62">
        <f t="shared" si="90"/>
        <v>280.1645836141924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174.18377007854403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174.18377007854403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projet'!$B$11,Paramètres!$A$1:$I$88,3,0)*VLOOKUP('Données projet'!$B$11,Paramètres!$A$1:$I$88,5,0)</f>
        <v>1.3596945791505279E-13</v>
      </c>
      <c r="BF129" s="14">
        <f t="shared" si="91"/>
        <v>1.9708830566360721E-12</v>
      </c>
      <c r="BG129" s="22">
        <f t="shared" si="61"/>
        <v>3.669434796176543E-12</v>
      </c>
      <c r="BH129" s="62">
        <f t="shared" si="62"/>
        <v>293.33333333333701</v>
      </c>
      <c r="BI129" s="62">
        <f ca="1">AVERAGE(OFFSET($BH$3,0,0,'Données projet'!$E$11+1,1))-AVERAGE(OFFSET($H$3,0,0,'Données projet'!$E$11+1,1))</f>
        <v>311.82072478731385</v>
      </c>
      <c r="BJ129" s="62">
        <f t="shared" si="92"/>
        <v>356.36714671797864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42.923141019458924</v>
      </c>
      <c r="BQ129" s="23">
        <f>EXP(-LN(2)/25)*BQ128+(1-EXP(-LN(2)/25))/(LN(2)/25)*Calculateur!BL129*Calculateur!BN129*VLOOKUP('Données projet'!$B$11,Paramètres!$A$1:$I$88,3,0)*0.475*44/12</f>
        <v>7.4770979802729931</v>
      </c>
      <c r="BR129" s="23">
        <f>EXP(-LN(2)/2)*BR128+(1-EXP(-LN(2)/2))/(LN(2)/2)*BL129*BO129*VLOOKUP('Données projet'!$B$11,Paramètres!$A$1:$I$88,3,0)*0.475*44/12</f>
        <v>3.4399338853104086E-9</v>
      </c>
      <c r="BS129" s="24">
        <f t="shared" si="63"/>
        <v>50.400239003171855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218.39403703215032</v>
      </c>
      <c r="CE129" s="62">
        <f t="shared" si="94"/>
        <v>254.08208375594052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38.492677319966155</v>
      </c>
      <c r="CL129" s="23">
        <f>EXP(-LN(2)/25)*CL128+(1-EXP(-LN(2)/25))/(LN(2)/25)*Calculateur!CG129*Calculateur!CI129*VLOOKUP('Données projet'!$B$12,Paramètres!$A$1:$I$88,3,0)*0.475*44/12</f>
        <v>4.5940071596256065</v>
      </c>
      <c r="CM129" s="23">
        <f>EXP(-LN(2)/2)*CM128+(1-EXP(-LN(2)/2))/(LN(2)/2)*CG129*CJ129*VLOOKUP('Données projet'!$B$12,Paramètres!$A$1:$I$88,3,0)*0.475*44/12</f>
        <v>2.404607473483163E-9</v>
      </c>
      <c r="CN129" s="24">
        <f t="shared" si="66"/>
        <v>43.086684481996365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-2.8421709430404007E-13</v>
      </c>
      <c r="O130" s="14">
        <f>N130*VLOOKUP('Données projet'!$B$9,Paramètres!$A$1:$I$88,3,0)*VLOOKUP('Données projet'!$B$9,Paramètres!$A$1:$I$88,5,0)</f>
        <v>-2.5715962692629546E-13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373.09674935534343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112.33856933342364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112.33856933342364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projet'!$B$10,Paramètres!$A$1:$I$88,3,0)*VLOOKUP('Données projet'!$B$10,Paramètres!$A$1:$I$88,5,0)</f>
        <v>-1.6227659216383472E-13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509.66893546110458</v>
      </c>
      <c r="AO130" s="62">
        <f t="shared" si="90"/>
        <v>280.1645836141924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170.76813258891303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170.76813258891303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projet'!$B$11,Paramètres!$A$1:$I$88,3,0)*VLOOKUP('Données projet'!$B$11,Paramètres!$A$1:$I$88,5,0)</f>
        <v>1.3596945791505279E-13</v>
      </c>
      <c r="BF130" s="14">
        <f t="shared" si="91"/>
        <v>1.9708830566360721E-12</v>
      </c>
      <c r="BG130" s="22">
        <f t="shared" si="61"/>
        <v>3.669434796176543E-12</v>
      </c>
      <c r="BH130" s="62">
        <f t="shared" si="62"/>
        <v>293.33333333333701</v>
      </c>
      <c r="BI130" s="62">
        <f ca="1">AVERAGE(OFFSET($BH$3,0,0,'Données projet'!$E$11+1,1))-AVERAGE(OFFSET($H$3,0,0,'Données projet'!$E$11+1,1))</f>
        <v>311.82072478731385</v>
      </c>
      <c r="BJ130" s="62">
        <f t="shared" si="92"/>
        <v>356.36714671797864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42.081444404598244</v>
      </c>
      <c r="BQ130" s="23">
        <f>EXP(-LN(2)/25)*BQ129+(1-EXP(-LN(2)/25))/(LN(2)/25)*Calculateur!BL130*Calculateur!BN130*VLOOKUP('Données projet'!$B$11,Paramètres!$A$1:$I$88,3,0)*0.475*44/12</f>
        <v>7.2726363427989345</v>
      </c>
      <c r="BR130" s="23">
        <f>EXP(-LN(2)/2)*BR129+(1-EXP(-LN(2)/2))/(LN(2)/2)*BL130*BO130*VLOOKUP('Données projet'!$B$11,Paramètres!$A$1:$I$88,3,0)*0.475*44/12</f>
        <v>2.4324005771363773E-9</v>
      </c>
      <c r="BS130" s="24">
        <f t="shared" si="63"/>
        <v>49.354080749829578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218.39403703215032</v>
      </c>
      <c r="CE130" s="62">
        <f t="shared" si="94"/>
        <v>254.08208375594052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37.737859395936503</v>
      </c>
      <c r="CL130" s="23">
        <f>EXP(-LN(2)/25)*CL129+(1-EXP(-LN(2)/25))/(LN(2)/25)*Calculateur!CG130*Calculateur!CI130*VLOOKUP('Données projet'!$B$12,Paramètres!$A$1:$I$88,3,0)*0.475*44/12</f>
        <v>4.4683837922573071</v>
      </c>
      <c r="CM130" s="23">
        <f>EXP(-LN(2)/2)*CM129+(1-EXP(-LN(2)/2))/(LN(2)/2)*CG130*CJ130*VLOOKUP('Données projet'!$B$12,Paramètres!$A$1:$I$88,3,0)*0.475*44/12</f>
        <v>1.7003142505917958E-9</v>
      </c>
      <c r="CN130" s="24">
        <f t="shared" si="66"/>
        <v>42.206243189894124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-2.8421709430404007E-13</v>
      </c>
      <c r="O131" s="14">
        <f>N131*VLOOKUP('Données projet'!$B$9,Paramètres!$A$1:$I$88,3,0)*VLOOKUP('Données projet'!$B$9,Paramètres!$A$1:$I$88,5,0)</f>
        <v>-2.5715962692629546E-13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373.09674935534343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110.13567850855672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110.13567850855672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projet'!$B$10,Paramètres!$A$1:$I$88,3,0)*VLOOKUP('Données projet'!$B$10,Paramètres!$A$1:$I$88,5,0)</f>
        <v>-1.6227659216383472E-13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509.66893546110458</v>
      </c>
      <c r="AO131" s="62">
        <f t="shared" si="90"/>
        <v>280.1645836141924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167.41947366712054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167.41947366712054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projet'!$B$11,Paramètres!$A$1:$I$88,3,0)*VLOOKUP('Données projet'!$B$11,Paramètres!$A$1:$I$88,5,0)</f>
        <v>1.3596945791505279E-13</v>
      </c>
      <c r="BF131" s="14">
        <f t="shared" si="91"/>
        <v>1.9708830566360721E-12</v>
      </c>
      <c r="BG131" s="22">
        <f t="shared" si="61"/>
        <v>3.669434796176543E-12</v>
      </c>
      <c r="BH131" s="62">
        <f t="shared" si="62"/>
        <v>293.33333333333701</v>
      </c>
      <c r="BI131" s="62">
        <f ca="1">AVERAGE(OFFSET($BH$3,0,0,'Données projet'!$E$11+1,1))-AVERAGE(OFFSET($H$3,0,0,'Données projet'!$E$11+1,1))</f>
        <v>311.82072478731385</v>
      </c>
      <c r="BJ131" s="62">
        <f t="shared" si="92"/>
        <v>356.36714671797864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41.25625294697074</v>
      </c>
      <c r="BQ131" s="23">
        <f>EXP(-LN(2)/25)*BQ130+(1-EXP(-LN(2)/25))/(LN(2)/25)*Calculateur!BL131*Calculateur!BN131*VLOOKUP('Données projet'!$B$11,Paramètres!$A$1:$I$88,3,0)*0.475*44/12</f>
        <v>7.0737657195537738</v>
      </c>
      <c r="BR131" s="23">
        <f>EXP(-LN(2)/2)*BR130+(1-EXP(-LN(2)/2))/(LN(2)/2)*BL131*BO131*VLOOKUP('Données projet'!$B$11,Paramètres!$A$1:$I$88,3,0)*0.475*44/12</f>
        <v>1.7199669426552043E-9</v>
      </c>
      <c r="BS131" s="24">
        <f t="shared" si="63"/>
        <v>48.330018668244485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218.39403703215032</v>
      </c>
      <c r="CE131" s="62">
        <f t="shared" si="94"/>
        <v>254.08208375594052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36.997842991003601</v>
      </c>
      <c r="CL131" s="23">
        <f>EXP(-LN(2)/25)*CL130+(1-EXP(-LN(2)/25))/(LN(2)/25)*Calculateur!CG131*Calculateur!CI131*VLOOKUP('Données projet'!$B$12,Paramètres!$A$1:$I$88,3,0)*0.475*44/12</f>
        <v>4.3461956024759401</v>
      </c>
      <c r="CM131" s="23">
        <f>EXP(-LN(2)/2)*CM130+(1-EXP(-LN(2)/2))/(LN(2)/2)*CG131*CJ131*VLOOKUP('Données projet'!$B$12,Paramètres!$A$1:$I$88,3,0)*0.475*44/12</f>
        <v>1.2023037367415815E-9</v>
      </c>
      <c r="CN131" s="24">
        <f t="shared" si="66"/>
        <v>41.344038594681841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-2.8421709430404007E-13</v>
      </c>
      <c r="O132" s="14">
        <f>N132*VLOOKUP('Données projet'!$B$9,Paramètres!$A$1:$I$88,3,0)*VLOOKUP('Données projet'!$B$9,Paramètres!$A$1:$I$88,5,0)</f>
        <v>-2.5715962692629546E-13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373.09674935534343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107.97598502913472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107.97598502913472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projet'!$B$10,Paramètres!$A$1:$I$88,3,0)*VLOOKUP('Données projet'!$B$10,Paramètres!$A$1:$I$88,5,0)</f>
        <v>-1.6227659216383472E-13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509.66893546110458</v>
      </c>
      <c r="AO132" s="62">
        <f t="shared" si="90"/>
        <v>280.1645836141924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164.13647990430414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164.13647990430414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projet'!$B$11,Paramètres!$A$1:$I$88,3,0)*VLOOKUP('Données projet'!$B$11,Paramètres!$A$1:$I$88,5,0)</f>
        <v>1.3596945791505279E-13</v>
      </c>
      <c r="BF132" s="14">
        <f t="shared" si="91"/>
        <v>1.9708830566360721E-12</v>
      </c>
      <c r="BG132" s="22">
        <f t="shared" ref="BG132:BG153" si="115">(BE132+BF132)*0.475*44/12</f>
        <v>3.669434796176543E-12</v>
      </c>
      <c r="BH132" s="62">
        <f t="shared" ref="BH132:BH195" si="116">BG132+(AY132+AZ132)*44/12</f>
        <v>293.33333333333701</v>
      </c>
      <c r="BI132" s="62">
        <f ca="1">AVERAGE(OFFSET($BH$3,0,0,'Données projet'!$E$11+1,1))-AVERAGE(OFFSET($H$3,0,0,'Données projet'!$E$11+1,1))</f>
        <v>311.82072478731385</v>
      </c>
      <c r="BJ132" s="62">
        <f t="shared" si="92"/>
        <v>356.36714671797864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40.447242990510219</v>
      </c>
      <c r="BQ132" s="23">
        <f>EXP(-LN(2)/25)*BQ131+(1-EXP(-LN(2)/25))/(LN(2)/25)*Calculateur!BL132*Calculateur!BN132*VLOOKUP('Données projet'!$B$11,Paramètres!$A$1:$I$88,3,0)*0.475*44/12</f>
        <v>6.8803332239594042</v>
      </c>
      <c r="BR132" s="23">
        <f>EXP(-LN(2)/2)*BR131+(1-EXP(-LN(2)/2))/(LN(2)/2)*BL132*BO132*VLOOKUP('Données projet'!$B$11,Paramètres!$A$1:$I$88,3,0)*0.475*44/12</f>
        <v>1.2162002885681887E-9</v>
      </c>
      <c r="BS132" s="24">
        <f t="shared" ref="BS132:BS153" si="117">SUM(BP132:BR132)</f>
        <v>47.327576215685824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218.39403703215032</v>
      </c>
      <c r="CE132" s="62">
        <f t="shared" si="94"/>
        <v>254.08208375594052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36.27233785640599</v>
      </c>
      <c r="CL132" s="23">
        <f>EXP(-LN(2)/25)*CL131+(1-EXP(-LN(2)/25))/(LN(2)/25)*Calculateur!CG132*Calculateur!CI132*VLOOKUP('Données projet'!$B$12,Paramètres!$A$1:$I$88,3,0)*0.475*44/12</f>
        <v>4.2273486551697417</v>
      </c>
      <c r="CM132" s="23">
        <f>EXP(-LN(2)/2)*CM131+(1-EXP(-LN(2)/2))/(LN(2)/2)*CG132*CJ132*VLOOKUP('Données projet'!$B$12,Paramètres!$A$1:$I$88,3,0)*0.475*44/12</f>
        <v>8.5015712529589791E-10</v>
      </c>
      <c r="CN132" s="24">
        <f t="shared" ref="CN132:CN153" si="120">SUM(CK132:CM132)</f>
        <v>40.499686512425889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-2.8421709430404007E-13</v>
      </c>
      <c r="O133" s="14">
        <f>N133*VLOOKUP('Données projet'!$B$9,Paramètres!$A$1:$I$88,3,0)*VLOOKUP('Données projet'!$B$9,Paramètres!$A$1:$I$88,5,0)</f>
        <v>-2.5715962692629546E-13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373.09674935534343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105.85864182156124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105.85864182156124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projet'!$B$10,Paramètres!$A$1:$I$88,3,0)*VLOOKUP('Données projet'!$B$10,Paramètres!$A$1:$I$88,5,0)</f>
        <v>-1.6227659216383472E-13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509.66893546110458</v>
      </c>
      <c r="AO133" s="62">
        <f t="shared" ref="AO133:AO196" si="144">$AO$3</f>
        <v>280.1645836141924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160.91786364674809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160.91786364674809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projet'!$B$11,Paramètres!$A$1:$I$88,3,0)*VLOOKUP('Données projet'!$B$11,Paramètres!$A$1:$I$88,5,0)</f>
        <v>1.3596945791505279E-13</v>
      </c>
      <c r="BF133" s="14">
        <f t="shared" ref="BF133:BF153" si="145">EXP(-1.0587+0.8836*LN(BE133)+0.284)</f>
        <v>1.9708830566360721E-12</v>
      </c>
      <c r="BG133" s="22">
        <f t="shared" si="115"/>
        <v>3.669434796176543E-12</v>
      </c>
      <c r="BH133" s="62">
        <f t="shared" si="116"/>
        <v>293.33333333333701</v>
      </c>
      <c r="BI133" s="62">
        <f ca="1">AVERAGE(OFFSET($BH$3,0,0,'Données projet'!$E$11+1,1))-AVERAGE(OFFSET($H$3,0,0,'Données projet'!$E$11+1,1))</f>
        <v>311.82072478731385</v>
      </c>
      <c r="BJ133" s="62">
        <f t="shared" ref="BJ133:BJ196" si="146">$BJ$3</f>
        <v>356.36714671797864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39.654097225848538</v>
      </c>
      <c r="BQ133" s="23">
        <f>EXP(-LN(2)/25)*BQ132+(1-EXP(-LN(2)/25))/(LN(2)/25)*Calculateur!BL133*Calculateur!BN133*VLOOKUP('Données projet'!$B$11,Paramètres!$A$1:$I$88,3,0)*0.475*44/12</f>
        <v>6.6921901501292353</v>
      </c>
      <c r="BR133" s="23">
        <f>EXP(-LN(2)/2)*BR132+(1-EXP(-LN(2)/2))/(LN(2)/2)*BL133*BO133*VLOOKUP('Données projet'!$B$11,Paramètres!$A$1:$I$88,3,0)*0.475*44/12</f>
        <v>8.5998347132760215E-10</v>
      </c>
      <c r="BS133" s="24">
        <f t="shared" si="117"/>
        <v>46.346287376837758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218.39403703215032</v>
      </c>
      <c r="CE133" s="62">
        <f t="shared" ref="CE133:CE196" si="148">$CE$3</f>
        <v>254.08208375594052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35.561059434983406</v>
      </c>
      <c r="CL133" s="23">
        <f>EXP(-LN(2)/25)*CL132+(1-EXP(-LN(2)/25))/(LN(2)/25)*Calculateur!CG133*Calculateur!CI133*VLOOKUP('Données projet'!$B$12,Paramètres!$A$1:$I$88,3,0)*0.475*44/12</f>
        <v>4.1117515838875214</v>
      </c>
      <c r="CM133" s="23">
        <f>EXP(-LN(2)/2)*CM132+(1-EXP(-LN(2)/2))/(LN(2)/2)*CG133*CJ133*VLOOKUP('Données projet'!$B$12,Paramètres!$A$1:$I$88,3,0)*0.475*44/12</f>
        <v>6.0115186837079075E-10</v>
      </c>
      <c r="CN133" s="24">
        <f t="shared" si="120"/>
        <v>39.672811019472086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-2.8421709430404007E-13</v>
      </c>
      <c r="O134" s="14">
        <f>N134*VLOOKUP('Données projet'!$B$9,Paramètres!$A$1:$I$88,3,0)*VLOOKUP('Données projet'!$B$9,Paramètres!$A$1:$I$88,5,0)</f>
        <v>-2.5715962692629546E-13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373.09674935534343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103.78281842283643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103.78281842283643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projet'!$B$10,Paramètres!$A$1:$I$88,3,0)*VLOOKUP('Données projet'!$B$10,Paramètres!$A$1:$I$88,5,0)</f>
        <v>-1.6227659216383472E-13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509.66893546110458</v>
      </c>
      <c r="AO134" s="62">
        <f t="shared" si="144"/>
        <v>280.1645836141924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157.76236249084064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157.76236249084064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projet'!$B$11,Paramètres!$A$1:$I$88,3,0)*VLOOKUP('Données projet'!$B$11,Paramètres!$A$1:$I$88,5,0)</f>
        <v>1.3596945791505279E-13</v>
      </c>
      <c r="BF134" s="14">
        <f t="shared" si="145"/>
        <v>1.9708830566360721E-12</v>
      </c>
      <c r="BG134" s="22">
        <f t="shared" si="115"/>
        <v>3.669434796176543E-12</v>
      </c>
      <c r="BH134" s="62">
        <f t="shared" si="116"/>
        <v>293.33333333333701</v>
      </c>
      <c r="BI134" s="62">
        <f ca="1">AVERAGE(OFFSET($BH$3,0,0,'Données projet'!$E$11+1,1))-AVERAGE(OFFSET($H$3,0,0,'Données projet'!$E$11+1,1))</f>
        <v>311.82072478731385</v>
      </c>
      <c r="BJ134" s="62">
        <f t="shared" si="146"/>
        <v>356.36714671797864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38.876504565860728</v>
      </c>
      <c r="BQ134" s="23">
        <f>EXP(-LN(2)/25)*BQ133+(1-EXP(-LN(2)/25))/(LN(2)/25)*Calculateur!BL134*Calculateur!BN134*VLOOKUP('Données projet'!$B$11,Paramètres!$A$1:$I$88,3,0)*0.475*44/12</f>
        <v>6.5091918585469664</v>
      </c>
      <c r="BR134" s="23">
        <f>EXP(-LN(2)/2)*BR133+(1-EXP(-LN(2)/2))/(LN(2)/2)*BL134*BO134*VLOOKUP('Données projet'!$B$11,Paramètres!$A$1:$I$88,3,0)*0.475*44/12</f>
        <v>6.0810014428409433E-10</v>
      </c>
      <c r="BS134" s="24">
        <f t="shared" si="117"/>
        <v>45.385696425015794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218.39403703215032</v>
      </c>
      <c r="CE134" s="62">
        <f t="shared" si="148"/>
        <v>254.08208375594052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34.863728749567919</v>
      </c>
      <c r="CL134" s="23">
        <f>EXP(-LN(2)/25)*CL133+(1-EXP(-LN(2)/25))/(LN(2)/25)*Calculateur!CG134*Calculateur!CI134*VLOOKUP('Données projet'!$B$12,Paramètres!$A$1:$I$88,3,0)*0.475*44/12</f>
        <v>3.9993155205984987</v>
      </c>
      <c r="CM134" s="23">
        <f>EXP(-LN(2)/2)*CM133+(1-EXP(-LN(2)/2))/(LN(2)/2)*CG134*CJ134*VLOOKUP('Données projet'!$B$12,Paramètres!$A$1:$I$88,3,0)*0.475*44/12</f>
        <v>4.2507856264794896E-10</v>
      </c>
      <c r="CN134" s="24">
        <f t="shared" si="120"/>
        <v>38.863044270591494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-2.8421709430404007E-13</v>
      </c>
      <c r="O135" s="14">
        <f>N135*VLOOKUP('Données projet'!$B$9,Paramètres!$A$1:$I$88,3,0)*VLOOKUP('Données projet'!$B$9,Paramètres!$A$1:$I$88,5,0)</f>
        <v>-2.5715962692629546E-13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373.09674935534343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101.74770065483337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101.74770065483337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projet'!$B$10,Paramètres!$A$1:$I$88,3,0)*VLOOKUP('Données projet'!$B$10,Paramètres!$A$1:$I$88,5,0)</f>
        <v>-1.6227659216383472E-13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509.66893546110458</v>
      </c>
      <c r="AO135" s="62">
        <f t="shared" si="144"/>
        <v>280.1645836141924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154.6687387879349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154.6687387879349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projet'!$B$11,Paramètres!$A$1:$I$88,3,0)*VLOOKUP('Données projet'!$B$11,Paramètres!$A$1:$I$88,5,0)</f>
        <v>1.3596945791505279E-13</v>
      </c>
      <c r="BF135" s="14">
        <f t="shared" si="145"/>
        <v>1.9708830566360721E-12</v>
      </c>
      <c r="BG135" s="22">
        <f t="shared" si="115"/>
        <v>3.669434796176543E-12</v>
      </c>
      <c r="BH135" s="62">
        <f t="shared" si="116"/>
        <v>293.33333333333701</v>
      </c>
      <c r="BI135" s="62">
        <f ca="1">AVERAGE(OFFSET($BH$3,0,0,'Données projet'!$E$11+1,1))-AVERAGE(OFFSET($H$3,0,0,'Données projet'!$E$11+1,1))</f>
        <v>311.82072478731385</v>
      </c>
      <c r="BJ135" s="62">
        <f t="shared" si="146"/>
        <v>356.36714671797864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38.114160023650584</v>
      </c>
      <c r="BQ135" s="23">
        <f>EXP(-LN(2)/25)*BQ134+(1-EXP(-LN(2)/25))/(LN(2)/25)*Calculateur!BL135*Calculateur!BN135*VLOOKUP('Données projet'!$B$11,Paramètres!$A$1:$I$88,3,0)*0.475*44/12</f>
        <v>6.3311976648714765</v>
      </c>
      <c r="BR135" s="23">
        <f>EXP(-LN(2)/2)*BR134+(1-EXP(-LN(2)/2))/(LN(2)/2)*BL135*BO135*VLOOKUP('Données projet'!$B$11,Paramètres!$A$1:$I$88,3,0)*0.475*44/12</f>
        <v>4.2999173566380107E-10</v>
      </c>
      <c r="BS135" s="24">
        <f t="shared" si="117"/>
        <v>44.445357688952051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218.39403703215032</v>
      </c>
      <c r="CE135" s="62">
        <f t="shared" si="148"/>
        <v>254.08208375594052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34.180072293563704</v>
      </c>
      <c r="CL135" s="23">
        <f>EXP(-LN(2)/25)*CL134+(1-EXP(-LN(2)/25))/(LN(2)/25)*Calculateur!CG135*Calculateur!CI135*VLOOKUP('Données projet'!$B$12,Paramètres!$A$1:$I$88,3,0)*0.475*44/12</f>
        <v>3.8899540273728701</v>
      </c>
      <c r="CM135" s="23">
        <f>EXP(-LN(2)/2)*CM134+(1-EXP(-LN(2)/2))/(LN(2)/2)*CG135*CJ135*VLOOKUP('Données projet'!$B$12,Paramètres!$A$1:$I$88,3,0)*0.475*44/12</f>
        <v>3.0057593418539537E-10</v>
      </c>
      <c r="CN135" s="24">
        <f t="shared" si="120"/>
        <v>38.070026321237151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-2.8421709430404007E-13</v>
      </c>
      <c r="O136" s="14">
        <f>N136*VLOOKUP('Données projet'!$B$9,Paramètres!$A$1:$I$88,3,0)*VLOOKUP('Données projet'!$B$9,Paramètres!$A$1:$I$88,5,0)</f>
        <v>-2.5715962692629546E-13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373.09674935534343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99.752490304961569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99.752490304961569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projet'!$B$10,Paramètres!$A$1:$I$88,3,0)*VLOOKUP('Données projet'!$B$10,Paramètres!$A$1:$I$88,5,0)</f>
        <v>-1.6227659216383472E-13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509.66893546110458</v>
      </c>
      <c r="AO136" s="62">
        <f t="shared" si="144"/>
        <v>280.1645836141924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151.63577915891898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151.63577915891898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projet'!$B$11,Paramètres!$A$1:$I$88,3,0)*VLOOKUP('Données projet'!$B$11,Paramètres!$A$1:$I$88,5,0)</f>
        <v>1.3596945791505279E-13</v>
      </c>
      <c r="BF136" s="14">
        <f t="shared" si="145"/>
        <v>1.9708830566360721E-12</v>
      </c>
      <c r="BG136" s="22">
        <f t="shared" si="115"/>
        <v>3.669434796176543E-12</v>
      </c>
      <c r="BH136" s="62">
        <f t="shared" si="116"/>
        <v>293.33333333333701</v>
      </c>
      <c r="BI136" s="62">
        <f ca="1">AVERAGE(OFFSET($BH$3,0,0,'Données projet'!$E$11+1,1))-AVERAGE(OFFSET($H$3,0,0,'Données projet'!$E$11+1,1))</f>
        <v>311.82072478731385</v>
      </c>
      <c r="BJ136" s="62">
        <f t="shared" si="146"/>
        <v>356.36714671797864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37.366764592928924</v>
      </c>
      <c r="BQ136" s="23">
        <f>EXP(-LN(2)/25)*BQ135+(1-EXP(-LN(2)/25))/(LN(2)/25)*Calculateur!BL136*Calculateur!BN136*VLOOKUP('Données projet'!$B$11,Paramètres!$A$1:$I$88,3,0)*0.475*44/12</f>
        <v>6.1580707317823506</v>
      </c>
      <c r="BR136" s="23">
        <f>EXP(-LN(2)/2)*BR135+(1-EXP(-LN(2)/2))/(LN(2)/2)*BL136*BO136*VLOOKUP('Données projet'!$B$11,Paramètres!$A$1:$I$88,3,0)*0.475*44/12</f>
        <v>3.0405007214204717E-10</v>
      </c>
      <c r="BS136" s="24">
        <f t="shared" si="117"/>
        <v>43.524835325015324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218.39403703215032</v>
      </c>
      <c r="CE136" s="62">
        <f t="shared" si="148"/>
        <v>254.08208375594052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33.509821923672469</v>
      </c>
      <c r="CL136" s="23">
        <f>EXP(-LN(2)/25)*CL135+(1-EXP(-LN(2)/25))/(LN(2)/25)*Calculateur!CG136*Calculateur!CI136*VLOOKUP('Données projet'!$B$12,Paramètres!$A$1:$I$88,3,0)*0.475*44/12</f>
        <v>3.7835830299305675</v>
      </c>
      <c r="CM136" s="23">
        <f>EXP(-LN(2)/2)*CM135+(1-EXP(-LN(2)/2))/(LN(2)/2)*CG136*CJ136*VLOOKUP('Données projet'!$B$12,Paramètres!$A$1:$I$88,3,0)*0.475*44/12</f>
        <v>2.1253928132397448E-10</v>
      </c>
      <c r="CN136" s="24">
        <f t="shared" si="120"/>
        <v>37.293404953815575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-2.8421709430404007E-13</v>
      </c>
      <c r="O137" s="14">
        <f>N137*VLOOKUP('Données projet'!$B$9,Paramètres!$A$1:$I$88,3,0)*VLOOKUP('Données projet'!$B$9,Paramètres!$A$1:$I$88,5,0)</f>
        <v>-2.5715962692629546E-13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373.09674935534343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97.796404813092607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97.796404813092607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projet'!$B$10,Paramètres!$A$1:$I$88,3,0)*VLOOKUP('Données projet'!$B$10,Paramètres!$A$1:$I$88,5,0)</f>
        <v>-1.6227659216383472E-13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509.66893546110458</v>
      </c>
      <c r="AO137" s="62">
        <f t="shared" si="144"/>
        <v>280.1645836141924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148.66229401830537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148.66229401830537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projet'!$B$11,Paramètres!$A$1:$I$88,3,0)*VLOOKUP('Données projet'!$B$11,Paramètres!$A$1:$I$88,5,0)</f>
        <v>1.3596945791505279E-13</v>
      </c>
      <c r="BF137" s="14">
        <f t="shared" si="145"/>
        <v>1.9708830566360721E-12</v>
      </c>
      <c r="BG137" s="22">
        <f t="shared" si="115"/>
        <v>3.669434796176543E-12</v>
      </c>
      <c r="BH137" s="62">
        <f t="shared" si="116"/>
        <v>293.33333333333701</v>
      </c>
      <c r="BI137" s="62">
        <f ca="1">AVERAGE(OFFSET($BH$3,0,0,'Données projet'!$E$11+1,1))-AVERAGE(OFFSET($H$3,0,0,'Données projet'!$E$11+1,1))</f>
        <v>311.82072478731385</v>
      </c>
      <c r="BJ137" s="62">
        <f t="shared" si="146"/>
        <v>356.36714671797864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36.63402513073752</v>
      </c>
      <c r="BQ137" s="23">
        <f>EXP(-LN(2)/25)*BQ136+(1-EXP(-LN(2)/25))/(LN(2)/25)*Calculateur!BL137*Calculateur!BN137*VLOOKUP('Données projet'!$B$11,Paramètres!$A$1:$I$88,3,0)*0.475*44/12</f>
        <v>5.9896779637828965</v>
      </c>
      <c r="BR137" s="23">
        <f>EXP(-LN(2)/2)*BR136+(1-EXP(-LN(2)/2))/(LN(2)/2)*BL137*BO137*VLOOKUP('Données projet'!$B$11,Paramètres!$A$1:$I$88,3,0)*0.475*44/12</f>
        <v>2.1499586783190054E-10</v>
      </c>
      <c r="BS137" s="24">
        <f t="shared" si="117"/>
        <v>42.623703094735411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218.39403703215032</v>
      </c>
      <c r="CE137" s="62">
        <f t="shared" si="148"/>
        <v>254.08208375594052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32.852714754722442</v>
      </c>
      <c r="CL137" s="23">
        <f>EXP(-LN(2)/25)*CL136+(1-EXP(-LN(2)/25))/(LN(2)/25)*Calculateur!CG137*Calculateur!CI137*VLOOKUP('Données projet'!$B$12,Paramètres!$A$1:$I$88,3,0)*0.475*44/12</f>
        <v>3.6801207530071323</v>
      </c>
      <c r="CM137" s="23">
        <f>EXP(-LN(2)/2)*CM136+(1-EXP(-LN(2)/2))/(LN(2)/2)*CG137*CJ137*VLOOKUP('Données projet'!$B$12,Paramètres!$A$1:$I$88,3,0)*0.475*44/12</f>
        <v>1.5028796709269769E-10</v>
      </c>
      <c r="CN137" s="24">
        <f t="shared" si="120"/>
        <v>36.532835507879859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-2.8421709430404007E-13</v>
      </c>
      <c r="O138" s="14">
        <f>N138*VLOOKUP('Données projet'!$B$9,Paramètres!$A$1:$I$88,3,0)*VLOOKUP('Données projet'!$B$9,Paramètres!$A$1:$I$88,5,0)</f>
        <v>-2.5715962692629546E-13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373.09674935534343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95.878676964624859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95.878676964624859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projet'!$B$10,Paramètres!$A$1:$I$88,3,0)*VLOOKUP('Données projet'!$B$10,Paramètres!$A$1:$I$88,5,0)</f>
        <v>-1.6227659216383472E-13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509.66893546110458</v>
      </c>
      <c r="AO138" s="62">
        <f t="shared" si="144"/>
        <v>280.1645836141924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145.74711710765234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145.74711710765234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projet'!$B$11,Paramètres!$A$1:$I$88,3,0)*VLOOKUP('Données projet'!$B$11,Paramètres!$A$1:$I$88,5,0)</f>
        <v>1.3596945791505279E-13</v>
      </c>
      <c r="BF138" s="14">
        <f t="shared" si="145"/>
        <v>1.9708830566360721E-12</v>
      </c>
      <c r="BG138" s="22">
        <f t="shared" si="115"/>
        <v>3.669434796176543E-12</v>
      </c>
      <c r="BH138" s="62">
        <f t="shared" si="116"/>
        <v>293.33333333333701</v>
      </c>
      <c r="BI138" s="62">
        <f ca="1">AVERAGE(OFFSET($BH$3,0,0,'Données projet'!$E$11+1,1))-AVERAGE(OFFSET($H$3,0,0,'Données projet'!$E$11+1,1))</f>
        <v>311.82072478731385</v>
      </c>
      <c r="BJ138" s="62">
        <f t="shared" si="146"/>
        <v>356.36714671797864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35.915654242472748</v>
      </c>
      <c r="BQ138" s="23">
        <f>EXP(-LN(2)/25)*BQ137+(1-EXP(-LN(2)/25))/(LN(2)/25)*Calculateur!BL138*Calculateur!BN138*VLOOKUP('Données projet'!$B$11,Paramètres!$A$1:$I$88,3,0)*0.475*44/12</f>
        <v>5.8258899048797783</v>
      </c>
      <c r="BR138" s="23">
        <f>EXP(-LN(2)/2)*BR137+(1-EXP(-LN(2)/2))/(LN(2)/2)*BL138*BO138*VLOOKUP('Données projet'!$B$11,Paramètres!$A$1:$I$88,3,0)*0.475*44/12</f>
        <v>1.5202503607102358E-10</v>
      </c>
      <c r="BS138" s="24">
        <f t="shared" si="117"/>
        <v>41.741544147504555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218.39403703215032</v>
      </c>
      <c r="CE138" s="62">
        <f t="shared" si="148"/>
        <v>254.08208375594052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32.208493056559732</v>
      </c>
      <c r="CL138" s="23">
        <f>EXP(-LN(2)/25)*CL137+(1-EXP(-LN(2)/25))/(LN(2)/25)*Calculateur!CG138*Calculateur!CI138*VLOOKUP('Données projet'!$B$12,Paramètres!$A$1:$I$88,3,0)*0.475*44/12</f>
        <v>3.5794876574870127</v>
      </c>
      <c r="CM138" s="23">
        <f>EXP(-LN(2)/2)*CM137+(1-EXP(-LN(2)/2))/(LN(2)/2)*CG138*CJ138*VLOOKUP('Données projet'!$B$12,Paramètres!$A$1:$I$88,3,0)*0.475*44/12</f>
        <v>1.0626964066198724E-10</v>
      </c>
      <c r="CN138" s="24">
        <f t="shared" si="120"/>
        <v>35.787980714153015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-2.8421709430404007E-13</v>
      </c>
      <c r="O139" s="14">
        <f>N139*VLOOKUP('Données projet'!$B$9,Paramètres!$A$1:$I$88,3,0)*VLOOKUP('Données projet'!$B$9,Paramètres!$A$1:$I$88,5,0)</f>
        <v>-2.5715962692629546E-13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373.09674935534343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93.998554589567078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93.998554589567078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projet'!$B$10,Paramètres!$A$1:$I$88,3,0)*VLOOKUP('Données projet'!$B$10,Paramètres!$A$1:$I$88,5,0)</f>
        <v>-1.6227659216383472E-13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509.66893546110458</v>
      </c>
      <c r="AO139" s="62">
        <f t="shared" si="144"/>
        <v>280.1645836141924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142.88910503813486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142.88910503813486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projet'!$B$11,Paramètres!$A$1:$I$88,3,0)*VLOOKUP('Données projet'!$B$11,Paramètres!$A$1:$I$88,5,0)</f>
        <v>1.3596945791505279E-13</v>
      </c>
      <c r="BF139" s="14">
        <f t="shared" si="145"/>
        <v>1.9708830566360721E-12</v>
      </c>
      <c r="BG139" s="22">
        <f t="shared" si="115"/>
        <v>3.669434796176543E-12</v>
      </c>
      <c r="BH139" s="62">
        <f t="shared" si="116"/>
        <v>293.33333333333701</v>
      </c>
      <c r="BI139" s="62">
        <f ca="1">AVERAGE(OFFSET($BH$3,0,0,'Données projet'!$E$11+1,1))-AVERAGE(OFFSET($H$3,0,0,'Données projet'!$E$11+1,1))</f>
        <v>311.82072478731385</v>
      </c>
      <c r="BJ139" s="62">
        <f t="shared" si="146"/>
        <v>356.36714671797864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35.211370169163871</v>
      </c>
      <c r="BQ139" s="23">
        <f>EXP(-LN(2)/25)*BQ138+(1-EXP(-LN(2)/25))/(LN(2)/25)*Calculateur!BL139*Calculateur!BN139*VLOOKUP('Données projet'!$B$11,Paramètres!$A$1:$I$88,3,0)*0.475*44/12</f>
        <v>5.6665806390606059</v>
      </c>
      <c r="BR139" s="23">
        <f>EXP(-LN(2)/2)*BR138+(1-EXP(-LN(2)/2))/(LN(2)/2)*BL139*BO139*VLOOKUP('Données projet'!$B$11,Paramètres!$A$1:$I$88,3,0)*0.475*44/12</f>
        <v>1.0749793391595027E-10</v>
      </c>
      <c r="BS139" s="24">
        <f t="shared" si="117"/>
        <v>40.877950808331974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218.39403703215032</v>
      </c>
      <c r="CE139" s="62">
        <f t="shared" si="148"/>
        <v>254.08208375594052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31.576904152961554</v>
      </c>
      <c r="CL139" s="23">
        <f>EXP(-LN(2)/25)*CL138+(1-EXP(-LN(2)/25))/(LN(2)/25)*Calculateur!CG139*Calculateur!CI139*VLOOKUP('Données projet'!$B$12,Paramètres!$A$1:$I$88,3,0)*0.475*44/12</f>
        <v>3.4816063792559553</v>
      </c>
      <c r="CM139" s="23">
        <f>EXP(-LN(2)/2)*CM138+(1-EXP(-LN(2)/2))/(LN(2)/2)*CG139*CJ139*VLOOKUP('Données projet'!$B$12,Paramètres!$A$1:$I$88,3,0)*0.475*44/12</f>
        <v>7.5143983546348843E-11</v>
      </c>
      <c r="CN139" s="24">
        <f t="shared" si="120"/>
        <v>35.058510532292658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-2.8421709430404007E-13</v>
      </c>
      <c r="O140" s="14">
        <f>N140*VLOOKUP('Données projet'!$B$9,Paramètres!$A$1:$I$88,3,0)*VLOOKUP('Données projet'!$B$9,Paramètres!$A$1:$I$88,5,0)</f>
        <v>-2.5715962692629546E-13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373.09674935534343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92.155300267522762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92.155300267522762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projet'!$B$10,Paramètres!$A$1:$I$88,3,0)*VLOOKUP('Données projet'!$B$10,Paramètres!$A$1:$I$88,5,0)</f>
        <v>-1.6227659216383472E-13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509.66893546110458</v>
      </c>
      <c r="AO140" s="62">
        <f t="shared" si="144"/>
        <v>280.1645836141924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140.08713684208539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140.08713684208539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projet'!$B$11,Paramètres!$A$1:$I$88,3,0)*VLOOKUP('Données projet'!$B$11,Paramètres!$A$1:$I$88,5,0)</f>
        <v>1.3596945791505279E-13</v>
      </c>
      <c r="BF140" s="14">
        <f t="shared" si="145"/>
        <v>1.9708830566360721E-12</v>
      </c>
      <c r="BG140" s="22">
        <f t="shared" si="115"/>
        <v>3.669434796176543E-12</v>
      </c>
      <c r="BH140" s="62">
        <f t="shared" si="116"/>
        <v>293.33333333333701</v>
      </c>
      <c r="BI140" s="62">
        <f ca="1">AVERAGE(OFFSET($BH$3,0,0,'Données projet'!$E$11+1,1))-AVERAGE(OFFSET($H$3,0,0,'Données projet'!$E$11+1,1))</f>
        <v>311.82072478731385</v>
      </c>
      <c r="BJ140" s="62">
        <f t="shared" si="146"/>
        <v>356.36714671797864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34.520896676961712</v>
      </c>
      <c r="BQ140" s="23">
        <f>EXP(-LN(2)/25)*BQ139+(1-EXP(-LN(2)/25))/(LN(2)/25)*Calculateur!BL140*Calculateur!BN140*VLOOKUP('Données projet'!$B$11,Paramètres!$A$1:$I$88,3,0)*0.475*44/12</f>
        <v>5.5116276934929687</v>
      </c>
      <c r="BR140" s="23">
        <f>EXP(-LN(2)/2)*BR139+(1-EXP(-LN(2)/2))/(LN(2)/2)*BL140*BO140*VLOOKUP('Données projet'!$B$11,Paramètres!$A$1:$I$88,3,0)*0.475*44/12</f>
        <v>7.6012518035511792E-11</v>
      </c>
      <c r="BS140" s="24">
        <f t="shared" si="117"/>
        <v>40.032524370530695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218.39403703215032</v>
      </c>
      <c r="CE140" s="62">
        <f t="shared" si="148"/>
        <v>254.08208375594052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30.957700322531743</v>
      </c>
      <c r="CL140" s="23">
        <f>EXP(-LN(2)/25)*CL139+(1-EXP(-LN(2)/25))/(LN(2)/25)*Calculateur!CG140*Calculateur!CI140*VLOOKUP('Données projet'!$B$12,Paramètres!$A$1:$I$88,3,0)*0.475*44/12</f>
        <v>3.3864016697254788</v>
      </c>
      <c r="CM140" s="23">
        <f>EXP(-LN(2)/2)*CM139+(1-EXP(-LN(2)/2))/(LN(2)/2)*CG140*CJ140*VLOOKUP('Données projet'!$B$12,Paramètres!$A$1:$I$88,3,0)*0.475*44/12</f>
        <v>5.313482033099362E-11</v>
      </c>
      <c r="CN140" s="24">
        <f t="shared" si="120"/>
        <v>34.344101992310357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-2.8421709430404007E-13</v>
      </c>
      <c r="O141" s="14">
        <f>N141*VLOOKUP('Données projet'!$B$9,Paramètres!$A$1:$I$88,3,0)*VLOOKUP('Données projet'!$B$9,Paramètres!$A$1:$I$88,5,0)</f>
        <v>-2.5715962692629546E-13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373.09674935534343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90.348191038459603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90.348191038459603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projet'!$B$10,Paramètres!$A$1:$I$88,3,0)*VLOOKUP('Données projet'!$B$10,Paramètres!$A$1:$I$88,5,0)</f>
        <v>-1.6227659216383472E-13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509.66893546110458</v>
      </c>
      <c r="AO141" s="62">
        <f t="shared" si="144"/>
        <v>280.1645836141924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137.3401135333286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137.3401135333286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projet'!$B$11,Paramètres!$A$1:$I$88,3,0)*VLOOKUP('Données projet'!$B$11,Paramètres!$A$1:$I$88,5,0)</f>
        <v>1.3596945791505279E-13</v>
      </c>
      <c r="BF141" s="14">
        <f t="shared" si="145"/>
        <v>1.9708830566360721E-12</v>
      </c>
      <c r="BG141" s="22">
        <f t="shared" si="115"/>
        <v>3.669434796176543E-12</v>
      </c>
      <c r="BH141" s="62">
        <f t="shared" si="116"/>
        <v>293.33333333333701</v>
      </c>
      <c r="BI141" s="62">
        <f ca="1">AVERAGE(OFFSET($BH$3,0,0,'Données projet'!$E$11+1,1))-AVERAGE(OFFSET($H$3,0,0,'Données projet'!$E$11+1,1))</f>
        <v>311.82072478731385</v>
      </c>
      <c r="BJ141" s="62">
        <f t="shared" si="146"/>
        <v>356.36714671797864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33.843962948794392</v>
      </c>
      <c r="BQ141" s="23">
        <f>EXP(-LN(2)/25)*BQ140+(1-EXP(-LN(2)/25))/(LN(2)/25)*Calculateur!BL141*Calculateur!BN141*VLOOKUP('Données projet'!$B$11,Paramètres!$A$1:$I$88,3,0)*0.475*44/12</f>
        <v>5.3609119443704998</v>
      </c>
      <c r="BR141" s="23">
        <f>EXP(-LN(2)/2)*BR140+(1-EXP(-LN(2)/2))/(LN(2)/2)*BL141*BO141*VLOOKUP('Données projet'!$B$11,Paramètres!$A$1:$I$88,3,0)*0.475*44/12</f>
        <v>5.3748966957975134E-11</v>
      </c>
      <c r="BS141" s="24">
        <f t="shared" si="117"/>
        <v>39.204874893218637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218.39403703215032</v>
      </c>
      <c r="CE141" s="62">
        <f t="shared" si="148"/>
        <v>254.08208375594052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30.350638701539616</v>
      </c>
      <c r="CL141" s="23">
        <f>EXP(-LN(2)/25)*CL140+(1-EXP(-LN(2)/25))/(LN(2)/25)*Calculateur!CG141*Calculateur!CI141*VLOOKUP('Données projet'!$B$12,Paramètres!$A$1:$I$88,3,0)*0.475*44/12</f>
        <v>3.2938003379837117</v>
      </c>
      <c r="CM141" s="23">
        <f>EXP(-LN(2)/2)*CM140+(1-EXP(-LN(2)/2))/(LN(2)/2)*CG141*CJ141*VLOOKUP('Données projet'!$B$12,Paramètres!$A$1:$I$88,3,0)*0.475*44/12</f>
        <v>3.7571991773174422E-11</v>
      </c>
      <c r="CN141" s="24">
        <f t="shared" si="120"/>
        <v>33.644439039560901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-2.8421709430404007E-13</v>
      </c>
      <c r="O142" s="14">
        <f>N142*VLOOKUP('Données projet'!$B$9,Paramètres!$A$1:$I$88,3,0)*VLOOKUP('Données projet'!$B$9,Paramètres!$A$1:$I$88,5,0)</f>
        <v>-2.5715962692629546E-13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373.09674935534343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88.576518119150577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88.576518119150577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projet'!$B$10,Paramètres!$A$1:$I$88,3,0)*VLOOKUP('Données projet'!$B$10,Paramètres!$A$1:$I$88,5,0)</f>
        <v>-1.6227659216383472E-13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509.66893546110458</v>
      </c>
      <c r="AO142" s="62">
        <f t="shared" si="144"/>
        <v>280.1645836141924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134.64695767613776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134.64695767613776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projet'!$B$11,Paramètres!$A$1:$I$88,3,0)*VLOOKUP('Données projet'!$B$11,Paramètres!$A$1:$I$88,5,0)</f>
        <v>1.3596945791505279E-13</v>
      </c>
      <c r="BF142" s="14">
        <f t="shared" si="145"/>
        <v>1.9708830566360721E-12</v>
      </c>
      <c r="BG142" s="22">
        <f t="shared" si="115"/>
        <v>3.669434796176543E-12</v>
      </c>
      <c r="BH142" s="62">
        <f t="shared" si="116"/>
        <v>293.33333333333701</v>
      </c>
      <c r="BI142" s="62">
        <f ca="1">AVERAGE(OFFSET($BH$3,0,0,'Données projet'!$E$11+1,1))-AVERAGE(OFFSET($H$3,0,0,'Données projet'!$E$11+1,1))</f>
        <v>311.82072478731385</v>
      </c>
      <c r="BJ142" s="62">
        <f t="shared" si="146"/>
        <v>356.36714671797864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33.180303478147628</v>
      </c>
      <c r="BQ142" s="23">
        <f>EXP(-LN(2)/25)*BQ141+(1-EXP(-LN(2)/25))/(LN(2)/25)*Calculateur!BL142*Calculateur!BN142*VLOOKUP('Données projet'!$B$11,Paramètres!$A$1:$I$88,3,0)*0.475*44/12</f>
        <v>5.2143175253335823</v>
      </c>
      <c r="BR142" s="23">
        <f>EXP(-LN(2)/2)*BR141+(1-EXP(-LN(2)/2))/(LN(2)/2)*BL142*BO142*VLOOKUP('Données projet'!$B$11,Paramètres!$A$1:$I$88,3,0)*0.475*44/12</f>
        <v>3.8006259017755896E-11</v>
      </c>
      <c r="BS142" s="24">
        <f t="shared" si="117"/>
        <v>38.394621003519219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218.39403703215032</v>
      </c>
      <c r="CE142" s="62">
        <f t="shared" si="148"/>
        <v>254.08208375594052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29.755481188664117</v>
      </c>
      <c r="CL142" s="23">
        <f>EXP(-LN(2)/25)*CL141+(1-EXP(-LN(2)/25))/(LN(2)/25)*Calculateur!CG142*Calculateur!CI142*VLOOKUP('Données projet'!$B$12,Paramètres!$A$1:$I$88,3,0)*0.475*44/12</f>
        <v>3.2037311945281153</v>
      </c>
      <c r="CM142" s="23">
        <f>EXP(-LN(2)/2)*CM141+(1-EXP(-LN(2)/2))/(LN(2)/2)*CG142*CJ142*VLOOKUP('Données projet'!$B$12,Paramètres!$A$1:$I$88,3,0)*0.475*44/12</f>
        <v>2.656741016549681E-11</v>
      </c>
      <c r="CN142" s="24">
        <f t="shared" si="120"/>
        <v>32.959212383218798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-2.8421709430404007E-13</v>
      </c>
      <c r="O143" s="14">
        <f>N143*VLOOKUP('Données projet'!$B$9,Paramètres!$A$1:$I$88,3,0)*VLOOKUP('Données projet'!$B$9,Paramètres!$A$1:$I$88,5,0)</f>
        <v>-2.5715962692629546E-13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373.09674935534343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86.839586625175428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86.839586625175428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projet'!$B$10,Paramètres!$A$1:$I$88,3,0)*VLOOKUP('Données projet'!$B$10,Paramètres!$A$1:$I$88,5,0)</f>
        <v>-1.6227659216383472E-13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509.66893546110458</v>
      </c>
      <c r="AO143" s="62">
        <f t="shared" si="144"/>
        <v>280.1645836141924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132.00661296264357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132.00661296264357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projet'!$B$11,Paramètres!$A$1:$I$88,3,0)*VLOOKUP('Données projet'!$B$11,Paramètres!$A$1:$I$88,5,0)</f>
        <v>1.3596945791505279E-13</v>
      </c>
      <c r="BF143" s="14">
        <f t="shared" si="145"/>
        <v>1.9708830566360721E-12</v>
      </c>
      <c r="BG143" s="22">
        <f t="shared" si="115"/>
        <v>3.669434796176543E-12</v>
      </c>
      <c r="BH143" s="62">
        <f t="shared" si="116"/>
        <v>293.33333333333701</v>
      </c>
      <c r="BI143" s="62">
        <f ca="1">AVERAGE(OFFSET($BH$3,0,0,'Données projet'!$E$11+1,1))-AVERAGE(OFFSET($H$3,0,0,'Données projet'!$E$11+1,1))</f>
        <v>311.82072478731385</v>
      </c>
      <c r="BJ143" s="62">
        <f t="shared" si="146"/>
        <v>356.36714671797864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32.529657964927942</v>
      </c>
      <c r="BQ143" s="23">
        <f>EXP(-LN(2)/25)*BQ142+(1-EXP(-LN(2)/25))/(LN(2)/25)*Calculateur!BL143*Calculateur!BN143*VLOOKUP('Données projet'!$B$11,Paramètres!$A$1:$I$88,3,0)*0.475*44/12</f>
        <v>5.0717317383942939</v>
      </c>
      <c r="BR143" s="23">
        <f>EXP(-LN(2)/2)*BR142+(1-EXP(-LN(2)/2))/(LN(2)/2)*BL143*BO143*VLOOKUP('Données projet'!$B$11,Paramètres!$A$1:$I$88,3,0)*0.475*44/12</f>
        <v>2.6874483478987567E-11</v>
      </c>
      <c r="BS143" s="24">
        <f t="shared" si="117"/>
        <v>37.601389703349106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218.39403703215032</v>
      </c>
      <c r="CE143" s="62">
        <f t="shared" si="148"/>
        <v>254.08208375594052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29.171994351605868</v>
      </c>
      <c r="CL143" s="23">
        <f>EXP(-LN(2)/25)*CL142+(1-EXP(-LN(2)/25))/(LN(2)/25)*Calculateur!CG143*Calculateur!CI143*VLOOKUP('Données projet'!$B$12,Paramètres!$A$1:$I$88,3,0)*0.475*44/12</f>
        <v>3.1161249965368425</v>
      </c>
      <c r="CM143" s="23">
        <f>EXP(-LN(2)/2)*CM142+(1-EXP(-LN(2)/2))/(LN(2)/2)*CG143*CJ143*VLOOKUP('Données projet'!$B$12,Paramètres!$A$1:$I$88,3,0)*0.475*44/12</f>
        <v>1.8785995886587211E-11</v>
      </c>
      <c r="CN143" s="24">
        <f t="shared" si="120"/>
        <v>32.288119348161494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-2.8421709430404007E-13</v>
      </c>
      <c r="O144" s="14">
        <f>N144*VLOOKUP('Données projet'!$B$9,Paramètres!$A$1:$I$88,3,0)*VLOOKUP('Données projet'!$B$9,Paramètres!$A$1:$I$88,5,0)</f>
        <v>-2.5715962692629546E-13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373.09674935534343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85.136715298373531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85.136715298373531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projet'!$B$10,Paramètres!$A$1:$I$88,3,0)*VLOOKUP('Données projet'!$B$10,Paramètres!$A$1:$I$88,5,0)</f>
        <v>-1.6227659216383472E-13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509.66893546110458</v>
      </c>
      <c r="AO144" s="62">
        <f t="shared" si="144"/>
        <v>280.1645836141924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129.41804379852974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129.41804379852974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projet'!$B$11,Paramètres!$A$1:$I$88,3,0)*VLOOKUP('Données projet'!$B$11,Paramètres!$A$1:$I$88,5,0)</f>
        <v>1.3596945791505279E-13</v>
      </c>
      <c r="BF144" s="14">
        <f t="shared" si="145"/>
        <v>1.9708830566360721E-12</v>
      </c>
      <c r="BG144" s="22">
        <f t="shared" si="115"/>
        <v>3.669434796176543E-12</v>
      </c>
      <c r="BH144" s="62">
        <f t="shared" si="116"/>
        <v>293.33333333333701</v>
      </c>
      <c r="BI144" s="62">
        <f ca="1">AVERAGE(OFFSET($BH$3,0,0,'Données projet'!$E$11+1,1))-AVERAGE(OFFSET($H$3,0,0,'Données projet'!$E$11+1,1))</f>
        <v>311.82072478731385</v>
      </c>
      <c r="BJ144" s="62">
        <f t="shared" si="146"/>
        <v>356.36714671797864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31.891771213367914</v>
      </c>
      <c r="BQ144" s="23">
        <f>EXP(-LN(2)/25)*BQ143+(1-EXP(-LN(2)/25))/(LN(2)/25)*Calculateur!BL144*Calculateur!BN144*VLOOKUP('Données projet'!$B$11,Paramètres!$A$1:$I$88,3,0)*0.475*44/12</f>
        <v>4.9330449672971213</v>
      </c>
      <c r="BR144" s="23">
        <f>EXP(-LN(2)/2)*BR143+(1-EXP(-LN(2)/2))/(LN(2)/2)*BL144*BO144*VLOOKUP('Données projet'!$B$11,Paramètres!$A$1:$I$88,3,0)*0.475*44/12</f>
        <v>1.9003129508877948E-11</v>
      </c>
      <c r="BS144" s="24">
        <f t="shared" si="117"/>
        <v>36.824816180684039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218.39403703215032</v>
      </c>
      <c r="CE144" s="62">
        <f t="shared" si="148"/>
        <v>254.08208375594052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28.599949335530503</v>
      </c>
      <c r="CL144" s="23">
        <f>EXP(-LN(2)/25)*CL143+(1-EXP(-LN(2)/25))/(LN(2)/25)*Calculateur!CG144*Calculateur!CI144*VLOOKUP('Données projet'!$B$12,Paramètres!$A$1:$I$88,3,0)*0.475*44/12</f>
        <v>3.030914394636651</v>
      </c>
      <c r="CM144" s="23">
        <f>EXP(-LN(2)/2)*CM143+(1-EXP(-LN(2)/2))/(LN(2)/2)*CG144*CJ144*VLOOKUP('Données projet'!$B$12,Paramètres!$A$1:$I$88,3,0)*0.475*44/12</f>
        <v>1.3283705082748405E-11</v>
      </c>
      <c r="CN144" s="24">
        <f t="shared" si="120"/>
        <v>31.630863730180437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-2.8421709430404007E-13</v>
      </c>
      <c r="O145" s="14">
        <f>N145*VLOOKUP('Données projet'!$B$9,Paramètres!$A$1:$I$88,3,0)*VLOOKUP('Données projet'!$B$9,Paramètres!$A$1:$I$88,5,0)</f>
        <v>-2.5715962692629546E-13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373.09674935534343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83.467236239641267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83.467236239641267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projet'!$B$10,Paramètres!$A$1:$I$88,3,0)*VLOOKUP('Données projet'!$B$10,Paramètres!$A$1:$I$88,5,0)</f>
        <v>-1.6227659216383472E-13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509.66893546110458</v>
      </c>
      <c r="AO145" s="62">
        <f t="shared" si="144"/>
        <v>280.1645836141924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126.88023489685288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126.88023489685288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projet'!$B$11,Paramètres!$A$1:$I$88,3,0)*VLOOKUP('Données projet'!$B$11,Paramètres!$A$1:$I$88,5,0)</f>
        <v>1.3596945791505279E-13</v>
      </c>
      <c r="BF145" s="14">
        <f t="shared" si="145"/>
        <v>1.9708830566360721E-12</v>
      </c>
      <c r="BG145" s="22">
        <f t="shared" si="115"/>
        <v>3.669434796176543E-12</v>
      </c>
      <c r="BH145" s="62">
        <f t="shared" si="116"/>
        <v>293.33333333333701</v>
      </c>
      <c r="BI145" s="62">
        <f ca="1">AVERAGE(OFFSET($BH$3,0,0,'Données projet'!$E$11+1,1))-AVERAGE(OFFSET($H$3,0,0,'Données projet'!$E$11+1,1))</f>
        <v>311.82072478731385</v>
      </c>
      <c r="BJ145" s="62">
        <f t="shared" si="146"/>
        <v>356.36714671797864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31.266393031933479</v>
      </c>
      <c r="BQ145" s="23">
        <f>EXP(-LN(2)/25)*BQ144+(1-EXP(-LN(2)/25))/(LN(2)/25)*Calculateur!BL145*Calculateur!BN145*VLOOKUP('Données projet'!$B$11,Paramètres!$A$1:$I$88,3,0)*0.475*44/12</f>
        <v>4.7981505932488213</v>
      </c>
      <c r="BR145" s="23">
        <f>EXP(-LN(2)/2)*BR144+(1-EXP(-LN(2)/2))/(LN(2)/2)*BL145*BO145*VLOOKUP('Données projet'!$B$11,Paramètres!$A$1:$I$88,3,0)*0.475*44/12</f>
        <v>1.3437241739493784E-11</v>
      </c>
      <c r="BS145" s="24">
        <f t="shared" si="117"/>
        <v>36.064543625195739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218.39403703215032</v>
      </c>
      <c r="CE145" s="62">
        <f t="shared" si="148"/>
        <v>254.08208375594052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28.039121773307368</v>
      </c>
      <c r="CL145" s="23">
        <f>EXP(-LN(2)/25)*CL144+(1-EXP(-LN(2)/25))/(LN(2)/25)*Calculateur!CG145*Calculateur!CI145*VLOOKUP('Données projet'!$B$12,Paramètres!$A$1:$I$88,3,0)*0.475*44/12</f>
        <v>2.948033881126451</v>
      </c>
      <c r="CM145" s="23">
        <f>EXP(-LN(2)/2)*CM144+(1-EXP(-LN(2)/2))/(LN(2)/2)*CG145*CJ145*VLOOKUP('Données projet'!$B$12,Paramètres!$A$1:$I$88,3,0)*0.475*44/12</f>
        <v>9.3929979432936054E-12</v>
      </c>
      <c r="CN145" s="24">
        <f t="shared" si="120"/>
        <v>30.987155654443214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-2.8421709430404007E-13</v>
      </c>
      <c r="O146" s="14">
        <f>N146*VLOOKUP('Données projet'!$B$9,Paramètres!$A$1:$I$88,3,0)*VLOOKUP('Données projet'!$B$9,Paramètres!$A$1:$I$88,5,0)</f>
        <v>-2.5715962692629546E-13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373.09674935534343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81.830494646969058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81.830494646969058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projet'!$B$10,Paramètres!$A$1:$I$88,3,0)*VLOOKUP('Données projet'!$B$10,Paramètres!$A$1:$I$88,5,0)</f>
        <v>-1.6227659216383472E-13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509.66893546110458</v>
      </c>
      <c r="AO146" s="62">
        <f t="shared" si="144"/>
        <v>280.1645836141924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124.39219087982733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124.39219087982733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projet'!$B$11,Paramètres!$A$1:$I$88,3,0)*VLOOKUP('Données projet'!$B$11,Paramètres!$A$1:$I$88,5,0)</f>
        <v>1.3596945791505279E-13</v>
      </c>
      <c r="BF146" s="14">
        <f t="shared" si="145"/>
        <v>1.9708830566360721E-12</v>
      </c>
      <c r="BG146" s="22">
        <f t="shared" si="115"/>
        <v>3.669434796176543E-12</v>
      </c>
      <c r="BH146" s="62">
        <f t="shared" si="116"/>
        <v>293.33333333333701</v>
      </c>
      <c r="BI146" s="62">
        <f ca="1">AVERAGE(OFFSET($BH$3,0,0,'Données projet'!$E$11+1,1))-AVERAGE(OFFSET($H$3,0,0,'Données projet'!$E$11+1,1))</f>
        <v>311.82072478731385</v>
      </c>
      <c r="BJ146" s="62">
        <f t="shared" si="146"/>
        <v>356.36714671797864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30.653278135193947</v>
      </c>
      <c r="BQ146" s="23">
        <f>EXP(-LN(2)/25)*BQ145+(1-EXP(-LN(2)/25))/(LN(2)/25)*Calculateur!BL146*Calculateur!BN146*VLOOKUP('Données projet'!$B$11,Paramètres!$A$1:$I$88,3,0)*0.475*44/12</f>
        <v>4.6669449129526592</v>
      </c>
      <c r="BR146" s="23">
        <f>EXP(-LN(2)/2)*BR145+(1-EXP(-LN(2)/2))/(LN(2)/2)*BL146*BO146*VLOOKUP('Données projet'!$B$11,Paramètres!$A$1:$I$88,3,0)*0.475*44/12</f>
        <v>9.501564754438974E-12</v>
      </c>
      <c r="BS146" s="24">
        <f t="shared" si="117"/>
        <v>35.320223048156109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218.39403703215032</v>
      </c>
      <c r="CE146" s="62">
        <f t="shared" si="148"/>
        <v>254.08208375594052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27.489291697508392</v>
      </c>
      <c r="CL146" s="23">
        <f>EXP(-LN(2)/25)*CL145+(1-EXP(-LN(2)/25))/(LN(2)/25)*Calculateur!CG146*Calculateur!CI146*VLOOKUP('Données projet'!$B$12,Paramètres!$A$1:$I$88,3,0)*0.475*44/12</f>
        <v>2.8674197396166843</v>
      </c>
      <c r="CM146" s="23">
        <f>EXP(-LN(2)/2)*CM145+(1-EXP(-LN(2)/2))/(LN(2)/2)*CG146*CJ146*VLOOKUP('Données projet'!$B$12,Paramètres!$A$1:$I$88,3,0)*0.475*44/12</f>
        <v>6.6418525413742025E-12</v>
      </c>
      <c r="CN146" s="24">
        <f t="shared" si="120"/>
        <v>30.356711437131722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-2.8421709430404007E-13</v>
      </c>
      <c r="O147" s="14">
        <f>N147*VLOOKUP('Données projet'!$B$9,Paramètres!$A$1:$I$88,3,0)*VLOOKUP('Données projet'!$B$9,Paramètres!$A$1:$I$88,5,0)</f>
        <v>-2.5715962692629546E-13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373.09674935534343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80.225848558615354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80.225848558615354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projet'!$B$10,Paramètres!$A$1:$I$88,3,0)*VLOOKUP('Données projet'!$B$10,Paramètres!$A$1:$I$88,5,0)</f>
        <v>-1.6227659216383472E-13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509.66893546110458</v>
      </c>
      <c r="AO147" s="62">
        <f t="shared" si="144"/>
        <v>280.1645836141924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121.95293588841864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121.95293588841864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projet'!$B$11,Paramètres!$A$1:$I$88,3,0)*VLOOKUP('Données projet'!$B$11,Paramètres!$A$1:$I$88,5,0)</f>
        <v>1.3596945791505279E-13</v>
      </c>
      <c r="BF147" s="14">
        <f t="shared" si="145"/>
        <v>1.9708830566360721E-12</v>
      </c>
      <c r="BG147" s="22">
        <f t="shared" si="115"/>
        <v>3.669434796176543E-12</v>
      </c>
      <c r="BH147" s="62">
        <f t="shared" si="116"/>
        <v>293.33333333333701</v>
      </c>
      <c r="BI147" s="62">
        <f ca="1">AVERAGE(OFFSET($BH$3,0,0,'Données projet'!$E$11+1,1))-AVERAGE(OFFSET($H$3,0,0,'Données projet'!$E$11+1,1))</f>
        <v>311.82072478731385</v>
      </c>
      <c r="BJ147" s="62">
        <f t="shared" si="146"/>
        <v>356.36714671797864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30.052186047616313</v>
      </c>
      <c r="BQ147" s="23">
        <f>EXP(-LN(2)/25)*BQ146+(1-EXP(-LN(2)/25))/(LN(2)/25)*Calculateur!BL147*Calculateur!BN147*VLOOKUP('Données projet'!$B$11,Paramètres!$A$1:$I$88,3,0)*0.475*44/12</f>
        <v>4.5393270588840027</v>
      </c>
      <c r="BR147" s="23">
        <f>EXP(-LN(2)/2)*BR146+(1-EXP(-LN(2)/2))/(LN(2)/2)*BL147*BO147*VLOOKUP('Données projet'!$B$11,Paramètres!$A$1:$I$88,3,0)*0.475*44/12</f>
        <v>6.7186208697468918E-12</v>
      </c>
      <c r="BS147" s="24">
        <f t="shared" si="117"/>
        <v>34.591513106507037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218.39403703215032</v>
      </c>
      <c r="CE147" s="62">
        <f t="shared" si="148"/>
        <v>254.08208375594052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26.950243454132604</v>
      </c>
      <c r="CL147" s="23">
        <f>EXP(-LN(2)/25)*CL146+(1-EXP(-LN(2)/25))/(LN(2)/25)*Calculateur!CG147*Calculateur!CI147*VLOOKUP('Données projet'!$B$12,Paramètres!$A$1:$I$88,3,0)*0.475*44/12</f>
        <v>2.7890099960458157</v>
      </c>
      <c r="CM147" s="23">
        <f>EXP(-LN(2)/2)*CM146+(1-EXP(-LN(2)/2))/(LN(2)/2)*CG147*CJ147*VLOOKUP('Données projet'!$B$12,Paramètres!$A$1:$I$88,3,0)*0.475*44/12</f>
        <v>4.6964989716468027E-12</v>
      </c>
      <c r="CN147" s="24">
        <f t="shared" si="120"/>
        <v>29.739253450183117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-2.8421709430404007E-13</v>
      </c>
      <c r="O148" s="14">
        <f>N148*VLOOKUP('Données projet'!$B$9,Paramètres!$A$1:$I$88,3,0)*VLOOKUP('Données projet'!$B$9,Paramètres!$A$1:$I$88,5,0)</f>
        <v>-2.5715962692629546E-13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373.09674935534343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78.652668601316805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78.652668601316805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projet'!$B$10,Paramètres!$A$1:$I$88,3,0)*VLOOKUP('Données projet'!$B$10,Paramètres!$A$1:$I$88,5,0)</f>
        <v>-1.6227659216383472E-13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509.66893546110458</v>
      </c>
      <c r="AO148" s="62">
        <f t="shared" si="144"/>
        <v>280.1645836141924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119.56151319959284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119.56151319959284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projet'!$B$11,Paramètres!$A$1:$I$88,3,0)*VLOOKUP('Données projet'!$B$11,Paramètres!$A$1:$I$88,5,0)</f>
        <v>1.3596945791505279E-13</v>
      </c>
      <c r="BF148" s="14">
        <f t="shared" si="145"/>
        <v>1.9708830566360721E-12</v>
      </c>
      <c r="BG148" s="22">
        <f t="shared" si="115"/>
        <v>3.669434796176543E-12</v>
      </c>
      <c r="BH148" s="62">
        <f t="shared" si="116"/>
        <v>293.33333333333701</v>
      </c>
      <c r="BI148" s="62">
        <f ca="1">AVERAGE(OFFSET($BH$3,0,0,'Données projet'!$E$11+1,1))-AVERAGE(OFFSET($H$3,0,0,'Données projet'!$E$11+1,1))</f>
        <v>311.82072478731385</v>
      </c>
      <c r="BJ148" s="62">
        <f t="shared" si="146"/>
        <v>356.36714671797864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29.462881009246107</v>
      </c>
      <c r="BQ148" s="23">
        <f>EXP(-LN(2)/25)*BQ147+(1-EXP(-LN(2)/25))/(LN(2)/25)*Calculateur!BL148*Calculateur!BN148*VLOOKUP('Données projet'!$B$11,Paramètres!$A$1:$I$88,3,0)*0.475*44/12</f>
        <v>4.4151989217459846</v>
      </c>
      <c r="BR148" s="23">
        <f>EXP(-LN(2)/2)*BR147+(1-EXP(-LN(2)/2))/(LN(2)/2)*BL148*BO148*VLOOKUP('Données projet'!$B$11,Paramètres!$A$1:$I$88,3,0)*0.475*44/12</f>
        <v>4.750782377219487E-12</v>
      </c>
      <c r="BS148" s="24">
        <f t="shared" si="117"/>
        <v>33.878079930996847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218.39403703215032</v>
      </c>
      <c r="CE148" s="62">
        <f t="shared" si="148"/>
        <v>254.08208375594052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26.421765618022452</v>
      </c>
      <c r="CL148" s="23">
        <f>EXP(-LN(2)/25)*CL147+(1-EXP(-LN(2)/25))/(LN(2)/25)*Calculateur!CG148*Calculateur!CI148*VLOOKUP('Données projet'!$B$12,Paramètres!$A$1:$I$88,3,0)*0.475*44/12</f>
        <v>2.7127443710362815</v>
      </c>
      <c r="CM148" s="23">
        <f>EXP(-LN(2)/2)*CM147+(1-EXP(-LN(2)/2))/(LN(2)/2)*CG148*CJ148*VLOOKUP('Données projet'!$B$12,Paramètres!$A$1:$I$88,3,0)*0.475*44/12</f>
        <v>3.3209262706871012E-12</v>
      </c>
      <c r="CN148" s="24">
        <f t="shared" si="120"/>
        <v>29.134509989062057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-2.8421709430404007E-13</v>
      </c>
      <c r="O149" s="14">
        <f>N149*VLOOKUP('Données projet'!$B$9,Paramètres!$A$1:$I$88,3,0)*VLOOKUP('Données projet'!$B$9,Paramètres!$A$1:$I$88,5,0)</f>
        <v>-2.5715962692629546E-13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373.09674935534343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77.110337743435849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77.110337743435849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projet'!$B$10,Paramètres!$A$1:$I$88,3,0)*VLOOKUP('Données projet'!$B$10,Paramètres!$A$1:$I$88,5,0)</f>
        <v>-1.6227659216383472E-13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509.66893546110458</v>
      </c>
      <c r="AO149" s="62">
        <f t="shared" si="144"/>
        <v>280.1645836141924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117.2169848510711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117.2169848510711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projet'!$B$11,Paramètres!$A$1:$I$88,3,0)*VLOOKUP('Données projet'!$B$11,Paramètres!$A$1:$I$88,5,0)</f>
        <v>1.3596945791505279E-13</v>
      </c>
      <c r="BF149" s="14">
        <f t="shared" si="145"/>
        <v>1.9708830566360721E-12</v>
      </c>
      <c r="BG149" s="22">
        <f t="shared" si="115"/>
        <v>3.669434796176543E-12</v>
      </c>
      <c r="BH149" s="62">
        <f t="shared" si="116"/>
        <v>293.33333333333701</v>
      </c>
      <c r="BI149" s="62">
        <f ca="1">AVERAGE(OFFSET($BH$3,0,0,'Données projet'!$E$11+1,1))-AVERAGE(OFFSET($H$3,0,0,'Données projet'!$E$11+1,1))</f>
        <v>311.82072478731385</v>
      </c>
      <c r="BJ149" s="62">
        <f t="shared" si="146"/>
        <v>356.36714671797864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28.885131883237758</v>
      </c>
      <c r="BQ149" s="23">
        <f>EXP(-LN(2)/25)*BQ148+(1-EXP(-LN(2)/25))/(LN(2)/25)*Calculateur!BL149*Calculateur!BN149*VLOOKUP('Données projet'!$B$11,Paramètres!$A$1:$I$88,3,0)*0.475*44/12</f>
        <v>4.2944650750456201</v>
      </c>
      <c r="BR149" s="23">
        <f>EXP(-LN(2)/2)*BR148+(1-EXP(-LN(2)/2))/(LN(2)/2)*BL149*BO149*VLOOKUP('Données projet'!$B$11,Paramètres!$A$1:$I$88,3,0)*0.475*44/12</f>
        <v>3.3593104348734459E-12</v>
      </c>
      <c r="BS149" s="24">
        <f t="shared" si="117"/>
        <v>33.179596958286737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218.39403703215032</v>
      </c>
      <c r="CE149" s="62">
        <f t="shared" si="148"/>
        <v>254.08208375594052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25.903650909938765</v>
      </c>
      <c r="CL149" s="23">
        <f>EXP(-LN(2)/25)*CL148+(1-EXP(-LN(2)/25))/(LN(2)/25)*Calculateur!CG149*Calculateur!CI149*VLOOKUP('Données projet'!$B$12,Paramètres!$A$1:$I$88,3,0)*0.475*44/12</f>
        <v>2.638564233553268</v>
      </c>
      <c r="CM149" s="23">
        <f>EXP(-LN(2)/2)*CM148+(1-EXP(-LN(2)/2))/(LN(2)/2)*CG149*CJ149*VLOOKUP('Données projet'!$B$12,Paramètres!$A$1:$I$88,3,0)*0.475*44/12</f>
        <v>2.3482494858234014E-12</v>
      </c>
      <c r="CN149" s="24">
        <f t="shared" si="120"/>
        <v>28.542215143494381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-2.8421709430404007E-13</v>
      </c>
      <c r="O150" s="14">
        <f>N150*VLOOKUP('Données projet'!$B$9,Paramètres!$A$1:$I$88,3,0)*VLOOKUP('Données projet'!$B$9,Paramètres!$A$1:$I$88,5,0)</f>
        <v>-2.5715962692629546E-13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373.09674935534343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75.59825105294901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75.59825105294901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projet'!$B$10,Paramètres!$A$1:$I$88,3,0)*VLOOKUP('Données projet'!$B$10,Paramètres!$A$1:$I$88,5,0)</f>
        <v>-1.6227659216383472E-13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509.66893546110458</v>
      </c>
      <c r="AO150" s="62">
        <f t="shared" si="144"/>
        <v>280.1645836141924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114.91843127344278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114.91843127344278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projet'!$B$11,Paramètres!$A$1:$I$88,3,0)*VLOOKUP('Données projet'!$B$11,Paramètres!$A$1:$I$88,5,0)</f>
        <v>1.3596945791505279E-13</v>
      </c>
      <c r="BF150" s="14">
        <f t="shared" si="145"/>
        <v>1.9708830566360721E-12</v>
      </c>
      <c r="BG150" s="22">
        <f t="shared" si="115"/>
        <v>3.669434796176543E-12</v>
      </c>
      <c r="BH150" s="62">
        <f t="shared" si="116"/>
        <v>293.33333333333701</v>
      </c>
      <c r="BI150" s="62">
        <f ca="1">AVERAGE(OFFSET($BH$3,0,0,'Données projet'!$E$11+1,1))-AVERAGE(OFFSET($H$3,0,0,'Données projet'!$E$11+1,1))</f>
        <v>311.82072478731385</v>
      </c>
      <c r="BJ150" s="62">
        <f t="shared" si="146"/>
        <v>356.36714671797864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28.318712065198262</v>
      </c>
      <c r="BQ150" s="23">
        <f>EXP(-LN(2)/25)*BQ149+(1-EXP(-LN(2)/25))/(LN(2)/25)*Calculateur!BL150*Calculateur!BN150*VLOOKUP('Données projet'!$B$11,Paramètres!$A$1:$I$88,3,0)*0.475*44/12</f>
        <v>4.1770327017323945</v>
      </c>
      <c r="BR150" s="23">
        <f>EXP(-LN(2)/2)*BR149+(1-EXP(-LN(2)/2))/(LN(2)/2)*BL150*BO150*VLOOKUP('Données projet'!$B$11,Paramètres!$A$1:$I$88,3,0)*0.475*44/12</f>
        <v>2.3753911886097435E-12</v>
      </c>
      <c r="BS150" s="24">
        <f t="shared" si="117"/>
        <v>32.495744766933029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218.39403703215032</v>
      </c>
      <c r="CE150" s="62">
        <f t="shared" si="148"/>
        <v>254.08208375594052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25.395696115261835</v>
      </c>
      <c r="CL150" s="23">
        <f>EXP(-LN(2)/25)*CL149+(1-EXP(-LN(2)/25))/(LN(2)/25)*Calculateur!CG150*Calculateur!CI150*VLOOKUP('Données projet'!$B$12,Paramètres!$A$1:$I$88,3,0)*0.475*44/12</f>
        <v>2.5664125558306914</v>
      </c>
      <c r="CM150" s="23">
        <f>EXP(-LN(2)/2)*CM149+(1-EXP(-LN(2)/2))/(LN(2)/2)*CG150*CJ150*VLOOKUP('Données projet'!$B$12,Paramètres!$A$1:$I$88,3,0)*0.475*44/12</f>
        <v>1.6604631353435506E-12</v>
      </c>
      <c r="CN150" s="24">
        <f t="shared" si="120"/>
        <v>27.962108671094185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-2.8421709430404007E-13</v>
      </c>
      <c r="O151" s="14">
        <f>N151*VLOOKUP('Données projet'!$B$9,Paramètres!$A$1:$I$88,3,0)*VLOOKUP('Données projet'!$B$9,Paramètres!$A$1:$I$88,5,0)</f>
        <v>-2.5715962692629546E-13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373.09674935534343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74.115815460180798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74.115815460180798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projet'!$B$10,Paramètres!$A$1:$I$88,3,0)*VLOOKUP('Données projet'!$B$10,Paramètres!$A$1:$I$88,5,0)</f>
        <v>-1.6227659216383472E-13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509.66893546110458</v>
      </c>
      <c r="AO151" s="62">
        <f t="shared" si="144"/>
        <v>280.1645836141924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112.66495092949251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112.66495092949251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projet'!$B$11,Paramètres!$A$1:$I$88,3,0)*VLOOKUP('Données projet'!$B$11,Paramètres!$A$1:$I$88,5,0)</f>
        <v>1.3596945791505279E-13</v>
      </c>
      <c r="BF151" s="14">
        <f t="shared" si="145"/>
        <v>1.9708830566360721E-12</v>
      </c>
      <c r="BG151" s="22">
        <f t="shared" si="115"/>
        <v>3.669434796176543E-12</v>
      </c>
      <c r="BH151" s="62">
        <f t="shared" si="116"/>
        <v>293.33333333333701</v>
      </c>
      <c r="BI151" s="62">
        <f ca="1">AVERAGE(OFFSET($BH$3,0,0,'Données projet'!$E$11+1,1))-AVERAGE(OFFSET($H$3,0,0,'Données projet'!$E$11+1,1))</f>
        <v>311.82072478731385</v>
      </c>
      <c r="BJ151" s="62">
        <f t="shared" si="146"/>
        <v>356.36714671797864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27.763399394308546</v>
      </c>
      <c r="BQ151" s="23">
        <f>EXP(-LN(2)/25)*BQ150+(1-EXP(-LN(2)/25))/(LN(2)/25)*Calculateur!BL151*Calculateur!BN151*VLOOKUP('Données projet'!$B$11,Paramètres!$A$1:$I$88,3,0)*0.475*44/12</f>
        <v>4.0628115228429191</v>
      </c>
      <c r="BR151" s="23">
        <f>EXP(-LN(2)/2)*BR150+(1-EXP(-LN(2)/2))/(LN(2)/2)*BL151*BO151*VLOOKUP('Données projet'!$B$11,Paramètres!$A$1:$I$88,3,0)*0.475*44/12</f>
        <v>1.6796552174367229E-12</v>
      </c>
      <c r="BS151" s="24">
        <f t="shared" si="117"/>
        <v>31.826210917153144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218.39403703215032</v>
      </c>
      <c r="CE151" s="62">
        <f t="shared" si="148"/>
        <v>254.08208375594052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24.897702004286685</v>
      </c>
      <c r="CL151" s="23">
        <f>EXP(-LN(2)/25)*CL150+(1-EXP(-LN(2)/25))/(LN(2)/25)*Calculateur!CG151*Calculateur!CI151*VLOOKUP('Données projet'!$B$12,Paramètres!$A$1:$I$88,3,0)*0.475*44/12</f>
        <v>2.4962338695297306</v>
      </c>
      <c r="CM151" s="23">
        <f>EXP(-LN(2)/2)*CM150+(1-EXP(-LN(2)/2))/(LN(2)/2)*CG151*CJ151*VLOOKUP('Données projet'!$B$12,Paramètres!$A$1:$I$88,3,0)*0.475*44/12</f>
        <v>1.1741247429117007E-12</v>
      </c>
      <c r="CN151" s="24">
        <f t="shared" si="120"/>
        <v>27.39393587381759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-2.8421709430404007E-13</v>
      </c>
      <c r="O152" s="14">
        <f>N152*VLOOKUP('Données projet'!$B$9,Paramètres!$A$1:$I$88,3,0)*VLOOKUP('Données projet'!$B$9,Paramètres!$A$1:$I$88,5,0)</f>
        <v>-2.5715962692629546E-13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373.09674935534343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72.66244952519034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72.66244952519034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projet'!$B$10,Paramètres!$A$1:$I$88,3,0)*VLOOKUP('Données projet'!$B$10,Paramètres!$A$1:$I$88,5,0)</f>
        <v>-1.6227659216383472E-13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509.66893546110458</v>
      </c>
      <c r="AO152" s="62">
        <f t="shared" si="144"/>
        <v>280.1645836141924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110.4556599605998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110.4556599605998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projet'!$B$11,Paramètres!$A$1:$I$88,3,0)*VLOOKUP('Données projet'!$B$11,Paramètres!$A$1:$I$88,5,0)</f>
        <v>1.3596945791505279E-13</v>
      </c>
      <c r="BF152" s="14">
        <f t="shared" si="145"/>
        <v>1.9708830566360721E-12</v>
      </c>
      <c r="BG152" s="22">
        <f t="shared" si="115"/>
        <v>3.669434796176543E-12</v>
      </c>
      <c r="BH152" s="62">
        <f t="shared" si="116"/>
        <v>293.33333333333701</v>
      </c>
      <c r="BI152" s="62">
        <f ca="1">AVERAGE(OFFSET($BH$3,0,0,'Données projet'!$E$11+1,1))-AVERAGE(OFFSET($H$3,0,0,'Données projet'!$E$11+1,1))</f>
        <v>311.82072478731385</v>
      </c>
      <c r="BJ152" s="62">
        <f t="shared" si="146"/>
        <v>356.36714671797864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27.218976066187693</v>
      </c>
      <c r="BQ152" s="23">
        <f>EXP(-LN(2)/25)*BQ151+(1-EXP(-LN(2)/25))/(LN(2)/25)*Calculateur!BL152*Calculateur!BN152*VLOOKUP('Données projet'!$B$11,Paramètres!$A$1:$I$88,3,0)*0.475*44/12</f>
        <v>3.9517137280968071</v>
      </c>
      <c r="BR152" s="23">
        <f>EXP(-LN(2)/2)*BR151+(1-EXP(-LN(2)/2))/(LN(2)/2)*BL152*BO152*VLOOKUP('Données projet'!$B$11,Paramètres!$A$1:$I$88,3,0)*0.475*44/12</f>
        <v>1.1876955943048717E-12</v>
      </c>
      <c r="BS152" s="24">
        <f t="shared" si="117"/>
        <v>31.170689794285686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218.39403703215032</v>
      </c>
      <c r="CE152" s="62">
        <f t="shared" si="148"/>
        <v>254.08208375594052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24.409473254081345</v>
      </c>
      <c r="CL152" s="23">
        <f>EXP(-LN(2)/25)*CL151+(1-EXP(-LN(2)/25))/(LN(2)/25)*Calculateur!CG152*Calculateur!CI152*VLOOKUP('Données projet'!$B$12,Paramètres!$A$1:$I$88,3,0)*0.475*44/12</f>
        <v>2.4279742230962063</v>
      </c>
      <c r="CM152" s="23">
        <f>EXP(-LN(2)/2)*CM151+(1-EXP(-LN(2)/2))/(LN(2)/2)*CG152*CJ152*VLOOKUP('Données projet'!$B$12,Paramètres!$A$1:$I$88,3,0)*0.475*44/12</f>
        <v>8.3023156767177531E-13</v>
      </c>
      <c r="CN152" s="24">
        <f t="shared" si="120"/>
        <v>26.837447477178383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-2.8421709430404007E-13</v>
      </c>
      <c r="O153" s="14">
        <f>N153*VLOOKUP('Données projet'!$B$9,Paramètres!$A$1:$I$88,3,0)*VLOOKUP('Données projet'!$B$9,Paramètres!$A$1:$I$88,5,0)</f>
        <v>-2.5715962692629546E-13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373.09674935534343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71.237583209719361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71.237583209719361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projet'!$B$10,Paramètres!$A$1:$I$88,3,0)*VLOOKUP('Données projet'!$B$10,Paramètres!$A$1:$I$88,5,0)</f>
        <v>-1.6227659216383472E-13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509.66893546110458</v>
      </c>
      <c r="AO153" s="62">
        <f t="shared" si="144"/>
        <v>280.1645836141924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108.28969184007265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108.28969184007265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projet'!$B$11,Paramètres!$A$1:$I$88,3,0)*VLOOKUP('Données projet'!$B$11,Paramètres!$A$1:$I$88,5,0)</f>
        <v>1.3596945791505279E-13</v>
      </c>
      <c r="BF153" s="14">
        <f t="shared" si="145"/>
        <v>1.9708830566360721E-12</v>
      </c>
      <c r="BG153" s="22">
        <f t="shared" si="115"/>
        <v>3.669434796176543E-12</v>
      </c>
      <c r="BH153" s="62">
        <f t="shared" si="116"/>
        <v>293.33333333333701</v>
      </c>
      <c r="BI153" s="62">
        <f ca="1">AVERAGE(OFFSET($BH$3,0,0,'Données projet'!$E$11+1,1))-AVERAGE(OFFSET($H$3,0,0,'Données projet'!$E$11+1,1))</f>
        <v>311.82072478731385</v>
      </c>
      <c r="BJ153" s="62">
        <f t="shared" si="146"/>
        <v>356.36714671797864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26.685228547465847</v>
      </c>
      <c r="BQ153" s="23">
        <f>EXP(-LN(2)/25)*BQ152+(1-EXP(-LN(2)/25))/(LN(2)/25)*Calculateur!BL153*Calculateur!BN153*VLOOKUP('Données projet'!$B$11,Paramètres!$A$1:$I$88,3,0)*0.475*44/12</f>
        <v>3.8436539083904067</v>
      </c>
      <c r="BR153" s="23">
        <f>EXP(-LN(2)/2)*BR152+(1-EXP(-LN(2)/2))/(LN(2)/2)*BL153*BO153*VLOOKUP('Données projet'!$B$11,Paramètres!$A$1:$I$88,3,0)*0.475*44/12</f>
        <v>8.3982760871836147E-13</v>
      </c>
      <c r="BS153" s="24">
        <f t="shared" si="117"/>
        <v>30.528882455857094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218.39403703215032</v>
      </c>
      <c r="CE153" s="62">
        <f t="shared" si="148"/>
        <v>254.08208375594052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23.930818371877397</v>
      </c>
      <c r="CL153" s="23">
        <f>EXP(-LN(2)/25)*CL152+(1-EXP(-LN(2)/25))/(LN(2)/25)*Calculateur!CG153*Calculateur!CI153*VLOOKUP('Données projet'!$B$12,Paramètres!$A$1:$I$88,3,0)*0.475*44/12</f>
        <v>2.3615811402840254</v>
      </c>
      <c r="CM153" s="23">
        <f>EXP(-LN(2)/2)*CM152+(1-EXP(-LN(2)/2))/(LN(2)/2)*CG153*CJ153*VLOOKUP('Données projet'!$B$12,Paramètres!$A$1:$I$88,3,0)*0.475*44/12</f>
        <v>5.8706237145585034E-13</v>
      </c>
      <c r="CN153" s="24">
        <f t="shared" si="120"/>
        <v>26.29239951216201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-2.8421709430404007E-13</v>
      </c>
      <c r="O154" s="14">
        <f>N154*VLOOKUP('Données projet'!$B$9,Paramètres!$A$1:$I$88,3,0)*VLOOKUP('Données projet'!$B$9,Paramètres!$A$1:$I$88,5,0)</f>
        <v>-2.5715962692629546E-13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373.09674935534343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69.840657653612126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69.840657653612126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projet'!$B$10,Paramètres!$A$1:$I$88,3,0)*VLOOKUP('Données projet'!$B$10,Paramètres!$A$1:$I$88,5,0)</f>
        <v>-1.6227659216383472E-13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509.66893546110458</v>
      </c>
      <c r="AO154" s="62">
        <f t="shared" si="144"/>
        <v>280.1645836141924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106.16619703327893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106.16619703327893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projet'!$B$11,Paramètres!$A$1:$I$88,3,0)*VLOOKUP('Données projet'!$B$11,Paramètres!$A$1:$I$88,5,0)</f>
        <v>1.3596945791505279E-13</v>
      </c>
      <c r="BF154" s="14">
        <f t="shared" ref="BF154:BF203" si="167">EXP(-1.0587+0.8836*LN(BE154)+0.284)</f>
        <v>1.9708830566360721E-12</v>
      </c>
      <c r="BG154" s="22">
        <f t="shared" ref="BG154:BG203" si="168">(BE154+BF154)*0.475*44/12</f>
        <v>3.669434796176543E-12</v>
      </c>
      <c r="BH154" s="62">
        <f t="shared" si="116"/>
        <v>293.33333333333701</v>
      </c>
      <c r="BI154" s="62">
        <f ca="1">AVERAGE(OFFSET($BH$3,0,0,'Données projet'!$E$11+1,1))-AVERAGE(OFFSET($H$3,0,0,'Données projet'!$E$11+1,1))</f>
        <v>311.82072478731385</v>
      </c>
      <c r="BJ154" s="62">
        <f t="shared" si="146"/>
        <v>356.36714671797864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26.161947492032297</v>
      </c>
      <c r="BQ154" s="23">
        <f>EXP(-LN(2)/25)*BQ153+(1-EXP(-LN(2)/25))/(LN(2)/25)*Calculateur!BL154*Calculateur!BN154*VLOOKUP('Données projet'!$B$11,Paramètres!$A$1:$I$88,3,0)*0.475*44/12</f>
        <v>3.7385489901364966</v>
      </c>
      <c r="BR154" s="23">
        <f>EXP(-LN(2)/2)*BR153+(1-EXP(-LN(2)/2))/(LN(2)/2)*BL154*BO154*VLOOKUP('Données projet'!$B$11,Paramètres!$A$1:$I$88,3,0)*0.475*44/12</f>
        <v>5.9384779715243587E-13</v>
      </c>
      <c r="BS154" s="24">
        <f t="shared" ref="BS154:BS203" si="169">SUM(BP154:BR154)</f>
        <v>29.900496482169387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218.39403703215032</v>
      </c>
      <c r="CE154" s="62">
        <f t="shared" si="148"/>
        <v>254.08208375594052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23.461549619962817</v>
      </c>
      <c r="CL154" s="23">
        <f>EXP(-LN(2)/25)*CL153+(1-EXP(-LN(2)/25))/(LN(2)/25)*Calculateur!CG154*Calculateur!CI154*VLOOKUP('Données projet'!$B$12,Paramètres!$A$1:$I$88,3,0)*0.475*44/12</f>
        <v>2.2970035798128041</v>
      </c>
      <c r="CM154" s="23">
        <f>EXP(-LN(2)/2)*CM153+(1-EXP(-LN(2)/2))/(LN(2)/2)*CG154*CJ154*VLOOKUP('Données projet'!$B$12,Paramètres!$A$1:$I$88,3,0)*0.475*44/12</f>
        <v>4.1511578383588765E-13</v>
      </c>
      <c r="CN154" s="24">
        <f t="shared" ref="CN154:CN203" si="172">SUM(CK154:CM154)</f>
        <v>25.758553199776035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-2.8421709430404007E-13</v>
      </c>
      <c r="O155" s="14">
        <f>N155*VLOOKUP('Données projet'!$B$9,Paramètres!$A$1:$I$88,3,0)*VLOOKUP('Données projet'!$B$9,Paramètres!$A$1:$I$88,5,0)</f>
        <v>-2.5715962692629546E-13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373.09674935534343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68.4711249556197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68.4711249556197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projet'!$B$10,Paramètres!$A$1:$I$88,3,0)*VLOOKUP('Données projet'!$B$10,Paramètres!$A$1:$I$88,5,0)</f>
        <v>-1.6227659216383472E-13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509.66893546110458</v>
      </c>
      <c r="AO155" s="62">
        <f t="shared" si="144"/>
        <v>280.1645836141924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104.0843426644425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104.0843426644425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projet'!$B$11,Paramètres!$A$1:$I$88,3,0)*VLOOKUP('Données projet'!$B$11,Paramètres!$A$1:$I$88,5,0)</f>
        <v>1.3596945791505279E-13</v>
      </c>
      <c r="BF155" s="14">
        <f t="shared" si="167"/>
        <v>1.9708830566360721E-12</v>
      </c>
      <c r="BG155" s="22">
        <f t="shared" si="168"/>
        <v>3.669434796176543E-12</v>
      </c>
      <c r="BH155" s="62">
        <f t="shared" si="116"/>
        <v>293.33333333333701</v>
      </c>
      <c r="BI155" s="62">
        <f ca="1">AVERAGE(OFFSET($BH$3,0,0,'Données projet'!$E$11+1,1))-AVERAGE(OFFSET($H$3,0,0,'Données projet'!$E$11+1,1))</f>
        <v>311.82072478731385</v>
      </c>
      <c r="BJ155" s="62">
        <f t="shared" si="146"/>
        <v>356.36714671797864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25.648927658925871</v>
      </c>
      <c r="BQ155" s="23">
        <f>EXP(-LN(2)/25)*BQ154+(1-EXP(-LN(2)/25))/(LN(2)/25)*Calculateur!BL155*Calculateur!BN155*VLOOKUP('Données projet'!$B$11,Paramètres!$A$1:$I$88,3,0)*0.475*44/12</f>
        <v>3.6363181713994672</v>
      </c>
      <c r="BR155" s="23">
        <f>EXP(-LN(2)/2)*BR154+(1-EXP(-LN(2)/2))/(LN(2)/2)*BL155*BO155*VLOOKUP('Données projet'!$B$11,Paramètres!$A$1:$I$88,3,0)*0.475*44/12</f>
        <v>4.1991380435918074E-13</v>
      </c>
      <c r="BS155" s="24">
        <f t="shared" si="169"/>
        <v>29.285245830325756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218.39403703215032</v>
      </c>
      <c r="CE155" s="62">
        <f t="shared" si="148"/>
        <v>254.08208375594052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23.001482942047605</v>
      </c>
      <c r="CL155" s="23">
        <f>EXP(-LN(2)/25)*CL154+(1-EXP(-LN(2)/25))/(LN(2)/25)*Calculateur!CG155*Calculateur!CI155*VLOOKUP('Données projet'!$B$12,Paramètres!$A$1:$I$88,3,0)*0.475*44/12</f>
        <v>2.2341918961286544</v>
      </c>
      <c r="CM155" s="23">
        <f>EXP(-LN(2)/2)*CM154+(1-EXP(-LN(2)/2))/(LN(2)/2)*CG155*CJ155*VLOOKUP('Données projet'!$B$12,Paramètres!$A$1:$I$88,3,0)*0.475*44/12</f>
        <v>2.9353118572792517E-13</v>
      </c>
      <c r="CN155" s="24">
        <f t="shared" si="172"/>
        <v>25.235674838176553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-2.8421709430404007E-13</v>
      </c>
      <c r="O156" s="14">
        <f>N156*VLOOKUP('Données projet'!$B$9,Paramètres!$A$1:$I$88,3,0)*VLOOKUP('Données projet'!$B$9,Paramètres!$A$1:$I$88,5,0)</f>
        <v>-2.5715962692629546E-13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373.09674935534343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67.128447958502434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67.128447958502434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projet'!$B$10,Paramètres!$A$1:$I$88,3,0)*VLOOKUP('Données projet'!$B$10,Paramètres!$A$1:$I$88,5,0)</f>
        <v>-1.6227659216383472E-13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509.66893546110458</v>
      </c>
      <c r="AO156" s="62">
        <f t="shared" si="144"/>
        <v>280.1645836141924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102.04331218997316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102.04331218997316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projet'!$B$11,Paramètres!$A$1:$I$88,3,0)*VLOOKUP('Données projet'!$B$11,Paramètres!$A$1:$I$88,5,0)</f>
        <v>1.3596945791505279E-13</v>
      </c>
      <c r="BF156" s="14">
        <f t="shared" si="167"/>
        <v>1.9708830566360721E-12</v>
      </c>
      <c r="BG156" s="22">
        <f t="shared" si="168"/>
        <v>3.669434796176543E-12</v>
      </c>
      <c r="BH156" s="62">
        <f t="shared" si="116"/>
        <v>293.33333333333701</v>
      </c>
      <c r="BI156" s="62">
        <f ca="1">AVERAGE(OFFSET($BH$3,0,0,'Données projet'!$E$11+1,1))-AVERAGE(OFFSET($H$3,0,0,'Données projet'!$E$11+1,1))</f>
        <v>311.82072478731385</v>
      </c>
      <c r="BJ156" s="62">
        <f t="shared" si="146"/>
        <v>356.36714671797864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25.14596783183546</v>
      </c>
      <c r="BQ156" s="23">
        <f>EXP(-LN(2)/25)*BQ155+(1-EXP(-LN(2)/25))/(LN(2)/25)*Calculateur!BL156*Calculateur!BN156*VLOOKUP('Données projet'!$B$11,Paramètres!$A$1:$I$88,3,0)*0.475*44/12</f>
        <v>3.5368828597768869</v>
      </c>
      <c r="BR156" s="23">
        <f>EXP(-LN(2)/2)*BR155+(1-EXP(-LN(2)/2))/(LN(2)/2)*BL156*BO156*VLOOKUP('Données projet'!$B$11,Paramètres!$A$1:$I$88,3,0)*0.475*44/12</f>
        <v>2.9692389857621794E-13</v>
      </c>
      <c r="BS156" s="24">
        <f t="shared" si="169"/>
        <v>28.682850691612646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218.39403703215032</v>
      </c>
      <c r="CE156" s="62">
        <f t="shared" si="148"/>
        <v>254.08208375594052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22.550437891073347</v>
      </c>
      <c r="CL156" s="23">
        <f>EXP(-LN(2)/25)*CL155+(1-EXP(-LN(2)/25))/(LN(2)/25)*Calculateur!CG156*Calculateur!CI156*VLOOKUP('Données projet'!$B$12,Paramètres!$A$1:$I$88,3,0)*0.475*44/12</f>
        <v>2.1730978012379709</v>
      </c>
      <c r="CM156" s="23">
        <f>EXP(-LN(2)/2)*CM155+(1-EXP(-LN(2)/2))/(LN(2)/2)*CG156*CJ156*VLOOKUP('Données projet'!$B$12,Paramètres!$A$1:$I$88,3,0)*0.475*44/12</f>
        <v>2.0755789191794383E-13</v>
      </c>
      <c r="CN156" s="24">
        <f t="shared" si="172"/>
        <v>24.723535692311525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-2.8421709430404007E-13</v>
      </c>
      <c r="O157" s="14">
        <f>N157*VLOOKUP('Données projet'!$B$9,Paramètres!$A$1:$I$88,3,0)*VLOOKUP('Données projet'!$B$9,Paramètres!$A$1:$I$88,5,0)</f>
        <v>-2.5715962692629546E-13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373.09674935534343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65.812100038346543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65.812100038346543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projet'!$B$10,Paramètres!$A$1:$I$88,3,0)*VLOOKUP('Données projet'!$B$10,Paramètres!$A$1:$I$88,5,0)</f>
        <v>-1.6227659216383472E-13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509.66893546110458</v>
      </c>
      <c r="AO157" s="62">
        <f t="shared" si="144"/>
        <v>280.1645836141924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100.0423050782025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100.0423050782025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projet'!$B$11,Paramètres!$A$1:$I$88,3,0)*VLOOKUP('Données projet'!$B$11,Paramètres!$A$1:$I$88,5,0)</f>
        <v>1.3596945791505279E-13</v>
      </c>
      <c r="BF157" s="14">
        <f t="shared" si="167"/>
        <v>1.9708830566360721E-12</v>
      </c>
      <c r="BG157" s="22">
        <f t="shared" si="168"/>
        <v>3.669434796176543E-12</v>
      </c>
      <c r="BH157" s="62">
        <f t="shared" si="116"/>
        <v>293.33333333333701</v>
      </c>
      <c r="BI157" s="62">
        <f ca="1">AVERAGE(OFFSET($BH$3,0,0,'Données projet'!$E$11+1,1))-AVERAGE(OFFSET($H$3,0,0,'Données projet'!$E$11+1,1))</f>
        <v>311.82072478731385</v>
      </c>
      <c r="BJ157" s="62">
        <f t="shared" si="146"/>
        <v>356.36714671797864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24.65287074017909</v>
      </c>
      <c r="BQ157" s="23">
        <f>EXP(-LN(2)/25)*BQ156+(1-EXP(-LN(2)/25))/(LN(2)/25)*Calculateur!BL157*Calculateur!BN157*VLOOKUP('Données projet'!$B$11,Paramètres!$A$1:$I$88,3,0)*0.475*44/12</f>
        <v>3.4401666119797021</v>
      </c>
      <c r="BR157" s="23">
        <f>EXP(-LN(2)/2)*BR156+(1-EXP(-LN(2)/2))/(LN(2)/2)*BL157*BO157*VLOOKUP('Données projet'!$B$11,Paramètres!$A$1:$I$88,3,0)*0.475*44/12</f>
        <v>2.0995690217959037E-13</v>
      </c>
      <c r="BS157" s="24">
        <f t="shared" si="169"/>
        <v>28.093037352159001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218.39403703215032</v>
      </c>
      <c r="CE157" s="62">
        <f t="shared" si="148"/>
        <v>254.08208375594052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22.108237558438379</v>
      </c>
      <c r="CL157" s="23">
        <f>EXP(-LN(2)/25)*CL156+(1-EXP(-LN(2)/25))/(LN(2)/25)*Calculateur!CG157*Calculateur!CI157*VLOOKUP('Données projet'!$B$12,Paramètres!$A$1:$I$88,3,0)*0.475*44/12</f>
        <v>2.1136743275848717</v>
      </c>
      <c r="CM157" s="23">
        <f>EXP(-LN(2)/2)*CM156+(1-EXP(-LN(2)/2))/(LN(2)/2)*CG157*CJ157*VLOOKUP('Données projet'!$B$12,Paramètres!$A$1:$I$88,3,0)*0.475*44/12</f>
        <v>1.4676559286396258E-13</v>
      </c>
      <c r="CN157" s="24">
        <f t="shared" si="172"/>
        <v>24.221911886023396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-2.8421709430404007E-13</v>
      </c>
      <c r="O158" s="14">
        <f>N158*VLOOKUP('Données projet'!$B$9,Paramètres!$A$1:$I$88,3,0)*VLOOKUP('Données projet'!$B$9,Paramètres!$A$1:$I$88,5,0)</f>
        <v>-2.5715962692629546E-13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373.09674935534343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64.52156489801196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64.52156489801196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projet'!$B$10,Paramètres!$A$1:$I$88,3,0)*VLOOKUP('Données projet'!$B$10,Paramètres!$A$1:$I$88,5,0)</f>
        <v>-1.6227659216383472E-13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509.66893546110458</v>
      </c>
      <c r="AO158" s="62">
        <f t="shared" si="144"/>
        <v>280.1645836141924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98.080536495399841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98.080536495399841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projet'!$B$11,Paramètres!$A$1:$I$88,3,0)*VLOOKUP('Données projet'!$B$11,Paramètres!$A$1:$I$88,5,0)</f>
        <v>1.3596945791505279E-13</v>
      </c>
      <c r="BF158" s="14">
        <f t="shared" si="167"/>
        <v>1.9708830566360721E-12</v>
      </c>
      <c r="BG158" s="22">
        <f t="shared" si="168"/>
        <v>3.669434796176543E-12</v>
      </c>
      <c r="BH158" s="62">
        <f t="shared" si="116"/>
        <v>293.33333333333701</v>
      </c>
      <c r="BI158" s="62">
        <f ca="1">AVERAGE(OFFSET($BH$3,0,0,'Données projet'!$E$11+1,1))-AVERAGE(OFFSET($H$3,0,0,'Données projet'!$E$11+1,1))</f>
        <v>311.82072478731385</v>
      </c>
      <c r="BJ158" s="62">
        <f t="shared" si="146"/>
        <v>356.36714671797864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24.169442981730572</v>
      </c>
      <c r="BQ158" s="23">
        <f>EXP(-LN(2)/25)*BQ157+(1-EXP(-LN(2)/25))/(LN(2)/25)*Calculateur!BL158*Calculateur!BN158*VLOOKUP('Données projet'!$B$11,Paramètres!$A$1:$I$88,3,0)*0.475*44/12</f>
        <v>3.3460950750646177</v>
      </c>
      <c r="BR158" s="23">
        <f>EXP(-LN(2)/2)*BR157+(1-EXP(-LN(2)/2))/(LN(2)/2)*BL158*BO158*VLOOKUP('Données projet'!$B$11,Paramètres!$A$1:$I$88,3,0)*0.475*44/12</f>
        <v>1.4846194928810897E-13</v>
      </c>
      <c r="BS158" s="24">
        <f t="shared" si="169"/>
        <v>27.515538056795339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218.39403703215032</v>
      </c>
      <c r="CE158" s="62">
        <f t="shared" si="148"/>
        <v>254.08208375594052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21.674708504610809</v>
      </c>
      <c r="CL158" s="23">
        <f>EXP(-LN(2)/25)*CL157+(1-EXP(-LN(2)/25))/(LN(2)/25)*Calculateur!CG158*Calculateur!CI158*VLOOKUP('Données projet'!$B$12,Paramètres!$A$1:$I$88,3,0)*0.475*44/12</f>
        <v>2.0558757919437616</v>
      </c>
      <c r="CM158" s="23">
        <f>EXP(-LN(2)/2)*CM157+(1-EXP(-LN(2)/2))/(LN(2)/2)*CG158*CJ158*VLOOKUP('Données projet'!$B$12,Paramètres!$A$1:$I$88,3,0)*0.475*44/12</f>
        <v>1.0377894595897191E-13</v>
      </c>
      <c r="CN158" s="24">
        <f t="shared" si="172"/>
        <v>23.730584296554674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-2.8421709430404007E-13</v>
      </c>
      <c r="O159" s="14">
        <f>N159*VLOOKUP('Données projet'!$B$9,Paramètres!$A$1:$I$88,3,0)*VLOOKUP('Données projet'!$B$9,Paramètres!$A$1:$I$88,5,0)</f>
        <v>-2.5715962692629546E-13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373.09674935534343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63.25633636463062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63.25633636463062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projet'!$B$10,Paramètres!$A$1:$I$88,3,0)*VLOOKUP('Données projet'!$B$10,Paramètres!$A$1:$I$88,5,0)</f>
        <v>-1.6227659216383472E-13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509.66893546110458</v>
      </c>
      <c r="AO159" s="62">
        <f t="shared" si="144"/>
        <v>280.1645836141924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96.157236997945262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96.157236997945262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projet'!$B$11,Paramètres!$A$1:$I$88,3,0)*VLOOKUP('Données projet'!$B$11,Paramètres!$A$1:$I$88,5,0)</f>
        <v>1.3596945791505279E-13</v>
      </c>
      <c r="BF159" s="14">
        <f t="shared" si="167"/>
        <v>1.9708830566360721E-12</v>
      </c>
      <c r="BG159" s="22">
        <f t="shared" si="168"/>
        <v>3.669434796176543E-12</v>
      </c>
      <c r="BH159" s="62">
        <f t="shared" si="116"/>
        <v>293.33333333333701</v>
      </c>
      <c r="BI159" s="62">
        <f ca="1">AVERAGE(OFFSET($BH$3,0,0,'Données projet'!$E$11+1,1))-AVERAGE(OFFSET($H$3,0,0,'Données projet'!$E$11+1,1))</f>
        <v>311.82072478731385</v>
      </c>
      <c r="BJ159" s="62">
        <f t="shared" si="146"/>
        <v>356.36714671797864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23.695494946763414</v>
      </c>
      <c r="BQ159" s="23">
        <f>EXP(-LN(2)/25)*BQ158+(1-EXP(-LN(2)/25))/(LN(2)/25)*Calculateur!BL159*Calculateur!BN159*VLOOKUP('Données projet'!$B$11,Paramètres!$A$1:$I$88,3,0)*0.475*44/12</f>
        <v>3.2545959292734832</v>
      </c>
      <c r="BR159" s="23">
        <f>EXP(-LN(2)/2)*BR158+(1-EXP(-LN(2)/2))/(LN(2)/2)*BL159*BO159*VLOOKUP('Données projet'!$B$11,Paramètres!$A$1:$I$88,3,0)*0.475*44/12</f>
        <v>1.0497845108979518E-13</v>
      </c>
      <c r="BS159" s="24">
        <f t="shared" si="169"/>
        <v>26.950090876037002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218.39403703215032</v>
      </c>
      <c r="CE159" s="62">
        <f t="shared" si="148"/>
        <v>254.08208375594052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21.249680691102185</v>
      </c>
      <c r="CL159" s="23">
        <f>EXP(-LN(2)/25)*CL158+(1-EXP(-LN(2)/25))/(LN(2)/25)*Calculateur!CG159*Calculateur!CI159*VLOOKUP('Données projet'!$B$12,Paramètres!$A$1:$I$88,3,0)*0.475*44/12</f>
        <v>1.9996577602992502</v>
      </c>
      <c r="CM159" s="23">
        <f>EXP(-LN(2)/2)*CM158+(1-EXP(-LN(2)/2))/(LN(2)/2)*CG159*CJ159*VLOOKUP('Données projet'!$B$12,Paramètres!$A$1:$I$88,3,0)*0.475*44/12</f>
        <v>7.3382796431981292E-14</v>
      </c>
      <c r="CN159" s="24">
        <f t="shared" si="172"/>
        <v>23.24933845140151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-2.8421709430404007E-13</v>
      </c>
      <c r="O160" s="14">
        <f>N160*VLOOKUP('Données projet'!$B$9,Paramètres!$A$1:$I$88,3,0)*VLOOKUP('Données projet'!$B$9,Paramètres!$A$1:$I$88,5,0)</f>
        <v>-2.5715962692629546E-13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373.09674935534343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62.015918191075684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62.015918191075684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projet'!$B$10,Paramètres!$A$1:$I$88,3,0)*VLOOKUP('Données projet'!$B$10,Paramètres!$A$1:$I$88,5,0)</f>
        <v>-1.6227659216383472E-13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509.66893546110458</v>
      </c>
      <c r="AO160" s="62">
        <f t="shared" si="144"/>
        <v>280.1645836141924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94.271652230538905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94.271652230538905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projet'!$B$11,Paramètres!$A$1:$I$88,3,0)*VLOOKUP('Données projet'!$B$11,Paramètres!$A$1:$I$88,5,0)</f>
        <v>1.3596945791505279E-13</v>
      </c>
      <c r="BF160" s="14">
        <f t="shared" si="167"/>
        <v>1.9708830566360721E-12</v>
      </c>
      <c r="BG160" s="22">
        <f t="shared" si="168"/>
        <v>3.669434796176543E-12</v>
      </c>
      <c r="BH160" s="62">
        <f t="shared" si="116"/>
        <v>293.33333333333701</v>
      </c>
      <c r="BI160" s="62">
        <f ca="1">AVERAGE(OFFSET($BH$3,0,0,'Données projet'!$E$11+1,1))-AVERAGE(OFFSET($H$3,0,0,'Données projet'!$E$11+1,1))</f>
        <v>311.82072478731385</v>
      </c>
      <c r="BJ160" s="62">
        <f t="shared" si="146"/>
        <v>356.36714671797864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23.230840743682204</v>
      </c>
      <c r="BQ160" s="23">
        <f>EXP(-LN(2)/25)*BQ159+(1-EXP(-LN(2)/25))/(LN(2)/25)*Calculateur!BL160*Calculateur!BN160*VLOOKUP('Données projet'!$B$11,Paramètres!$A$1:$I$88,3,0)*0.475*44/12</f>
        <v>3.1655988324357383</v>
      </c>
      <c r="BR160" s="23">
        <f>EXP(-LN(2)/2)*BR159+(1-EXP(-LN(2)/2))/(LN(2)/2)*BL160*BO160*VLOOKUP('Données projet'!$B$11,Paramètres!$A$1:$I$88,3,0)*0.475*44/12</f>
        <v>7.4230974644054484E-14</v>
      </c>
      <c r="BS160" s="24">
        <f t="shared" si="169"/>
        <v>26.396439576118016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218.39403703215032</v>
      </c>
      <c r="CE160" s="62">
        <f t="shared" si="148"/>
        <v>254.08208375594052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20.832987413775097</v>
      </c>
      <c r="CL160" s="23">
        <f>EXP(-LN(2)/25)*CL159+(1-EXP(-LN(2)/25))/(LN(2)/25)*Calculateur!CG160*Calculateur!CI160*VLOOKUP('Données projet'!$B$12,Paramètres!$A$1:$I$88,3,0)*0.475*44/12</f>
        <v>1.9449770136864359</v>
      </c>
      <c r="CM160" s="23">
        <f>EXP(-LN(2)/2)*CM159+(1-EXP(-LN(2)/2))/(LN(2)/2)*CG160*CJ160*VLOOKUP('Données projet'!$B$12,Paramètres!$A$1:$I$88,3,0)*0.475*44/12</f>
        <v>5.1889472979485957E-14</v>
      </c>
      <c r="CN160" s="24">
        <f t="shared" si="172"/>
        <v>22.777964427461587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-2.8421709430404007E-13</v>
      </c>
      <c r="O161" s="14">
        <f>N161*VLOOKUP('Données projet'!$B$9,Paramètres!$A$1:$I$88,3,0)*VLOOKUP('Données projet'!$B$9,Paramètres!$A$1:$I$88,5,0)</f>
        <v>-2.5715962692629546E-13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373.09674935534343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60.79982386132378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60.79982386132378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projet'!$B$10,Paramètres!$A$1:$I$88,3,0)*VLOOKUP('Données projet'!$B$10,Paramètres!$A$1:$I$88,5,0)</f>
        <v>-1.6227659216383472E-13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509.66893546110458</v>
      </c>
      <c r="AO161" s="62">
        <f t="shared" si="144"/>
        <v>280.1645836141924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92.42304263032824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92.42304263032824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projet'!$B$11,Paramètres!$A$1:$I$88,3,0)*VLOOKUP('Données projet'!$B$11,Paramètres!$A$1:$I$88,5,0)</f>
        <v>1.3596945791505279E-13</v>
      </c>
      <c r="BF161" s="14">
        <f t="shared" si="167"/>
        <v>1.9708830566360721E-12</v>
      </c>
      <c r="BG161" s="22">
        <f t="shared" si="168"/>
        <v>3.669434796176543E-12</v>
      </c>
      <c r="BH161" s="62">
        <f t="shared" si="116"/>
        <v>293.33333333333701</v>
      </c>
      <c r="BI161" s="62">
        <f ca="1">AVERAGE(OFFSET($BH$3,0,0,'Données projet'!$E$11+1,1))-AVERAGE(OFFSET($H$3,0,0,'Données projet'!$E$11+1,1))</f>
        <v>311.82072478731385</v>
      </c>
      <c r="BJ161" s="62">
        <f t="shared" si="146"/>
        <v>356.36714671797864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22.775298126112336</v>
      </c>
      <c r="BQ161" s="23">
        <f>EXP(-LN(2)/25)*BQ160+(1-EXP(-LN(2)/25))/(LN(2)/25)*Calculateur!BL161*Calculateur!BN161*VLOOKUP('Données projet'!$B$11,Paramètres!$A$1:$I$88,3,0)*0.475*44/12</f>
        <v>3.0790353658911753</v>
      </c>
      <c r="BR161" s="23">
        <f>EXP(-LN(2)/2)*BR160+(1-EXP(-LN(2)/2))/(LN(2)/2)*BL161*BO161*VLOOKUP('Données projet'!$B$11,Paramètres!$A$1:$I$88,3,0)*0.475*44/12</f>
        <v>5.2489225544897592E-14</v>
      </c>
      <c r="BS161" s="24">
        <f t="shared" si="169"/>
        <v>25.854333492003565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218.39403703215032</v>
      </c>
      <c r="CE161" s="62">
        <f t="shared" si="148"/>
        <v>254.08208375594052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20.424465237458591</v>
      </c>
      <c r="CL161" s="23">
        <f>EXP(-LN(2)/25)*CL160+(1-EXP(-LN(2)/25))/(LN(2)/25)*Calculateur!CG161*Calculateur!CI161*VLOOKUP('Données projet'!$B$12,Paramètres!$A$1:$I$88,3,0)*0.475*44/12</f>
        <v>1.8917915149652844</v>
      </c>
      <c r="CM161" s="23">
        <f>EXP(-LN(2)/2)*CM160+(1-EXP(-LN(2)/2))/(LN(2)/2)*CG161*CJ161*VLOOKUP('Données projet'!$B$12,Paramètres!$A$1:$I$88,3,0)*0.475*44/12</f>
        <v>3.6691398215990646E-14</v>
      </c>
      <c r="CN161" s="24">
        <f t="shared" si="172"/>
        <v>22.316256752423911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-2.8421709430404007E-13</v>
      </c>
      <c r="O162" s="14">
        <f>N162*VLOOKUP('Données projet'!$B$9,Paramètres!$A$1:$I$88,3,0)*VLOOKUP('Données projet'!$B$9,Paramètres!$A$1:$I$88,5,0)</f>
        <v>-2.5715962692629546E-13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373.09674935534343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59.607576399634013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59.607576399634013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projet'!$B$10,Paramètres!$A$1:$I$88,3,0)*VLOOKUP('Données projet'!$B$10,Paramètres!$A$1:$I$88,5,0)</f>
        <v>-1.6227659216383472E-13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509.66893546110458</v>
      </c>
      <c r="AO162" s="62">
        <f t="shared" si="144"/>
        <v>280.1645836141924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90.610683136837181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90.610683136837181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projet'!$B$11,Paramètres!$A$1:$I$88,3,0)*VLOOKUP('Données projet'!$B$11,Paramètres!$A$1:$I$88,5,0)</f>
        <v>1.3596945791505279E-13</v>
      </c>
      <c r="BF162" s="14">
        <f t="shared" si="167"/>
        <v>1.9708830566360721E-12</v>
      </c>
      <c r="BG162" s="22">
        <f t="shared" si="168"/>
        <v>3.669434796176543E-12</v>
      </c>
      <c r="BH162" s="62">
        <f t="shared" si="116"/>
        <v>293.33333333333701</v>
      </c>
      <c r="BI162" s="62">
        <f ca="1">AVERAGE(OFFSET($BH$3,0,0,'Données projet'!$E$11+1,1))-AVERAGE(OFFSET($H$3,0,0,'Données projet'!$E$11+1,1))</f>
        <v>311.82072478731385</v>
      </c>
      <c r="BJ162" s="62">
        <f t="shared" si="146"/>
        <v>356.36714671797864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22.328688421419454</v>
      </c>
      <c r="BQ162" s="23">
        <f>EXP(-LN(2)/25)*BQ161+(1-EXP(-LN(2)/25))/(LN(2)/25)*Calculateur!BL162*Calculateur!BN162*VLOOKUP('Données projet'!$B$11,Paramètres!$A$1:$I$88,3,0)*0.475*44/12</f>
        <v>2.9948389818914483</v>
      </c>
      <c r="BR162" s="23">
        <f>EXP(-LN(2)/2)*BR161+(1-EXP(-LN(2)/2))/(LN(2)/2)*BL162*BO162*VLOOKUP('Données projet'!$B$11,Paramètres!$A$1:$I$88,3,0)*0.475*44/12</f>
        <v>3.7115487322027242E-14</v>
      </c>
      <c r="BS162" s="24">
        <f t="shared" si="169"/>
        <v>25.323527403310937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218.39403703215032</v>
      </c>
      <c r="CE162" s="62">
        <f t="shared" si="148"/>
        <v>254.08208375594052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20.023953931845728</v>
      </c>
      <c r="CL162" s="23">
        <f>EXP(-LN(2)/25)*CL161+(1-EXP(-LN(2)/25))/(LN(2)/25)*Calculateur!CG162*Calculateur!CI162*VLOOKUP('Données projet'!$B$12,Paramètres!$A$1:$I$88,3,0)*0.475*44/12</f>
        <v>1.8400603765035668</v>
      </c>
      <c r="CM162" s="23">
        <f>EXP(-LN(2)/2)*CM161+(1-EXP(-LN(2)/2))/(LN(2)/2)*CG162*CJ162*VLOOKUP('Données projet'!$B$12,Paramètres!$A$1:$I$88,3,0)*0.475*44/12</f>
        <v>2.5944736489742978E-14</v>
      </c>
      <c r="CN162" s="24">
        <f t="shared" si="172"/>
        <v>21.864014308349319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-2.8421709430404007E-13</v>
      </c>
      <c r="O163" s="14">
        <f>N163*VLOOKUP('Données projet'!$B$9,Paramètres!$A$1:$I$88,3,0)*VLOOKUP('Données projet'!$B$9,Paramètres!$A$1:$I$88,5,0)</f>
        <v>-2.5715962692629546E-13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373.09674935534343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58.438708183468833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58.438708183468833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projet'!$B$10,Paramètres!$A$1:$I$88,3,0)*VLOOKUP('Données projet'!$B$10,Paramètres!$A$1:$I$88,5,0)</f>
        <v>-1.6227659216383472E-13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509.66893546110458</v>
      </c>
      <c r="AO163" s="62">
        <f t="shared" si="144"/>
        <v>280.1645836141924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88.833862907583352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88.833862907583352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projet'!$B$11,Paramètres!$A$1:$I$88,3,0)*VLOOKUP('Données projet'!$B$11,Paramètres!$A$1:$I$88,5,0)</f>
        <v>1.3596945791505279E-13</v>
      </c>
      <c r="BF163" s="14">
        <f t="shared" si="167"/>
        <v>1.9708830566360721E-12</v>
      </c>
      <c r="BG163" s="22">
        <f t="shared" si="168"/>
        <v>3.669434796176543E-12</v>
      </c>
      <c r="BH163" s="62">
        <f t="shared" si="116"/>
        <v>293.33333333333701</v>
      </c>
      <c r="BI163" s="62">
        <f ca="1">AVERAGE(OFFSET($BH$3,0,0,'Données projet'!$E$11+1,1))-AVERAGE(OFFSET($H$3,0,0,'Données projet'!$E$11+1,1))</f>
        <v>311.82072478731385</v>
      </c>
      <c r="BJ163" s="62">
        <f t="shared" si="146"/>
        <v>356.36714671797864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21.890836460630574</v>
      </c>
      <c r="BQ163" s="23">
        <f>EXP(-LN(2)/25)*BQ162+(1-EXP(-LN(2)/25))/(LN(2)/25)*Calculateur!BL163*Calculateur!BN163*VLOOKUP('Données projet'!$B$11,Paramètres!$A$1:$I$88,3,0)*0.475*44/12</f>
        <v>2.9129449524398892</v>
      </c>
      <c r="BR163" s="23">
        <f>EXP(-LN(2)/2)*BR162+(1-EXP(-LN(2)/2))/(LN(2)/2)*BL163*BO163*VLOOKUP('Données projet'!$B$11,Paramètres!$A$1:$I$88,3,0)*0.475*44/12</f>
        <v>2.6244612772448796E-14</v>
      </c>
      <c r="BS163" s="24">
        <f t="shared" si="169"/>
        <v>24.803781413070489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218.39403703215032</v>
      </c>
      <c r="CE163" s="62">
        <f t="shared" si="148"/>
        <v>254.08208375594052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19.631296408648158</v>
      </c>
      <c r="CL163" s="23">
        <f>EXP(-LN(2)/25)*CL162+(1-EXP(-LN(2)/25))/(LN(2)/25)*Calculateur!CG163*Calculateur!CI163*VLOOKUP('Données projet'!$B$12,Paramètres!$A$1:$I$88,3,0)*0.475*44/12</f>
        <v>1.789743828743507</v>
      </c>
      <c r="CM163" s="23">
        <f>EXP(-LN(2)/2)*CM162+(1-EXP(-LN(2)/2))/(LN(2)/2)*CG163*CJ163*VLOOKUP('Données projet'!$B$12,Paramètres!$A$1:$I$88,3,0)*0.475*44/12</f>
        <v>1.8345699107995323E-14</v>
      </c>
      <c r="CN163" s="24">
        <f t="shared" si="172"/>
        <v>21.421040237391683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-2.8421709430404007E-13</v>
      </c>
      <c r="O164" s="14">
        <f>N164*VLOOKUP('Données projet'!$B$9,Paramètres!$A$1:$I$88,3,0)*VLOOKUP('Données projet'!$B$9,Paramètres!$A$1:$I$88,5,0)</f>
        <v>-2.5715962692629546E-13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373.09674935534343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57.292760760083439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57.292760760083439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projet'!$B$10,Paramètres!$A$1:$I$88,3,0)*VLOOKUP('Données projet'!$B$10,Paramètres!$A$1:$I$88,5,0)</f>
        <v>-1.6227659216383472E-13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509.66893546110458</v>
      </c>
      <c r="AO164" s="62">
        <f t="shared" si="144"/>
        <v>280.1645836141924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87.091885039271858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87.091885039271858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projet'!$B$11,Paramètres!$A$1:$I$88,3,0)*VLOOKUP('Données projet'!$B$11,Paramètres!$A$1:$I$88,5,0)</f>
        <v>1.3596945791505279E-13</v>
      </c>
      <c r="BF164" s="14">
        <f t="shared" si="167"/>
        <v>1.9708830566360721E-12</v>
      </c>
      <c r="BG164" s="22">
        <f t="shared" si="168"/>
        <v>3.669434796176543E-12</v>
      </c>
      <c r="BH164" s="62">
        <f t="shared" si="116"/>
        <v>293.33333333333701</v>
      </c>
      <c r="BI164" s="62">
        <f ca="1">AVERAGE(OFFSET($BH$3,0,0,'Données projet'!$E$11+1,1))-AVERAGE(OFFSET($H$3,0,0,'Données projet'!$E$11+1,1))</f>
        <v>311.82072478731385</v>
      </c>
      <c r="BJ164" s="62">
        <f t="shared" si="146"/>
        <v>356.36714671797864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21.461570509729441</v>
      </c>
      <c r="BQ164" s="23">
        <f>EXP(-LN(2)/25)*BQ163+(1-EXP(-LN(2)/25))/(LN(2)/25)*Calculateur!BL164*Calculateur!BN164*VLOOKUP('Données projet'!$B$11,Paramètres!$A$1:$I$88,3,0)*0.475*44/12</f>
        <v>2.833290319530303</v>
      </c>
      <c r="BR164" s="23">
        <f>EXP(-LN(2)/2)*BR163+(1-EXP(-LN(2)/2))/(LN(2)/2)*BL164*BO164*VLOOKUP('Données projet'!$B$11,Paramètres!$A$1:$I$88,3,0)*0.475*44/12</f>
        <v>1.8557743661013621E-14</v>
      </c>
      <c r="BS164" s="24">
        <f t="shared" si="169"/>
        <v>24.294860829259761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218.39403703215032</v>
      </c>
      <c r="CE164" s="62">
        <f t="shared" si="148"/>
        <v>254.08208375594052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19.246338659983053</v>
      </c>
      <c r="CL164" s="23">
        <f>EXP(-LN(2)/25)*CL163+(1-EXP(-LN(2)/25))/(LN(2)/25)*Calculateur!CG164*Calculateur!CI164*VLOOKUP('Données projet'!$B$12,Paramètres!$A$1:$I$88,3,0)*0.475*44/12</f>
        <v>1.7408031896279783</v>
      </c>
      <c r="CM164" s="23">
        <f>EXP(-LN(2)/2)*CM163+(1-EXP(-LN(2)/2))/(LN(2)/2)*CG164*CJ164*VLOOKUP('Données projet'!$B$12,Paramètres!$A$1:$I$88,3,0)*0.475*44/12</f>
        <v>1.2972368244871489E-14</v>
      </c>
      <c r="CN164" s="24">
        <f t="shared" si="172"/>
        <v>20.987141849611046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-2.8421709430404007E-13</v>
      </c>
      <c r="O165" s="14">
        <f>N165*VLOOKUP('Données projet'!$B$9,Paramètres!$A$1:$I$88,3,0)*VLOOKUP('Données projet'!$B$9,Paramètres!$A$1:$I$88,5,0)</f>
        <v>-2.5715962692629546E-13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373.09674935534343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56.169284666711718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56.169284666711718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projet'!$B$10,Paramètres!$A$1:$I$88,3,0)*VLOOKUP('Données projet'!$B$10,Paramètres!$A$1:$I$88,5,0)</f>
        <v>-1.6227659216383472E-13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509.66893546110458</v>
      </c>
      <c r="AO165" s="62">
        <f t="shared" si="144"/>
        <v>280.1645836141924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85.38406629445636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85.38406629445636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projet'!$B$11,Paramètres!$A$1:$I$88,3,0)*VLOOKUP('Données projet'!$B$11,Paramètres!$A$1:$I$88,5,0)</f>
        <v>1.3596945791505279E-13</v>
      </c>
      <c r="BF165" s="14">
        <f t="shared" si="167"/>
        <v>1.9708830566360721E-12</v>
      </c>
      <c r="BG165" s="22">
        <f t="shared" si="168"/>
        <v>3.669434796176543E-12</v>
      </c>
      <c r="BH165" s="62">
        <f t="shared" si="116"/>
        <v>293.33333333333701</v>
      </c>
      <c r="BI165" s="62">
        <f ca="1">AVERAGE(OFFSET($BH$3,0,0,'Données projet'!$E$11+1,1))-AVERAGE(OFFSET($H$3,0,0,'Données projet'!$E$11+1,1))</f>
        <v>311.82072478731385</v>
      </c>
      <c r="BJ165" s="62">
        <f t="shared" si="146"/>
        <v>356.36714671797864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21.040722202299101</v>
      </c>
      <c r="BQ165" s="23">
        <f>EXP(-LN(2)/25)*BQ164+(1-EXP(-LN(2)/25))/(LN(2)/25)*Calculateur!BL165*Calculateur!BN165*VLOOKUP('Données projet'!$B$11,Paramètres!$A$1:$I$88,3,0)*0.475*44/12</f>
        <v>2.7558138467464843</v>
      </c>
      <c r="BR165" s="23">
        <f>EXP(-LN(2)/2)*BR164+(1-EXP(-LN(2)/2))/(LN(2)/2)*BL165*BO165*VLOOKUP('Données projet'!$B$11,Paramètres!$A$1:$I$88,3,0)*0.475*44/12</f>
        <v>1.3122306386224398E-14</v>
      </c>
      <c r="BS165" s="24">
        <f t="shared" si="169"/>
        <v>23.796536049045599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218.39403703215032</v>
      </c>
      <c r="CE165" s="62">
        <f t="shared" si="148"/>
        <v>254.08208375594052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18.868929697968227</v>
      </c>
      <c r="CL165" s="23">
        <f>EXP(-LN(2)/25)*CL164+(1-EXP(-LN(2)/25))/(LN(2)/25)*Calculateur!CG165*Calculateur!CI165*VLOOKUP('Données projet'!$B$12,Paramètres!$A$1:$I$88,3,0)*0.475*44/12</f>
        <v>1.6932008348627401</v>
      </c>
      <c r="CM165" s="23">
        <f>EXP(-LN(2)/2)*CM164+(1-EXP(-LN(2)/2))/(LN(2)/2)*CG165*CJ165*VLOOKUP('Données projet'!$B$12,Paramètres!$A$1:$I$88,3,0)*0.475*44/12</f>
        <v>9.1728495539976615E-15</v>
      </c>
      <c r="CN165" s="24">
        <f t="shared" si="172"/>
        <v>20.562130532830977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-2.8421709430404007E-13</v>
      </c>
      <c r="O166" s="14">
        <f>N166*VLOOKUP('Données projet'!$B$9,Paramètres!$A$1:$I$88,3,0)*VLOOKUP('Données projet'!$B$9,Paramètres!$A$1:$I$88,5,0)</f>
        <v>-2.5715962692629546E-13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373.09674935534343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55.067839254278269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55.067839254278269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projet'!$B$10,Paramètres!$A$1:$I$88,3,0)*VLOOKUP('Données projet'!$B$10,Paramètres!$A$1:$I$88,5,0)</f>
        <v>-1.6227659216383472E-13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509.66893546110458</v>
      </c>
      <c r="AO166" s="62">
        <f t="shared" si="144"/>
        <v>280.1645836141924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83.709736833560129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83.709736833560129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projet'!$B$11,Paramètres!$A$1:$I$88,3,0)*VLOOKUP('Données projet'!$B$11,Paramètres!$A$1:$I$88,5,0)</f>
        <v>1.3596945791505279E-13</v>
      </c>
      <c r="BF166" s="14">
        <f t="shared" si="167"/>
        <v>1.9708830566360721E-12</v>
      </c>
      <c r="BG166" s="22">
        <f t="shared" si="168"/>
        <v>3.669434796176543E-12</v>
      </c>
      <c r="BH166" s="62">
        <f t="shared" si="116"/>
        <v>293.33333333333701</v>
      </c>
      <c r="BI166" s="62">
        <f ca="1">AVERAGE(OFFSET($BH$3,0,0,'Données projet'!$E$11+1,1))-AVERAGE(OFFSET($H$3,0,0,'Données projet'!$E$11+1,1))</f>
        <v>311.82072478731385</v>
      </c>
      <c r="BJ166" s="62">
        <f t="shared" si="146"/>
        <v>356.36714671797864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20.628126473485349</v>
      </c>
      <c r="BQ166" s="23">
        <f>EXP(-LN(2)/25)*BQ165+(1-EXP(-LN(2)/25))/(LN(2)/25)*Calculateur!BL166*Calculateur!BN166*VLOOKUP('Données projet'!$B$11,Paramètres!$A$1:$I$88,3,0)*0.475*44/12</f>
        <v>2.6804559721852499</v>
      </c>
      <c r="BR166" s="23">
        <f>EXP(-LN(2)/2)*BR165+(1-EXP(-LN(2)/2))/(LN(2)/2)*BL166*BO166*VLOOKUP('Données projet'!$B$11,Paramètres!$A$1:$I$88,3,0)*0.475*44/12</f>
        <v>9.2788718305068105E-15</v>
      </c>
      <c r="BS166" s="24">
        <f t="shared" si="169"/>
        <v>23.308582445670609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218.39403703215032</v>
      </c>
      <c r="CE166" s="62">
        <f t="shared" si="148"/>
        <v>254.08208375594052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18.498921495501776</v>
      </c>
      <c r="CL166" s="23">
        <f>EXP(-LN(2)/25)*CL165+(1-EXP(-LN(2)/25))/(LN(2)/25)*Calculateur!CG166*Calculateur!CI166*VLOOKUP('Données projet'!$B$12,Paramètres!$A$1:$I$88,3,0)*0.475*44/12</f>
        <v>1.6469001689918563</v>
      </c>
      <c r="CM166" s="23">
        <f>EXP(-LN(2)/2)*CM165+(1-EXP(-LN(2)/2))/(LN(2)/2)*CG166*CJ166*VLOOKUP('Données projet'!$B$12,Paramètres!$A$1:$I$88,3,0)*0.475*44/12</f>
        <v>6.4861841224357446E-15</v>
      </c>
      <c r="CN166" s="24">
        <f t="shared" si="172"/>
        <v>20.145821664493639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-2.8421709430404007E-13</v>
      </c>
      <c r="O167" s="14">
        <f>N167*VLOOKUP('Données projet'!$B$9,Paramètres!$A$1:$I$88,3,0)*VLOOKUP('Données projet'!$B$9,Paramètres!$A$1:$I$88,5,0)</f>
        <v>-2.5715962692629546E-13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373.09674935534343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53.987992514567274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53.987992514567274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projet'!$B$10,Paramètres!$A$1:$I$88,3,0)*VLOOKUP('Données projet'!$B$10,Paramètres!$A$1:$I$88,5,0)</f>
        <v>-1.6227659216383472E-13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509.66893546110458</v>
      </c>
      <c r="AO167" s="62">
        <f t="shared" si="144"/>
        <v>280.1645836141924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82.068239952151941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82.068239952151941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projet'!$B$11,Paramètres!$A$1:$I$88,3,0)*VLOOKUP('Données projet'!$B$11,Paramètres!$A$1:$I$88,5,0)</f>
        <v>1.3596945791505279E-13</v>
      </c>
      <c r="BF167" s="14">
        <f t="shared" si="167"/>
        <v>1.9708830566360721E-12</v>
      </c>
      <c r="BG167" s="22">
        <f t="shared" si="168"/>
        <v>3.669434796176543E-12</v>
      </c>
      <c r="BH167" s="62">
        <f t="shared" si="116"/>
        <v>293.33333333333701</v>
      </c>
      <c r="BI167" s="62">
        <f ca="1">AVERAGE(OFFSET($BH$3,0,0,'Données projet'!$E$11+1,1))-AVERAGE(OFFSET($H$3,0,0,'Données projet'!$E$11+1,1))</f>
        <v>311.82072478731385</v>
      </c>
      <c r="BJ167" s="62">
        <f t="shared" si="146"/>
        <v>356.36714671797864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20.223621495255088</v>
      </c>
      <c r="BQ167" s="23">
        <f>EXP(-LN(2)/25)*BQ166+(1-EXP(-LN(2)/25))/(LN(2)/25)*Calculateur!BL167*Calculateur!BN167*VLOOKUP('Données projet'!$B$11,Paramètres!$A$1:$I$88,3,0)*0.475*44/12</f>
        <v>2.6071587626667911</v>
      </c>
      <c r="BR167" s="23">
        <f>EXP(-LN(2)/2)*BR166+(1-EXP(-LN(2)/2))/(LN(2)/2)*BL167*BO167*VLOOKUP('Données projet'!$B$11,Paramètres!$A$1:$I$88,3,0)*0.475*44/12</f>
        <v>6.561153193112199E-15</v>
      </c>
      <c r="BS167" s="24">
        <f t="shared" si="169"/>
        <v>22.830780257921887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218.39403703215032</v>
      </c>
      <c r="CE167" s="62">
        <f t="shared" si="148"/>
        <v>254.08208375594052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18.136168928202974</v>
      </c>
      <c r="CL167" s="23">
        <f>EXP(-LN(2)/25)*CL166+(1-EXP(-LN(2)/25))/(LN(2)/25)*Calculateur!CG167*Calculateur!CI167*VLOOKUP('Données projet'!$B$12,Paramètres!$A$1:$I$88,3,0)*0.475*44/12</f>
        <v>1.6018655972640581</v>
      </c>
      <c r="CM167" s="23">
        <f>EXP(-LN(2)/2)*CM166+(1-EXP(-LN(2)/2))/(LN(2)/2)*CG167*CJ167*VLOOKUP('Données projet'!$B$12,Paramètres!$A$1:$I$88,3,0)*0.475*44/12</f>
        <v>4.5864247769988308E-15</v>
      </c>
      <c r="CN167" s="24">
        <f t="shared" si="172"/>
        <v>19.738034525467036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-2.8421709430404007E-13</v>
      </c>
      <c r="O168" s="14">
        <f>N168*VLOOKUP('Données projet'!$B$9,Paramètres!$A$1:$I$88,3,0)*VLOOKUP('Données projet'!$B$9,Paramètres!$A$1:$I$88,5,0)</f>
        <v>-2.5715962692629546E-13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373.09674935534343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52.929320910780532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52.929320910780532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projet'!$B$10,Paramètres!$A$1:$I$88,3,0)*VLOOKUP('Données projet'!$B$10,Paramètres!$A$1:$I$88,5,0)</f>
        <v>-1.6227659216383472E-13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509.66893546110458</v>
      </c>
      <c r="AO168" s="62">
        <f t="shared" si="144"/>
        <v>280.1645836141924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80.458931823373931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80.458931823373931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projet'!$B$11,Paramètres!$A$1:$I$88,3,0)*VLOOKUP('Données projet'!$B$11,Paramètres!$A$1:$I$88,5,0)</f>
        <v>1.3596945791505279E-13</v>
      </c>
      <c r="BF168" s="14">
        <f t="shared" si="167"/>
        <v>1.9708830566360721E-12</v>
      </c>
      <c r="BG168" s="22">
        <f t="shared" si="168"/>
        <v>3.669434796176543E-12</v>
      </c>
      <c r="BH168" s="62">
        <f t="shared" si="116"/>
        <v>293.33333333333701</v>
      </c>
      <c r="BI168" s="62">
        <f ca="1">AVERAGE(OFFSET($BH$3,0,0,'Données projet'!$E$11+1,1))-AVERAGE(OFFSET($H$3,0,0,'Données projet'!$E$11+1,1))</f>
        <v>311.82072478731385</v>
      </c>
      <c r="BJ168" s="62">
        <f t="shared" si="146"/>
        <v>356.36714671797864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19.827048612924248</v>
      </c>
      <c r="BQ168" s="23">
        <f>EXP(-LN(2)/25)*BQ167+(1-EXP(-LN(2)/25))/(LN(2)/25)*Calculateur!BL168*Calculateur!BN168*VLOOKUP('Données projet'!$B$11,Paramètres!$A$1:$I$88,3,0)*0.475*44/12</f>
        <v>2.535865869197147</v>
      </c>
      <c r="BR168" s="23">
        <f>EXP(-LN(2)/2)*BR167+(1-EXP(-LN(2)/2))/(LN(2)/2)*BL168*BO168*VLOOKUP('Données projet'!$B$11,Paramètres!$A$1:$I$88,3,0)*0.475*44/12</f>
        <v>4.6394359152534053E-15</v>
      </c>
      <c r="BS168" s="24">
        <f t="shared" si="169"/>
        <v>22.362914482121397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218.39403703215032</v>
      </c>
      <c r="CE168" s="62">
        <f t="shared" si="148"/>
        <v>254.08208375594052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17.780529717491682</v>
      </c>
      <c r="CL168" s="23">
        <f>EXP(-LN(2)/25)*CL167+(1-EXP(-LN(2)/25))/(LN(2)/25)*Calculateur!CG168*Calculateur!CI168*VLOOKUP('Données projet'!$B$12,Paramètres!$A$1:$I$88,3,0)*0.475*44/12</f>
        <v>1.5580624982684217</v>
      </c>
      <c r="CM168" s="23">
        <f>EXP(-LN(2)/2)*CM167+(1-EXP(-LN(2)/2))/(LN(2)/2)*CG168*CJ168*VLOOKUP('Données projet'!$B$12,Paramètres!$A$1:$I$88,3,0)*0.475*44/12</f>
        <v>3.2430920612178723E-15</v>
      </c>
      <c r="CN168" s="24">
        <f t="shared" si="172"/>
        <v>19.338592215760105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-2.8421709430404007E-13</v>
      </c>
      <c r="O169" s="14">
        <f>N169*VLOOKUP('Données projet'!$B$9,Paramètres!$A$1:$I$88,3,0)*VLOOKUP('Données projet'!$B$9,Paramètres!$A$1:$I$88,5,0)</f>
        <v>-2.5715962692629546E-13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373.09674935534343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51.891409211418129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51.891409211418129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projet'!$B$10,Paramètres!$A$1:$I$88,3,0)*VLOOKUP('Données projet'!$B$10,Paramètres!$A$1:$I$88,5,0)</f>
        <v>-1.6227659216383472E-13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509.66893546110458</v>
      </c>
      <c r="AO169" s="62">
        <f t="shared" si="144"/>
        <v>280.1645836141924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78.881181245420223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78.881181245420223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projet'!$B$11,Paramètres!$A$1:$I$88,3,0)*VLOOKUP('Données projet'!$B$11,Paramètres!$A$1:$I$88,5,0)</f>
        <v>1.3596945791505279E-13</v>
      </c>
      <c r="BF169" s="14">
        <f t="shared" si="167"/>
        <v>1.9708830566360721E-12</v>
      </c>
      <c r="BG169" s="22">
        <f t="shared" si="168"/>
        <v>3.669434796176543E-12</v>
      </c>
      <c r="BH169" s="62">
        <f t="shared" si="116"/>
        <v>293.33333333333701</v>
      </c>
      <c r="BI169" s="62">
        <f ca="1">AVERAGE(OFFSET($BH$3,0,0,'Données projet'!$E$11+1,1))-AVERAGE(OFFSET($H$3,0,0,'Données projet'!$E$11+1,1))</f>
        <v>311.82072478731385</v>
      </c>
      <c r="BJ169" s="62">
        <f t="shared" si="146"/>
        <v>356.36714671797864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19.438252282930343</v>
      </c>
      <c r="BQ169" s="23">
        <f>EXP(-LN(2)/25)*BQ168+(1-EXP(-LN(2)/25))/(LN(2)/25)*Calculateur!BL169*Calculateur!BN169*VLOOKUP('Données projet'!$B$11,Paramètres!$A$1:$I$88,3,0)*0.475*44/12</f>
        <v>2.4665224836485606</v>
      </c>
      <c r="BR169" s="23">
        <f>EXP(-LN(2)/2)*BR168+(1-EXP(-LN(2)/2))/(LN(2)/2)*BL169*BO169*VLOOKUP('Données projet'!$B$11,Paramètres!$A$1:$I$88,3,0)*0.475*44/12</f>
        <v>3.2805765965560995E-15</v>
      </c>
      <c r="BS169" s="24">
        <f t="shared" si="169"/>
        <v>21.904774766578907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218.39403703215032</v>
      </c>
      <c r="CE169" s="62">
        <f t="shared" si="148"/>
        <v>254.08208375594052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17.431864374783938</v>
      </c>
      <c r="CL169" s="23">
        <f>EXP(-LN(2)/25)*CL168+(1-EXP(-LN(2)/25))/(LN(2)/25)*Calculateur!CG169*Calculateur!CI169*VLOOKUP('Données projet'!$B$12,Paramètres!$A$1:$I$88,3,0)*0.475*44/12</f>
        <v>1.515457197318326</v>
      </c>
      <c r="CM169" s="23">
        <f>EXP(-LN(2)/2)*CM168+(1-EXP(-LN(2)/2))/(LN(2)/2)*CG169*CJ169*VLOOKUP('Données projet'!$B$12,Paramètres!$A$1:$I$88,3,0)*0.475*44/12</f>
        <v>2.2932123884994154E-15</v>
      </c>
      <c r="CN169" s="24">
        <f t="shared" si="172"/>
        <v>18.947321572102268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-2.8421709430404007E-13</v>
      </c>
      <c r="O170" s="14">
        <f>N170*VLOOKUP('Données projet'!$B$9,Paramètres!$A$1:$I$88,3,0)*VLOOKUP('Données projet'!$B$9,Paramètres!$A$1:$I$88,5,0)</f>
        <v>-2.5715962692629546E-13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373.09674935534343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50.873850327416598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50.873850327416598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projet'!$B$10,Paramètres!$A$1:$I$88,3,0)*VLOOKUP('Données projet'!$B$10,Paramètres!$A$1:$I$88,5,0)</f>
        <v>-1.6227659216383472E-13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509.66893546110458</v>
      </c>
      <c r="AO170" s="62">
        <f t="shared" si="144"/>
        <v>280.1645836141924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77.33436939396735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77.33436939396735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projet'!$B$11,Paramètres!$A$1:$I$88,3,0)*VLOOKUP('Données projet'!$B$11,Paramètres!$A$1:$I$88,5,0)</f>
        <v>1.3596945791505279E-13</v>
      </c>
      <c r="BF170" s="14">
        <f t="shared" si="167"/>
        <v>1.9708830566360721E-12</v>
      </c>
      <c r="BG170" s="22">
        <f t="shared" si="168"/>
        <v>3.669434796176543E-12</v>
      </c>
      <c r="BH170" s="62">
        <f t="shared" si="116"/>
        <v>293.33333333333701</v>
      </c>
      <c r="BI170" s="62">
        <f ca="1">AVERAGE(OFFSET($BH$3,0,0,'Données projet'!$E$11+1,1))-AVERAGE(OFFSET($H$3,0,0,'Données projet'!$E$11+1,1))</f>
        <v>311.82072478731385</v>
      </c>
      <c r="BJ170" s="62">
        <f t="shared" si="146"/>
        <v>356.36714671797864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19.057080011825271</v>
      </c>
      <c r="BQ170" s="23">
        <f>EXP(-LN(2)/25)*BQ169+(1-EXP(-LN(2)/25))/(LN(2)/25)*Calculateur!BL170*Calculateur!BN170*VLOOKUP('Données projet'!$B$11,Paramètres!$A$1:$I$88,3,0)*0.475*44/12</f>
        <v>2.3990752966244107</v>
      </c>
      <c r="BR170" s="23">
        <f>EXP(-LN(2)/2)*BR169+(1-EXP(-LN(2)/2))/(LN(2)/2)*BL170*BO170*VLOOKUP('Données projet'!$B$11,Paramètres!$A$1:$I$88,3,0)*0.475*44/12</f>
        <v>2.3197179576267026E-15</v>
      </c>
      <c r="BS170" s="24">
        <f t="shared" si="169"/>
        <v>21.456155308449684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218.39403703215032</v>
      </c>
      <c r="CE170" s="62">
        <f t="shared" si="148"/>
        <v>254.08208375594052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17.090036146781834</v>
      </c>
      <c r="CL170" s="23">
        <f>EXP(-LN(2)/25)*CL169+(1-EXP(-LN(2)/25))/(LN(2)/25)*Calculateur!CG170*Calculateur!CI170*VLOOKUP('Données projet'!$B$12,Paramètres!$A$1:$I$88,3,0)*0.475*44/12</f>
        <v>1.474016940563226</v>
      </c>
      <c r="CM170" s="23">
        <f>EXP(-LN(2)/2)*CM169+(1-EXP(-LN(2)/2))/(LN(2)/2)*CG170*CJ170*VLOOKUP('Données projet'!$B$12,Paramètres!$A$1:$I$88,3,0)*0.475*44/12</f>
        <v>1.6215460306089361E-15</v>
      </c>
      <c r="CN170" s="24">
        <f t="shared" si="172"/>
        <v>18.564053087345059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-2.8421709430404007E-13</v>
      </c>
      <c r="O171" s="14">
        <f>N171*VLOOKUP('Données projet'!$B$9,Paramètres!$A$1:$I$88,3,0)*VLOOKUP('Données projet'!$B$9,Paramètres!$A$1:$I$88,5,0)</f>
        <v>-2.5715962692629546E-13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373.09674935534343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49.876245152480699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49.876245152480699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projet'!$B$10,Paramètres!$A$1:$I$88,3,0)*VLOOKUP('Données projet'!$B$10,Paramètres!$A$1:$I$88,5,0)</f>
        <v>-1.6227659216383472E-13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509.66893546110458</v>
      </c>
      <c r="AO171" s="62">
        <f t="shared" si="144"/>
        <v>280.1645836141924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75.817889579459404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75.817889579459404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projet'!$B$11,Paramètres!$A$1:$I$88,3,0)*VLOOKUP('Données projet'!$B$11,Paramètres!$A$1:$I$88,5,0)</f>
        <v>1.3596945791505279E-13</v>
      </c>
      <c r="BF171" s="14">
        <f t="shared" si="167"/>
        <v>1.9708830566360721E-12</v>
      </c>
      <c r="BG171" s="22">
        <f t="shared" si="168"/>
        <v>3.669434796176543E-12</v>
      </c>
      <c r="BH171" s="62">
        <f t="shared" si="116"/>
        <v>293.33333333333701</v>
      </c>
      <c r="BI171" s="62">
        <f ca="1">AVERAGE(OFFSET($BH$3,0,0,'Données projet'!$E$11+1,1))-AVERAGE(OFFSET($H$3,0,0,'Données projet'!$E$11+1,1))</f>
        <v>311.82072478731385</v>
      </c>
      <c r="BJ171" s="62">
        <f t="shared" si="146"/>
        <v>356.36714671797864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18.68338229646444</v>
      </c>
      <c r="BQ171" s="23">
        <f>EXP(-LN(2)/25)*BQ170+(1-EXP(-LN(2)/25))/(LN(2)/25)*Calculateur!BL171*Calculateur!BN171*VLOOKUP('Données projet'!$B$11,Paramètres!$A$1:$I$88,3,0)*0.475*44/12</f>
        <v>2.3334724564763296</v>
      </c>
      <c r="BR171" s="23">
        <f>EXP(-LN(2)/2)*BR170+(1-EXP(-LN(2)/2))/(LN(2)/2)*BL171*BO171*VLOOKUP('Données projet'!$B$11,Paramètres!$A$1:$I$88,3,0)*0.475*44/12</f>
        <v>1.6402882982780498E-15</v>
      </c>
      <c r="BS171" s="24">
        <f t="shared" si="169"/>
        <v>21.01685475294077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218.39403703215032</v>
      </c>
      <c r="CE171" s="62">
        <f t="shared" si="148"/>
        <v>254.08208375594052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16.754910961836217</v>
      </c>
      <c r="CL171" s="23">
        <f>EXP(-LN(2)/25)*CL170+(1-EXP(-LN(2)/25))/(LN(2)/25)*Calculateur!CG171*Calculateur!CI171*VLOOKUP('Données projet'!$B$12,Paramètres!$A$1:$I$88,3,0)*0.475*44/12</f>
        <v>1.4337098698083426</v>
      </c>
      <c r="CM171" s="23">
        <f>EXP(-LN(2)/2)*CM170+(1-EXP(-LN(2)/2))/(LN(2)/2)*CG171*CJ171*VLOOKUP('Données projet'!$B$12,Paramètres!$A$1:$I$88,3,0)*0.475*44/12</f>
        <v>1.1466061942497077E-15</v>
      </c>
      <c r="CN171" s="24">
        <f t="shared" si="172"/>
        <v>18.18862083164456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-2.8421709430404007E-13</v>
      </c>
      <c r="O172" s="14">
        <f>N172*VLOOKUP('Données projet'!$B$9,Paramètres!$A$1:$I$88,3,0)*VLOOKUP('Données projet'!$B$9,Paramètres!$A$1:$I$88,5,0)</f>
        <v>-2.5715962692629546E-13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373.09674935534343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48.898202406546218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48.898202406546218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projet'!$B$10,Paramètres!$A$1:$I$88,3,0)*VLOOKUP('Données projet'!$B$10,Paramètres!$A$1:$I$88,5,0)</f>
        <v>-1.6227659216383472E-13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509.66893546110458</v>
      </c>
      <c r="AO172" s="62">
        <f t="shared" si="144"/>
        <v>280.1645836141924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74.331147009152602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74.331147009152602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projet'!$B$11,Paramètres!$A$1:$I$88,3,0)*VLOOKUP('Données projet'!$B$11,Paramètres!$A$1:$I$88,5,0)</f>
        <v>1.3596945791505279E-13</v>
      </c>
      <c r="BF172" s="14">
        <f t="shared" si="167"/>
        <v>1.9708830566360721E-12</v>
      </c>
      <c r="BG172" s="22">
        <f t="shared" si="168"/>
        <v>3.669434796176543E-12</v>
      </c>
      <c r="BH172" s="62">
        <f t="shared" si="116"/>
        <v>293.33333333333701</v>
      </c>
      <c r="BI172" s="62">
        <f ca="1">AVERAGE(OFFSET($BH$3,0,0,'Données projet'!$E$11+1,1))-AVERAGE(OFFSET($H$3,0,0,'Données projet'!$E$11+1,1))</f>
        <v>311.82072478731385</v>
      </c>
      <c r="BJ172" s="62">
        <f t="shared" si="146"/>
        <v>356.36714671797864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18.317012565368739</v>
      </c>
      <c r="BQ172" s="23">
        <f>EXP(-LN(2)/25)*BQ171+(1-EXP(-LN(2)/25))/(LN(2)/25)*Calculateur!BL172*Calculateur!BN172*VLOOKUP('Données projet'!$B$11,Paramètres!$A$1:$I$88,3,0)*0.475*44/12</f>
        <v>2.2696635294420013</v>
      </c>
      <c r="BR172" s="23">
        <f>EXP(-LN(2)/2)*BR171+(1-EXP(-LN(2)/2))/(LN(2)/2)*BL172*BO172*VLOOKUP('Données projet'!$B$11,Paramètres!$A$1:$I$88,3,0)*0.475*44/12</f>
        <v>1.1598589788133513E-15</v>
      </c>
      <c r="BS172" s="24">
        <f t="shared" si="169"/>
        <v>20.586676094810741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218.39403703215032</v>
      </c>
      <c r="CE172" s="62">
        <f t="shared" si="148"/>
        <v>254.08208375594052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16.426357377361203</v>
      </c>
      <c r="CL172" s="23">
        <f>EXP(-LN(2)/25)*CL171+(1-EXP(-LN(2)/25))/(LN(2)/25)*Calculateur!CG172*Calculateur!CI172*VLOOKUP('Données projet'!$B$12,Paramètres!$A$1:$I$88,3,0)*0.475*44/12</f>
        <v>1.3945049980229083</v>
      </c>
      <c r="CM172" s="23">
        <f>EXP(-LN(2)/2)*CM171+(1-EXP(-LN(2)/2))/(LN(2)/2)*CG172*CJ172*VLOOKUP('Données projet'!$B$12,Paramètres!$A$1:$I$88,3,0)*0.475*44/12</f>
        <v>8.1077301530446807E-16</v>
      </c>
      <c r="CN172" s="24">
        <f t="shared" si="172"/>
        <v>17.82086237538411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-2.8421709430404007E-13</v>
      </c>
      <c r="O173" s="14">
        <f>N173*VLOOKUP('Données projet'!$B$9,Paramètres!$A$1:$I$88,3,0)*VLOOKUP('Données projet'!$B$9,Paramètres!$A$1:$I$88,5,0)</f>
        <v>-2.5715962692629546E-13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373.09674935534343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47.939338482312344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47.939338482312344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projet'!$B$10,Paramètres!$A$1:$I$88,3,0)*VLOOKUP('Données projet'!$B$10,Paramètres!$A$1:$I$88,5,0)</f>
        <v>-1.6227659216383472E-13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509.66893546110458</v>
      </c>
      <c r="AO173" s="62">
        <f t="shared" si="144"/>
        <v>280.1645836141924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72.873558553826086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72.873558553826086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projet'!$B$11,Paramètres!$A$1:$I$88,3,0)*VLOOKUP('Données projet'!$B$11,Paramètres!$A$1:$I$88,5,0)</f>
        <v>1.3596945791505279E-13</v>
      </c>
      <c r="BF173" s="14">
        <f t="shared" si="167"/>
        <v>1.9708830566360721E-12</v>
      </c>
      <c r="BG173" s="22">
        <f t="shared" si="168"/>
        <v>3.669434796176543E-12</v>
      </c>
      <c r="BH173" s="62">
        <f t="shared" si="116"/>
        <v>293.33333333333701</v>
      </c>
      <c r="BI173" s="62">
        <f ca="1">AVERAGE(OFFSET($BH$3,0,0,'Données projet'!$E$11+1,1))-AVERAGE(OFFSET($H$3,0,0,'Données projet'!$E$11+1,1))</f>
        <v>311.82072478731385</v>
      </c>
      <c r="BJ173" s="62">
        <f t="shared" si="146"/>
        <v>356.36714671797864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17.957827121236352</v>
      </c>
      <c r="BQ173" s="23">
        <f>EXP(-LN(2)/25)*BQ172+(1-EXP(-LN(2)/25))/(LN(2)/25)*Calculateur!BL173*Calculateur!BN173*VLOOKUP('Données projet'!$B$11,Paramètres!$A$1:$I$88,3,0)*0.475*44/12</f>
        <v>2.2075994608729923</v>
      </c>
      <c r="BR173" s="23">
        <f>EXP(-LN(2)/2)*BR172+(1-EXP(-LN(2)/2))/(LN(2)/2)*BL173*BO173*VLOOKUP('Données projet'!$B$11,Paramètres!$A$1:$I$88,3,0)*0.475*44/12</f>
        <v>8.2014414913902488E-16</v>
      </c>
      <c r="BS173" s="24">
        <f t="shared" si="169"/>
        <v>20.165426582109344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218.39403703215032</v>
      </c>
      <c r="CE173" s="62">
        <f t="shared" si="148"/>
        <v>254.08208375594052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16.104246528279848</v>
      </c>
      <c r="CL173" s="23">
        <f>EXP(-LN(2)/25)*CL172+(1-EXP(-LN(2)/25))/(LN(2)/25)*Calculateur!CG173*Calculateur!CI173*VLOOKUP('Données projet'!$B$12,Paramètres!$A$1:$I$88,3,0)*0.475*44/12</f>
        <v>1.3563721855181412</v>
      </c>
      <c r="CM173" s="23">
        <f>EXP(-LN(2)/2)*CM172+(1-EXP(-LN(2)/2))/(LN(2)/2)*CG173*CJ173*VLOOKUP('Données projet'!$B$12,Paramètres!$A$1:$I$88,3,0)*0.475*44/12</f>
        <v>5.7330309712485385E-16</v>
      </c>
      <c r="CN173" s="24">
        <f t="shared" si="172"/>
        <v>17.460618713797988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-2.8421709430404007E-13</v>
      </c>
      <c r="O174" s="14">
        <f>N174*VLOOKUP('Données projet'!$B$9,Paramètres!$A$1:$I$88,3,0)*VLOOKUP('Données projet'!$B$9,Paramètres!$A$1:$I$88,5,0)</f>
        <v>-2.5715962692629546E-13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373.09674935534343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46.999277294783454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46.999277294783454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projet'!$B$10,Paramètres!$A$1:$I$88,3,0)*VLOOKUP('Données projet'!$B$10,Paramètres!$A$1:$I$88,5,0)</f>
        <v>-1.6227659216383472E-13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509.66893546110458</v>
      </c>
      <c r="AO174" s="62">
        <f t="shared" si="144"/>
        <v>280.1645836141924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71.444552519067358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71.444552519067358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projet'!$B$11,Paramètres!$A$1:$I$88,3,0)*VLOOKUP('Données projet'!$B$11,Paramètres!$A$1:$I$88,5,0)</f>
        <v>1.3596945791505279E-13</v>
      </c>
      <c r="BF174" s="14">
        <f t="shared" si="167"/>
        <v>1.9708830566360721E-12</v>
      </c>
      <c r="BG174" s="22">
        <f t="shared" si="168"/>
        <v>3.669434796176543E-12</v>
      </c>
      <c r="BH174" s="62">
        <f t="shared" si="116"/>
        <v>293.33333333333701</v>
      </c>
      <c r="BI174" s="62">
        <f ca="1">AVERAGE(OFFSET($BH$3,0,0,'Données projet'!$E$11+1,1))-AVERAGE(OFFSET($H$3,0,0,'Données projet'!$E$11+1,1))</f>
        <v>311.82072478731385</v>
      </c>
      <c r="BJ174" s="62">
        <f t="shared" si="146"/>
        <v>356.36714671797864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17.605685084581914</v>
      </c>
      <c r="BQ174" s="23">
        <f>EXP(-LN(2)/25)*BQ173+(1-EXP(-LN(2)/25))/(LN(2)/25)*Calculateur!BL174*Calculateur!BN174*VLOOKUP('Données projet'!$B$11,Paramètres!$A$1:$I$88,3,0)*0.475*44/12</f>
        <v>2.1472325375228101</v>
      </c>
      <c r="BR174" s="23">
        <f>EXP(-LN(2)/2)*BR173+(1-EXP(-LN(2)/2))/(LN(2)/2)*BL174*BO174*VLOOKUP('Données projet'!$B$11,Paramètres!$A$1:$I$88,3,0)*0.475*44/12</f>
        <v>5.7992948940667566E-16</v>
      </c>
      <c r="BS174" s="24">
        <f t="shared" si="169"/>
        <v>19.752917622104725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218.39403703215032</v>
      </c>
      <c r="CE174" s="62">
        <f t="shared" si="148"/>
        <v>254.08208375594052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15.788452076480759</v>
      </c>
      <c r="CL174" s="23">
        <f>EXP(-LN(2)/25)*CL173+(1-EXP(-LN(2)/25))/(LN(2)/25)*Calculateur!CG174*Calculateur!CI174*VLOOKUP('Données projet'!$B$12,Paramètres!$A$1:$I$88,3,0)*0.475*44/12</f>
        <v>1.3192821167766344</v>
      </c>
      <c r="CM174" s="23">
        <f>EXP(-LN(2)/2)*CM173+(1-EXP(-LN(2)/2))/(LN(2)/2)*CG174*CJ174*VLOOKUP('Données projet'!$B$12,Paramètres!$A$1:$I$88,3,0)*0.475*44/12</f>
        <v>4.0538650765223404E-16</v>
      </c>
      <c r="CN174" s="24">
        <f t="shared" si="172"/>
        <v>17.107734193257393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-2.8421709430404007E-13</v>
      </c>
      <c r="O175" s="14">
        <f>N175*VLOOKUP('Données projet'!$B$9,Paramètres!$A$1:$I$88,3,0)*VLOOKUP('Données projet'!$B$9,Paramètres!$A$1:$I$88,5,0)</f>
        <v>-2.5715962692629546E-13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373.09674935534343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46.077650133761296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46.077650133761296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projet'!$B$10,Paramètres!$A$1:$I$88,3,0)*VLOOKUP('Données projet'!$B$10,Paramètres!$A$1:$I$88,5,0)</f>
        <v>-1.6227659216383472E-13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509.66893546110458</v>
      </c>
      <c r="AO175" s="62">
        <f t="shared" si="144"/>
        <v>280.1645836141924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70.043568421042622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70.043568421042622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projet'!$B$11,Paramètres!$A$1:$I$88,3,0)*VLOOKUP('Données projet'!$B$11,Paramètres!$A$1:$I$88,5,0)</f>
        <v>1.3596945791505279E-13</v>
      </c>
      <c r="BF175" s="14">
        <f t="shared" si="167"/>
        <v>1.9708830566360721E-12</v>
      </c>
      <c r="BG175" s="22">
        <f t="shared" si="168"/>
        <v>3.669434796176543E-12</v>
      </c>
      <c r="BH175" s="62">
        <f t="shared" si="116"/>
        <v>293.33333333333701</v>
      </c>
      <c r="BI175" s="62">
        <f ca="1">AVERAGE(OFFSET($BH$3,0,0,'Données projet'!$E$11+1,1))-AVERAGE(OFFSET($H$3,0,0,'Données projet'!$E$11+1,1))</f>
        <v>311.82072478731385</v>
      </c>
      <c r="BJ175" s="62">
        <f t="shared" si="146"/>
        <v>356.36714671797864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17.260448338480835</v>
      </c>
      <c r="BQ175" s="23">
        <f>EXP(-LN(2)/25)*BQ174+(1-EXP(-LN(2)/25))/(LN(2)/25)*Calculateur!BL175*Calculateur!BN175*VLOOKUP('Données projet'!$B$11,Paramètres!$A$1:$I$88,3,0)*0.475*44/12</f>
        <v>2.0885163508661972</v>
      </c>
      <c r="BR175" s="23">
        <f>EXP(-LN(2)/2)*BR174+(1-EXP(-LN(2)/2))/(LN(2)/2)*BL175*BO175*VLOOKUP('Données projet'!$B$11,Paramètres!$A$1:$I$88,3,0)*0.475*44/12</f>
        <v>4.1007207456951244E-16</v>
      </c>
      <c r="BS175" s="24">
        <f t="shared" si="169"/>
        <v>19.348964689347032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218.39403703215032</v>
      </c>
      <c r="CE175" s="62">
        <f t="shared" si="148"/>
        <v>254.08208375594052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15.478850161265854</v>
      </c>
      <c r="CL175" s="23">
        <f>EXP(-LN(2)/25)*CL174+(1-EXP(-LN(2)/25))/(LN(2)/25)*Calculateur!CG175*Calculateur!CI175*VLOOKUP('Données projet'!$B$12,Paramètres!$A$1:$I$88,3,0)*0.475*44/12</f>
        <v>1.2832062779153461</v>
      </c>
      <c r="CM175" s="23">
        <f>EXP(-LN(2)/2)*CM174+(1-EXP(-LN(2)/2))/(LN(2)/2)*CG175*CJ175*VLOOKUP('Données projet'!$B$12,Paramètres!$A$1:$I$88,3,0)*0.475*44/12</f>
        <v>2.8665154856242692E-16</v>
      </c>
      <c r="CN175" s="24">
        <f t="shared" si="172"/>
        <v>16.762056439181201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-2.8421709430404007E-13</v>
      </c>
      <c r="O176" s="14">
        <f>N176*VLOOKUP('Données projet'!$B$9,Paramètres!$A$1:$I$88,3,0)*VLOOKUP('Données projet'!$B$9,Paramètres!$A$1:$I$88,5,0)</f>
        <v>-2.5715962692629546E-13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373.09674935534343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45.174095519229724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45.174095519229724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projet'!$B$10,Paramètres!$A$1:$I$88,3,0)*VLOOKUP('Données projet'!$B$10,Paramètres!$A$1:$I$88,5,0)</f>
        <v>-1.6227659216383472E-13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509.66893546110458</v>
      </c>
      <c r="AO176" s="62">
        <f t="shared" si="144"/>
        <v>280.1645836141924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68.670056766664231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68.670056766664231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projet'!$B$11,Paramètres!$A$1:$I$88,3,0)*VLOOKUP('Données projet'!$B$11,Paramètres!$A$1:$I$88,5,0)</f>
        <v>1.3596945791505279E-13</v>
      </c>
      <c r="BF176" s="14">
        <f t="shared" si="167"/>
        <v>1.9708830566360721E-12</v>
      </c>
      <c r="BG176" s="22">
        <f t="shared" si="168"/>
        <v>3.669434796176543E-12</v>
      </c>
      <c r="BH176" s="62">
        <f t="shared" si="116"/>
        <v>293.33333333333701</v>
      </c>
      <c r="BI176" s="62">
        <f ca="1">AVERAGE(OFFSET($BH$3,0,0,'Données projet'!$E$11+1,1))-AVERAGE(OFFSET($H$3,0,0,'Données projet'!$E$11+1,1))</f>
        <v>311.82072478731385</v>
      </c>
      <c r="BJ176" s="62">
        <f t="shared" si="146"/>
        <v>356.36714671797864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16.921981474397175</v>
      </c>
      <c r="BQ176" s="23">
        <f>EXP(-LN(2)/25)*BQ175+(1-EXP(-LN(2)/25))/(LN(2)/25)*Calculateur!BL176*Calculateur!BN176*VLOOKUP('Données projet'!$B$11,Paramètres!$A$1:$I$88,3,0)*0.475*44/12</f>
        <v>2.0314057614214596</v>
      </c>
      <c r="BR176" s="23">
        <f>EXP(-LN(2)/2)*BR175+(1-EXP(-LN(2)/2))/(LN(2)/2)*BL176*BO176*VLOOKUP('Données projet'!$B$11,Paramètres!$A$1:$I$88,3,0)*0.475*44/12</f>
        <v>2.8996474470333783E-16</v>
      </c>
      <c r="BS176" s="24">
        <f t="shared" si="169"/>
        <v>18.953387235818635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218.39403703215032</v>
      </c>
      <c r="CE176" s="62">
        <f t="shared" si="148"/>
        <v>254.08208375594052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15.17531935076979</v>
      </c>
      <c r="CL176" s="23">
        <f>EXP(-LN(2)/25)*CL175+(1-EXP(-LN(2)/25))/(LN(2)/25)*Calculateur!CG176*Calculateur!CI176*VLOOKUP('Données projet'!$B$12,Paramètres!$A$1:$I$88,3,0)*0.475*44/12</f>
        <v>1.2481169347648657</v>
      </c>
      <c r="CM176" s="23">
        <f>EXP(-LN(2)/2)*CM175+(1-EXP(-LN(2)/2))/(LN(2)/2)*CG176*CJ176*VLOOKUP('Données projet'!$B$12,Paramètres!$A$1:$I$88,3,0)*0.475*44/12</f>
        <v>2.0269325382611702E-16</v>
      </c>
      <c r="CN176" s="24">
        <f t="shared" si="172"/>
        <v>16.423436285534656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-2.8421709430404007E-13</v>
      </c>
      <c r="O177" s="14">
        <f>N177*VLOOKUP('Données projet'!$B$9,Paramètres!$A$1:$I$88,3,0)*VLOOKUP('Données projet'!$B$9,Paramètres!$A$1:$I$88,5,0)</f>
        <v>-2.5715962692629546E-13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373.09674935534343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44.288259059575218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44.288259059575218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projet'!$B$10,Paramètres!$A$1:$I$88,3,0)*VLOOKUP('Données projet'!$B$10,Paramètres!$A$1:$I$88,5,0)</f>
        <v>-1.6227659216383472E-13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509.66893546110458</v>
      </c>
      <c r="AO177" s="62">
        <f t="shared" si="144"/>
        <v>280.1645836141924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67.323478838068809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67.323478838068809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projet'!$B$11,Paramètres!$A$1:$I$88,3,0)*VLOOKUP('Données projet'!$B$11,Paramètres!$A$1:$I$88,5,0)</f>
        <v>1.3596945791505279E-13</v>
      </c>
      <c r="BF177" s="14">
        <f t="shared" si="167"/>
        <v>1.9708830566360721E-12</v>
      </c>
      <c r="BG177" s="22">
        <f t="shared" si="168"/>
        <v>3.669434796176543E-12</v>
      </c>
      <c r="BH177" s="62">
        <f t="shared" si="116"/>
        <v>293.33333333333701</v>
      </c>
      <c r="BI177" s="62">
        <f ca="1">AVERAGE(OFFSET($BH$3,0,0,'Données projet'!$E$11+1,1))-AVERAGE(OFFSET($H$3,0,0,'Données projet'!$E$11+1,1))</f>
        <v>311.82072478731385</v>
      </c>
      <c r="BJ177" s="62">
        <f t="shared" si="146"/>
        <v>356.36714671797864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16.590151739073793</v>
      </c>
      <c r="BQ177" s="23">
        <f>EXP(-LN(2)/25)*BQ176+(1-EXP(-LN(2)/25))/(LN(2)/25)*Calculateur!BL177*Calculateur!BN177*VLOOKUP('Données projet'!$B$11,Paramètres!$A$1:$I$88,3,0)*0.475*44/12</f>
        <v>1.9758568640484035</v>
      </c>
      <c r="BR177" s="23">
        <f>EXP(-LN(2)/2)*BR176+(1-EXP(-LN(2)/2))/(LN(2)/2)*BL177*BO177*VLOOKUP('Données projet'!$B$11,Paramètres!$A$1:$I$88,3,0)*0.475*44/12</f>
        <v>2.0503603728475622E-16</v>
      </c>
      <c r="BS177" s="24">
        <f t="shared" si="169"/>
        <v>18.566008603122196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218.39403703215032</v>
      </c>
      <c r="CE177" s="62">
        <f t="shared" si="148"/>
        <v>254.08208375594052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14.877740594332041</v>
      </c>
      <c r="CL177" s="23">
        <f>EXP(-LN(2)/25)*CL176+(1-EXP(-LN(2)/25))/(LN(2)/25)*Calculateur!CG177*Calculateur!CI177*VLOOKUP('Données projet'!$B$12,Paramètres!$A$1:$I$88,3,0)*0.475*44/12</f>
        <v>1.2139871115481036</v>
      </c>
      <c r="CM177" s="23">
        <f>EXP(-LN(2)/2)*CM176+(1-EXP(-LN(2)/2))/(LN(2)/2)*CG177*CJ177*VLOOKUP('Données projet'!$B$12,Paramètres!$A$1:$I$88,3,0)*0.475*44/12</f>
        <v>1.4332577428121346E-16</v>
      </c>
      <c r="CN177" s="24">
        <f t="shared" si="172"/>
        <v>16.091727705880146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-2.8421709430404007E-13</v>
      </c>
      <c r="O178" s="14">
        <f>N178*VLOOKUP('Données projet'!$B$9,Paramètres!$A$1:$I$88,3,0)*VLOOKUP('Données projet'!$B$9,Paramètres!$A$1:$I$88,5,0)</f>
        <v>-2.5715962692629546E-13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373.09674935534343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43.419793312587643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43.419793312587643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projet'!$B$10,Paramètres!$A$1:$I$88,3,0)*VLOOKUP('Données projet'!$B$10,Paramètres!$A$1:$I$88,5,0)</f>
        <v>-1.6227659216383472E-13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509.66893546110458</v>
      </c>
      <c r="AO178" s="62">
        <f t="shared" si="144"/>
        <v>280.1645836141924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66.003306481321715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66.003306481321715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projet'!$B$11,Paramètres!$A$1:$I$88,3,0)*VLOOKUP('Données projet'!$B$11,Paramètres!$A$1:$I$88,5,0)</f>
        <v>1.3596945791505279E-13</v>
      </c>
      <c r="BF178" s="14">
        <f t="shared" si="167"/>
        <v>1.9708830566360721E-12</v>
      </c>
      <c r="BG178" s="22">
        <f t="shared" si="168"/>
        <v>3.669434796176543E-12</v>
      </c>
      <c r="BH178" s="62">
        <f t="shared" si="116"/>
        <v>293.33333333333701</v>
      </c>
      <c r="BI178" s="62">
        <f ca="1">AVERAGE(OFFSET($BH$3,0,0,'Données projet'!$E$11+1,1))-AVERAGE(OFFSET($H$3,0,0,'Données projet'!$E$11+1,1))</f>
        <v>311.82072478731385</v>
      </c>
      <c r="BJ178" s="62">
        <f t="shared" si="146"/>
        <v>356.36714671797864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16.26482898246395</v>
      </c>
      <c r="BQ178" s="23">
        <f>EXP(-LN(2)/25)*BQ177+(1-EXP(-LN(2)/25))/(LN(2)/25)*Calculateur!BL178*Calculateur!BN178*VLOOKUP('Données projet'!$B$11,Paramètres!$A$1:$I$88,3,0)*0.475*44/12</f>
        <v>1.9218269541952033</v>
      </c>
      <c r="BR178" s="23">
        <f>EXP(-LN(2)/2)*BR177+(1-EXP(-LN(2)/2))/(LN(2)/2)*BL178*BO178*VLOOKUP('Données projet'!$B$11,Paramètres!$A$1:$I$88,3,0)*0.475*44/12</f>
        <v>1.4498237235166891E-16</v>
      </c>
      <c r="BS178" s="24">
        <f t="shared" si="169"/>
        <v>18.186655936659154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218.39403703215032</v>
      </c>
      <c r="CE178" s="62">
        <f t="shared" si="148"/>
        <v>254.08208375594052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14.585997175802916</v>
      </c>
      <c r="CL178" s="23">
        <f>EXP(-LN(2)/25)*CL177+(1-EXP(-LN(2)/25))/(LN(2)/25)*Calculateur!CG178*Calculateur!CI178*VLOOKUP('Données projet'!$B$12,Paramètres!$A$1:$I$88,3,0)*0.475*44/12</f>
        <v>1.1807905701420132</v>
      </c>
      <c r="CM178" s="23">
        <f>EXP(-LN(2)/2)*CM177+(1-EXP(-LN(2)/2))/(LN(2)/2)*CG178*CJ178*VLOOKUP('Données projet'!$B$12,Paramètres!$A$1:$I$88,3,0)*0.475*44/12</f>
        <v>1.0134662691305851E-16</v>
      </c>
      <c r="CN178" s="24">
        <f t="shared" si="172"/>
        <v>15.76678774594493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-2.8421709430404007E-13</v>
      </c>
      <c r="O179" s="14">
        <f>N179*VLOOKUP('Données projet'!$B$9,Paramètres!$A$1:$I$88,3,0)*VLOOKUP('Données projet'!$B$9,Paramètres!$A$1:$I$88,5,0)</f>
        <v>-2.5715962692629546E-13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373.09674935534343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42.568357649186694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42.568357649186694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projet'!$B$10,Paramètres!$A$1:$I$88,3,0)*VLOOKUP('Données projet'!$B$10,Paramètres!$A$1:$I$88,5,0)</f>
        <v>-1.6227659216383472E-13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509.66893546110458</v>
      </c>
      <c r="AO179" s="62">
        <f t="shared" si="144"/>
        <v>280.1645836141924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64.709021899264798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64.709021899264798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projet'!$B$11,Paramètres!$A$1:$I$88,3,0)*VLOOKUP('Données projet'!$B$11,Paramètres!$A$1:$I$88,5,0)</f>
        <v>1.3596945791505279E-13</v>
      </c>
      <c r="BF179" s="14">
        <f t="shared" si="167"/>
        <v>1.9708830566360721E-12</v>
      </c>
      <c r="BG179" s="22">
        <f t="shared" si="168"/>
        <v>3.669434796176543E-12</v>
      </c>
      <c r="BH179" s="62">
        <f t="shared" si="116"/>
        <v>293.33333333333701</v>
      </c>
      <c r="BI179" s="62">
        <f ca="1">AVERAGE(OFFSET($BH$3,0,0,'Données projet'!$E$11+1,1))-AVERAGE(OFFSET($H$3,0,0,'Données projet'!$E$11+1,1))</f>
        <v>311.82072478731385</v>
      </c>
      <c r="BJ179" s="62">
        <f t="shared" si="146"/>
        <v>356.36714671797864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15.945885606683937</v>
      </c>
      <c r="BQ179" s="23">
        <f>EXP(-LN(2)/25)*BQ178+(1-EXP(-LN(2)/25))/(LN(2)/25)*Calculateur!BL179*Calculateur!BN179*VLOOKUP('Données projet'!$B$11,Paramètres!$A$1:$I$88,3,0)*0.475*44/12</f>
        <v>1.8692744950682483</v>
      </c>
      <c r="BR179" s="23">
        <f>EXP(-LN(2)/2)*BR178+(1-EXP(-LN(2)/2))/(LN(2)/2)*BL179*BO179*VLOOKUP('Données projet'!$B$11,Paramètres!$A$1:$I$88,3,0)*0.475*44/12</f>
        <v>1.0251801864237811E-16</v>
      </c>
      <c r="BS179" s="24">
        <f t="shared" si="169"/>
        <v>17.815160101752184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218.39403703215032</v>
      </c>
      <c r="CE179" s="62">
        <f t="shared" si="148"/>
        <v>254.08208375594052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14.299974667765234</v>
      </c>
      <c r="CL179" s="23">
        <f>EXP(-LN(2)/25)*CL178+(1-EXP(-LN(2)/25))/(LN(2)/25)*Calculateur!CG179*Calculateur!CI179*VLOOKUP('Données projet'!$B$12,Paramètres!$A$1:$I$88,3,0)*0.475*44/12</f>
        <v>1.1485017899064025</v>
      </c>
      <c r="CM179" s="23">
        <f>EXP(-LN(2)/2)*CM178+(1-EXP(-LN(2)/2))/(LN(2)/2)*CG179*CJ179*VLOOKUP('Données projet'!$B$12,Paramètres!$A$1:$I$88,3,0)*0.475*44/12</f>
        <v>7.1662887140606731E-17</v>
      </c>
      <c r="CN179" s="24">
        <f t="shared" si="172"/>
        <v>15.448476457671637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-2.8421709430404007E-13</v>
      </c>
      <c r="O180" s="14">
        <f>N180*VLOOKUP('Données projet'!$B$9,Paramètres!$A$1:$I$88,3,0)*VLOOKUP('Données projet'!$B$9,Paramètres!$A$1:$I$88,5,0)</f>
        <v>-2.5715962692629546E-13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373.09674935534343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41.733618119820562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41.733618119820562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projet'!$B$10,Paramètres!$A$1:$I$88,3,0)*VLOOKUP('Données projet'!$B$10,Paramètres!$A$1:$I$88,5,0)</f>
        <v>-1.6227659216383472E-13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509.66893546110458</v>
      </c>
      <c r="AO180" s="62">
        <f t="shared" si="144"/>
        <v>280.1645836141924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63.440117448426371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63.440117448426371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projet'!$B$11,Paramètres!$A$1:$I$88,3,0)*VLOOKUP('Données projet'!$B$11,Paramètres!$A$1:$I$88,5,0)</f>
        <v>1.3596945791505279E-13</v>
      </c>
      <c r="BF180" s="14">
        <f t="shared" si="167"/>
        <v>1.9708830566360721E-12</v>
      </c>
      <c r="BG180" s="22">
        <f t="shared" si="168"/>
        <v>3.669434796176543E-12</v>
      </c>
      <c r="BH180" s="62">
        <f t="shared" si="116"/>
        <v>293.33333333333701</v>
      </c>
      <c r="BI180" s="62">
        <f ca="1">AVERAGE(OFFSET($BH$3,0,0,'Données projet'!$E$11+1,1))-AVERAGE(OFFSET($H$3,0,0,'Données projet'!$E$11+1,1))</f>
        <v>311.82072478731385</v>
      </c>
      <c r="BJ180" s="62">
        <f t="shared" si="146"/>
        <v>356.36714671797864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15.63319651596672</v>
      </c>
      <c r="BQ180" s="23">
        <f>EXP(-LN(2)/25)*BQ179+(1-EXP(-LN(2)/25))/(LN(2)/25)*Calculateur!BL180*Calculateur!BN180*VLOOKUP('Données projet'!$B$11,Paramètres!$A$1:$I$88,3,0)*0.475*44/12</f>
        <v>1.8181590856997336</v>
      </c>
      <c r="BR180" s="23">
        <f>EXP(-LN(2)/2)*BR179+(1-EXP(-LN(2)/2))/(LN(2)/2)*BL180*BO180*VLOOKUP('Données projet'!$B$11,Paramètres!$A$1:$I$88,3,0)*0.475*44/12</f>
        <v>7.2491186175834457E-17</v>
      </c>
      <c r="BS180" s="24">
        <f t="shared" si="169"/>
        <v>17.451355601666453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218.39403703215032</v>
      </c>
      <c r="CE180" s="62">
        <f t="shared" si="148"/>
        <v>254.08208375594052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14.019560886653666</v>
      </c>
      <c r="CL180" s="23">
        <f>EXP(-LN(2)/25)*CL179+(1-EXP(-LN(2)/25))/(LN(2)/25)*Calculateur!CG180*Calculateur!CI180*VLOOKUP('Données projet'!$B$12,Paramètres!$A$1:$I$88,3,0)*0.475*44/12</f>
        <v>1.1170959480643277</v>
      </c>
      <c r="CM180" s="23">
        <f>EXP(-LN(2)/2)*CM179+(1-EXP(-LN(2)/2))/(LN(2)/2)*CG180*CJ180*VLOOKUP('Données projet'!$B$12,Paramètres!$A$1:$I$88,3,0)*0.475*44/12</f>
        <v>5.0673313456529255E-17</v>
      </c>
      <c r="CN180" s="24">
        <f t="shared" si="172"/>
        <v>15.136656834717995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-2.8421709430404007E-13</v>
      </c>
      <c r="O181" s="14">
        <f>N181*VLOOKUP('Données projet'!$B$9,Paramètres!$A$1:$I$88,3,0)*VLOOKUP('Données projet'!$B$9,Paramètres!$A$1:$I$88,5,0)</f>
        <v>-2.5715962692629546E-13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373.09674935534343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40.915247323484465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40.915247323484465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projet'!$B$10,Paramètres!$A$1:$I$88,3,0)*VLOOKUP('Données projet'!$B$10,Paramètres!$A$1:$I$88,5,0)</f>
        <v>-1.6227659216383472E-13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509.66893546110458</v>
      </c>
      <c r="AO181" s="62">
        <f t="shared" si="144"/>
        <v>280.1645836141924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62.196095439913591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62.196095439913591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projet'!$B$11,Paramètres!$A$1:$I$88,3,0)*VLOOKUP('Données projet'!$B$11,Paramètres!$A$1:$I$88,5,0)</f>
        <v>1.3596945791505279E-13</v>
      </c>
      <c r="BF181" s="14">
        <f t="shared" si="167"/>
        <v>1.9708830566360721E-12</v>
      </c>
      <c r="BG181" s="22">
        <f t="shared" si="168"/>
        <v>3.669434796176543E-12</v>
      </c>
      <c r="BH181" s="62">
        <f t="shared" si="116"/>
        <v>293.33333333333701</v>
      </c>
      <c r="BI181" s="62">
        <f ca="1">AVERAGE(OFFSET($BH$3,0,0,'Données projet'!$E$11+1,1))-AVERAGE(OFFSET($H$3,0,0,'Données projet'!$E$11+1,1))</f>
        <v>311.82072478731385</v>
      </c>
      <c r="BJ181" s="62">
        <f t="shared" si="146"/>
        <v>356.36714671797864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15.326639067596954</v>
      </c>
      <c r="BQ181" s="23">
        <f>EXP(-LN(2)/25)*BQ180+(1-EXP(-LN(2)/25))/(LN(2)/25)*Calculateur!BL181*Calculateur!BN181*VLOOKUP('Données projet'!$B$11,Paramètres!$A$1:$I$88,3,0)*0.475*44/12</f>
        <v>1.7684414298884434</v>
      </c>
      <c r="BR181" s="23">
        <f>EXP(-LN(2)/2)*BR180+(1-EXP(-LN(2)/2))/(LN(2)/2)*BL181*BO181*VLOOKUP('Données projet'!$B$11,Paramètres!$A$1:$I$88,3,0)*0.475*44/12</f>
        <v>5.1259009321189055E-17</v>
      </c>
      <c r="BS181" s="24">
        <f t="shared" si="169"/>
        <v>17.095080497485398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218.39403703215032</v>
      </c>
      <c r="CE181" s="62">
        <f t="shared" si="148"/>
        <v>254.08208375594052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13.744645848754178</v>
      </c>
      <c r="CL181" s="23">
        <f>EXP(-LN(2)/25)*CL180+(1-EXP(-LN(2)/25))/(LN(2)/25)*Calculateur!CG181*Calculateur!CI181*VLOOKUP('Données projet'!$B$12,Paramètres!$A$1:$I$88,3,0)*0.475*44/12</f>
        <v>1.0865489006189859</v>
      </c>
      <c r="CM181" s="23">
        <f>EXP(-LN(2)/2)*CM180+(1-EXP(-LN(2)/2))/(LN(2)/2)*CG181*CJ181*VLOOKUP('Données projet'!$B$12,Paramètres!$A$1:$I$88,3,0)*0.475*44/12</f>
        <v>3.5831443570303365E-17</v>
      </c>
      <c r="CN181" s="24">
        <f t="shared" si="172"/>
        <v>14.831194749373164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-2.8421709430404007E-13</v>
      </c>
      <c r="O182" s="14">
        <f>N182*VLOOKUP('Données projet'!$B$9,Paramètres!$A$1:$I$88,3,0)*VLOOKUP('Données projet'!$B$9,Paramètres!$A$1:$I$88,5,0)</f>
        <v>-2.5715962692629546E-13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373.09674935534343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40.11292427930762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40.11292427930762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projet'!$B$10,Paramètres!$A$1:$I$88,3,0)*VLOOKUP('Données projet'!$B$10,Paramètres!$A$1:$I$88,5,0)</f>
        <v>-1.6227659216383472E-13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509.66893546110458</v>
      </c>
      <c r="AO182" s="62">
        <f t="shared" si="144"/>
        <v>280.1645836141924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60.976467944209247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60.976467944209247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projet'!$B$11,Paramètres!$A$1:$I$88,3,0)*VLOOKUP('Données projet'!$B$11,Paramètres!$A$1:$I$88,5,0)</f>
        <v>1.3596945791505279E-13</v>
      </c>
      <c r="BF182" s="14">
        <f t="shared" si="167"/>
        <v>1.9708830566360721E-12</v>
      </c>
      <c r="BG182" s="22">
        <f t="shared" si="168"/>
        <v>3.669434796176543E-12</v>
      </c>
      <c r="BH182" s="62">
        <f t="shared" si="116"/>
        <v>293.33333333333701</v>
      </c>
      <c r="BI182" s="62">
        <f ca="1">AVERAGE(OFFSET($BH$3,0,0,'Données projet'!$E$11+1,1))-AVERAGE(OFFSET($H$3,0,0,'Données projet'!$E$11+1,1))</f>
        <v>311.82072478731385</v>
      </c>
      <c r="BJ182" s="62">
        <f t="shared" si="146"/>
        <v>356.36714671797864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15.026093023808139</v>
      </c>
      <c r="BQ182" s="23">
        <f>EXP(-LN(2)/25)*BQ181+(1-EXP(-LN(2)/25))/(LN(2)/25)*Calculateur!BL182*Calculateur!BN182*VLOOKUP('Données projet'!$B$11,Paramètres!$A$1:$I$88,3,0)*0.475*44/12</f>
        <v>1.720083305989851</v>
      </c>
      <c r="BR182" s="23">
        <f>EXP(-LN(2)/2)*BR181+(1-EXP(-LN(2)/2))/(LN(2)/2)*BL182*BO182*VLOOKUP('Données projet'!$B$11,Paramètres!$A$1:$I$88,3,0)*0.475*44/12</f>
        <v>3.6245593087917229E-17</v>
      </c>
      <c r="BS182" s="24">
        <f t="shared" si="169"/>
        <v>16.74617632979799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218.39403703215032</v>
      </c>
      <c r="CE182" s="62">
        <f t="shared" si="148"/>
        <v>254.08208375594052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13.475121727066284</v>
      </c>
      <c r="CL182" s="23">
        <f>EXP(-LN(2)/25)*CL181+(1-EXP(-LN(2)/25))/(LN(2)/25)*Calculateur!CG182*Calculateur!CI182*VLOOKUP('Données projet'!$B$12,Paramètres!$A$1:$I$88,3,0)*0.475*44/12</f>
        <v>1.0568371637924363</v>
      </c>
      <c r="CM182" s="23">
        <f>EXP(-LN(2)/2)*CM181+(1-EXP(-LN(2)/2))/(LN(2)/2)*CG182*CJ182*VLOOKUP('Données projet'!$B$12,Paramètres!$A$1:$I$88,3,0)*0.475*44/12</f>
        <v>2.5336656728264627E-17</v>
      </c>
      <c r="CN182" s="24">
        <f t="shared" si="172"/>
        <v>14.531958890858721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-2.8421709430404007E-13</v>
      </c>
      <c r="O183" s="14">
        <f>N183*VLOOKUP('Données projet'!$B$9,Paramètres!$A$1:$I$88,3,0)*VLOOKUP('Données projet'!$B$9,Paramètres!$A$1:$I$88,5,0)</f>
        <v>-2.5715962692629546E-13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373.09674935534343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39.326334300658345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39.326334300658345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projet'!$B$10,Paramètres!$A$1:$I$88,3,0)*VLOOKUP('Données projet'!$B$10,Paramètres!$A$1:$I$88,5,0)</f>
        <v>-1.6227659216383472E-13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509.66893546110458</v>
      </c>
      <c r="AO183" s="62">
        <f t="shared" si="144"/>
        <v>280.1645836141924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59.780756599796348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59.780756599796348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projet'!$B$11,Paramètres!$A$1:$I$88,3,0)*VLOOKUP('Données projet'!$B$11,Paramètres!$A$1:$I$88,5,0)</f>
        <v>1.3596945791505279E-13</v>
      </c>
      <c r="BF183" s="14">
        <f t="shared" si="167"/>
        <v>1.9708830566360721E-12</v>
      </c>
      <c r="BG183" s="22">
        <f t="shared" si="168"/>
        <v>3.669434796176543E-12</v>
      </c>
      <c r="BH183" s="62">
        <f t="shared" si="116"/>
        <v>293.33333333333701</v>
      </c>
      <c r="BI183" s="62">
        <f ca="1">AVERAGE(OFFSET($BH$3,0,0,'Données projet'!$E$11+1,1))-AVERAGE(OFFSET($H$3,0,0,'Données projet'!$E$11+1,1))</f>
        <v>311.82072478731385</v>
      </c>
      <c r="BJ183" s="62">
        <f t="shared" si="146"/>
        <v>356.36714671797864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14.731440504623036</v>
      </c>
      <c r="BQ183" s="23">
        <f>EXP(-LN(2)/25)*BQ182+(1-EXP(-LN(2)/25))/(LN(2)/25)*Calculateur!BL183*Calculateur!BN183*VLOOKUP('Données projet'!$B$11,Paramètres!$A$1:$I$88,3,0)*0.475*44/12</f>
        <v>1.6730475375323088</v>
      </c>
      <c r="BR183" s="23">
        <f>EXP(-LN(2)/2)*BR182+(1-EXP(-LN(2)/2))/(LN(2)/2)*BL183*BO183*VLOOKUP('Données projet'!$B$11,Paramètres!$A$1:$I$88,3,0)*0.475*44/12</f>
        <v>2.5629504660594527E-17</v>
      </c>
      <c r="BS183" s="24">
        <f t="shared" si="169"/>
        <v>16.404488042155343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218.39403703215032</v>
      </c>
      <c r="CE183" s="62">
        <f t="shared" si="148"/>
        <v>254.08208375594052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13.210882809011208</v>
      </c>
      <c r="CL183" s="23">
        <f>EXP(-LN(2)/25)*CL182+(1-EXP(-LN(2)/25))/(LN(2)/25)*Calculateur!CG183*Calculateur!CI183*VLOOKUP('Données projet'!$B$12,Paramètres!$A$1:$I$88,3,0)*0.475*44/12</f>
        <v>1.0279378959718812</v>
      </c>
      <c r="CM183" s="23">
        <f>EXP(-LN(2)/2)*CM182+(1-EXP(-LN(2)/2))/(LN(2)/2)*CG183*CJ183*VLOOKUP('Données projet'!$B$12,Paramètres!$A$1:$I$88,3,0)*0.475*44/12</f>
        <v>1.7915721785151683E-17</v>
      </c>
      <c r="CN183" s="24">
        <f t="shared" si="172"/>
        <v>14.238820704983089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-2.8421709430404007E-13</v>
      </c>
      <c r="O184" s="14">
        <f>N184*VLOOKUP('Données projet'!$B$9,Paramètres!$A$1:$I$88,3,0)*VLOOKUP('Données projet'!$B$9,Paramètres!$A$1:$I$88,5,0)</f>
        <v>-2.5715962692629546E-13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373.09674935534343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38.555168871717868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38.555168871717868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projet'!$B$10,Paramètres!$A$1:$I$88,3,0)*VLOOKUP('Données projet'!$B$10,Paramètres!$A$1:$I$88,5,0)</f>
        <v>-1.6227659216383472E-13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509.66893546110458</v>
      </c>
      <c r="AO184" s="62">
        <f t="shared" si="144"/>
        <v>280.1645836141924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58.608492425535481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58.608492425535481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projet'!$B$11,Paramètres!$A$1:$I$88,3,0)*VLOOKUP('Données projet'!$B$11,Paramètres!$A$1:$I$88,5,0)</f>
        <v>1.3596945791505279E-13</v>
      </c>
      <c r="BF184" s="14">
        <f t="shared" si="167"/>
        <v>1.9708830566360721E-12</v>
      </c>
      <c r="BG184" s="22">
        <f t="shared" si="168"/>
        <v>3.669434796176543E-12</v>
      </c>
      <c r="BH184" s="62">
        <f t="shared" si="116"/>
        <v>293.33333333333701</v>
      </c>
      <c r="BI184" s="62">
        <f ca="1">AVERAGE(OFFSET($BH$3,0,0,'Données projet'!$E$11+1,1))-AVERAGE(OFFSET($H$3,0,0,'Données projet'!$E$11+1,1))</f>
        <v>311.82072478731385</v>
      </c>
      <c r="BJ184" s="62">
        <f t="shared" si="146"/>
        <v>356.36714671797864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14.442565941618863</v>
      </c>
      <c r="BQ184" s="23">
        <f>EXP(-LN(2)/25)*BQ183+(1-EXP(-LN(2)/25))/(LN(2)/25)*Calculateur!BL184*Calculateur!BN184*VLOOKUP('Données projet'!$B$11,Paramètres!$A$1:$I$88,3,0)*0.475*44/12</f>
        <v>1.6272979646367416</v>
      </c>
      <c r="BR184" s="23">
        <f>EXP(-LN(2)/2)*BR183+(1-EXP(-LN(2)/2))/(LN(2)/2)*BL184*BO184*VLOOKUP('Données projet'!$B$11,Paramètres!$A$1:$I$88,3,0)*0.475*44/12</f>
        <v>1.8122796543958614E-17</v>
      </c>
      <c r="BS184" s="24">
        <f t="shared" si="169"/>
        <v>16.069863906255605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218.39403703215032</v>
      </c>
      <c r="CE184" s="62">
        <f t="shared" si="148"/>
        <v>254.08208375594052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12.951825454969367</v>
      </c>
      <c r="CL184" s="23">
        <f>EXP(-LN(2)/25)*CL183+(1-EXP(-LN(2)/25))/(LN(2)/25)*Calculateur!CG184*Calculateur!CI184*VLOOKUP('Données projet'!$B$12,Paramètres!$A$1:$I$88,3,0)*0.475*44/12</f>
        <v>0.99982888014962557</v>
      </c>
      <c r="CM184" s="23">
        <f>EXP(-LN(2)/2)*CM183+(1-EXP(-LN(2)/2))/(LN(2)/2)*CG184*CJ184*VLOOKUP('Données projet'!$B$12,Paramètres!$A$1:$I$88,3,0)*0.475*44/12</f>
        <v>1.2668328364132314E-17</v>
      </c>
      <c r="CN184" s="24">
        <f t="shared" si="172"/>
        <v>13.951654335118992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-2.8421709430404007E-13</v>
      </c>
      <c r="O185" s="14">
        <f>N185*VLOOKUP('Données projet'!$B$9,Paramètres!$A$1:$I$88,3,0)*VLOOKUP('Données projet'!$B$9,Paramètres!$A$1:$I$88,5,0)</f>
        <v>-2.5715962692629546E-13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373.09674935534343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37.799125526474448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37.799125526474448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projet'!$B$10,Paramètres!$A$1:$I$88,3,0)*VLOOKUP('Données projet'!$B$10,Paramètres!$A$1:$I$88,5,0)</f>
        <v>-1.6227659216383472E-13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509.66893546110458</v>
      </c>
      <c r="AO185" s="62">
        <f t="shared" si="144"/>
        <v>280.1645836141924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57.459215636721325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57.459215636721325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projet'!$B$11,Paramètres!$A$1:$I$88,3,0)*VLOOKUP('Données projet'!$B$11,Paramètres!$A$1:$I$88,5,0)</f>
        <v>1.3596945791505279E-13</v>
      </c>
      <c r="BF185" s="14">
        <f t="shared" si="167"/>
        <v>1.9708830566360721E-12</v>
      </c>
      <c r="BG185" s="22">
        <f t="shared" si="168"/>
        <v>3.669434796176543E-12</v>
      </c>
      <c r="BH185" s="62">
        <f t="shared" si="116"/>
        <v>293.33333333333701</v>
      </c>
      <c r="BI185" s="62">
        <f ca="1">AVERAGE(OFFSET($BH$3,0,0,'Données projet'!$E$11+1,1))-AVERAGE(OFFSET($H$3,0,0,'Données projet'!$E$11+1,1))</f>
        <v>311.82072478731385</v>
      </c>
      <c r="BJ185" s="62">
        <f t="shared" si="146"/>
        <v>356.36714671797864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14.159356032599115</v>
      </c>
      <c r="BQ185" s="23">
        <f>EXP(-LN(2)/25)*BQ184+(1-EXP(-LN(2)/25))/(LN(2)/25)*Calculateur!BL185*Calculateur!BN185*VLOOKUP('Données projet'!$B$11,Paramètres!$A$1:$I$88,3,0)*0.475*44/12</f>
        <v>1.5827994162178691</v>
      </c>
      <c r="BR185" s="23">
        <f>EXP(-LN(2)/2)*BR184+(1-EXP(-LN(2)/2))/(LN(2)/2)*BL185*BO185*VLOOKUP('Données projet'!$B$11,Paramètres!$A$1:$I$88,3,0)*0.475*44/12</f>
        <v>1.2814752330297264E-17</v>
      </c>
      <c r="BS185" s="24">
        <f t="shared" si="169"/>
        <v>15.742155448816984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218.39403703215032</v>
      </c>
      <c r="CE185" s="62">
        <f t="shared" si="148"/>
        <v>254.08208375594052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12.697848057630901</v>
      </c>
      <c r="CL185" s="23">
        <f>EXP(-LN(2)/25)*CL184+(1-EXP(-LN(2)/25))/(LN(2)/25)*Calculateur!CG185*Calculateur!CI185*VLOOKUP('Données projet'!$B$12,Paramètres!$A$1:$I$88,3,0)*0.475*44/12</f>
        <v>0.97248850684321841</v>
      </c>
      <c r="CM185" s="23">
        <f>EXP(-LN(2)/2)*CM184+(1-EXP(-LN(2)/2))/(LN(2)/2)*CG185*CJ185*VLOOKUP('Données projet'!$B$12,Paramètres!$A$1:$I$88,3,0)*0.475*44/12</f>
        <v>8.9578608925758413E-18</v>
      </c>
      <c r="CN185" s="24">
        <f t="shared" si="172"/>
        <v>13.67033656447412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-2.8421709430404007E-13</v>
      </c>
      <c r="O186" s="14">
        <f>N186*VLOOKUP('Données projet'!$B$9,Paramètres!$A$1:$I$88,3,0)*VLOOKUP('Données projet'!$B$9,Paramètres!$A$1:$I$88,5,0)</f>
        <v>-2.5715962692629546E-13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373.09674935534343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37.057907730090342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37.057907730090342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projet'!$B$10,Paramètres!$A$1:$I$88,3,0)*VLOOKUP('Données projet'!$B$10,Paramètres!$A$1:$I$88,5,0)</f>
        <v>-1.6227659216383472E-13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509.66893546110458</v>
      </c>
      <c r="AO186" s="62">
        <f t="shared" si="144"/>
        <v>280.1645836141924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56.332475464746189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56.332475464746189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projet'!$B$11,Paramètres!$A$1:$I$88,3,0)*VLOOKUP('Données projet'!$B$11,Paramètres!$A$1:$I$88,5,0)</f>
        <v>1.3596945791505279E-13</v>
      </c>
      <c r="BF186" s="14">
        <f t="shared" si="167"/>
        <v>1.9708830566360721E-12</v>
      </c>
      <c r="BG186" s="22">
        <f t="shared" si="168"/>
        <v>3.669434796176543E-12</v>
      </c>
      <c r="BH186" s="62">
        <f t="shared" si="116"/>
        <v>293.33333333333701</v>
      </c>
      <c r="BI186" s="62">
        <f ca="1">AVERAGE(OFFSET($BH$3,0,0,'Données projet'!$E$11+1,1))-AVERAGE(OFFSET($H$3,0,0,'Données projet'!$E$11+1,1))</f>
        <v>311.82072478731385</v>
      </c>
      <c r="BJ186" s="62">
        <f t="shared" si="146"/>
        <v>356.36714671797864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13.881699697154257</v>
      </c>
      <c r="BQ186" s="23">
        <f>EXP(-LN(2)/25)*BQ185+(1-EXP(-LN(2)/25))/(LN(2)/25)*Calculateur!BL186*Calculateur!BN186*VLOOKUP('Données projet'!$B$11,Paramètres!$A$1:$I$88,3,0)*0.475*44/12</f>
        <v>1.5395176829455877</v>
      </c>
      <c r="BR186" s="23">
        <f>EXP(-LN(2)/2)*BR185+(1-EXP(-LN(2)/2))/(LN(2)/2)*BL186*BO186*VLOOKUP('Données projet'!$B$11,Paramètres!$A$1:$I$88,3,0)*0.475*44/12</f>
        <v>9.0613982719793071E-18</v>
      </c>
      <c r="BS186" s="24">
        <f t="shared" si="169"/>
        <v>15.421217380099845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218.39403703215032</v>
      </c>
      <c r="CE186" s="62">
        <f t="shared" si="148"/>
        <v>254.08208375594052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12.448851002143327</v>
      </c>
      <c r="CL186" s="23">
        <f>EXP(-LN(2)/25)*CL185+(1-EXP(-LN(2)/25))/(LN(2)/25)*Calculateur!CG186*Calculateur!CI186*VLOOKUP('Données projet'!$B$12,Paramètres!$A$1:$I$88,3,0)*0.475*44/12</f>
        <v>0.94589575748264265</v>
      </c>
      <c r="CM186" s="23">
        <f>EXP(-LN(2)/2)*CM185+(1-EXP(-LN(2)/2))/(LN(2)/2)*CG186*CJ186*VLOOKUP('Données projet'!$B$12,Paramètres!$A$1:$I$88,3,0)*0.475*44/12</f>
        <v>6.3341641820661568E-18</v>
      </c>
      <c r="CN186" s="24">
        <f t="shared" si="172"/>
        <v>13.394746759625969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-2.8421709430404007E-13</v>
      </c>
      <c r="O187" s="14">
        <f>N187*VLOOKUP('Données projet'!$B$9,Paramètres!$A$1:$I$88,3,0)*VLOOKUP('Données projet'!$B$9,Paramètres!$A$1:$I$88,5,0)</f>
        <v>-2.5715962692629546E-13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373.09674935534343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36.331224762595113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36.331224762595113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projet'!$B$10,Paramètres!$A$1:$I$88,3,0)*VLOOKUP('Données projet'!$B$10,Paramètres!$A$1:$I$88,5,0)</f>
        <v>-1.6227659216383472E-13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509.66893546110458</v>
      </c>
      <c r="AO187" s="62">
        <f t="shared" si="144"/>
        <v>280.1645836141924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55.227829980299838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55.227829980299838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projet'!$B$11,Paramètres!$A$1:$I$88,3,0)*VLOOKUP('Données projet'!$B$11,Paramètres!$A$1:$I$88,5,0)</f>
        <v>1.3596945791505279E-13</v>
      </c>
      <c r="BF187" s="14">
        <f t="shared" si="167"/>
        <v>1.9708830566360721E-12</v>
      </c>
      <c r="BG187" s="22">
        <f t="shared" si="168"/>
        <v>3.669434796176543E-12</v>
      </c>
      <c r="BH187" s="62">
        <f t="shared" si="116"/>
        <v>293.33333333333701</v>
      </c>
      <c r="BI187" s="62">
        <f ca="1">AVERAGE(OFFSET($BH$3,0,0,'Données projet'!$E$11+1,1))-AVERAGE(OFFSET($H$3,0,0,'Données projet'!$E$11+1,1))</f>
        <v>311.82072478731385</v>
      </c>
      <c r="BJ187" s="62">
        <f t="shared" si="146"/>
        <v>356.36714671797864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13.609488033093831</v>
      </c>
      <c r="BQ187" s="23">
        <f>EXP(-LN(2)/25)*BQ186+(1-EXP(-LN(2)/25))/(LN(2)/25)*Calculateur!BL187*Calculateur!BN187*VLOOKUP('Données projet'!$B$11,Paramètres!$A$1:$I$88,3,0)*0.475*44/12</f>
        <v>1.4974194909457241</v>
      </c>
      <c r="BR187" s="23">
        <f>EXP(-LN(2)/2)*BR186+(1-EXP(-LN(2)/2))/(LN(2)/2)*BL187*BO187*VLOOKUP('Données projet'!$B$11,Paramètres!$A$1:$I$88,3,0)*0.475*44/12</f>
        <v>6.4073761651486318E-18</v>
      </c>
      <c r="BS187" s="24">
        <f t="shared" si="169"/>
        <v>15.106907524039555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218.39403703215032</v>
      </c>
      <c r="CE187" s="62">
        <f t="shared" si="148"/>
        <v>254.08208375594052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12.204736627040656</v>
      </c>
      <c r="CL187" s="23">
        <f>EXP(-LN(2)/25)*CL186+(1-EXP(-LN(2)/25))/(LN(2)/25)*Calculateur!CG187*Calculateur!CI187*VLOOKUP('Données projet'!$B$12,Paramètres!$A$1:$I$88,3,0)*0.475*44/12</f>
        <v>0.92003018825178373</v>
      </c>
      <c r="CM187" s="23">
        <f>EXP(-LN(2)/2)*CM186+(1-EXP(-LN(2)/2))/(LN(2)/2)*CG187*CJ187*VLOOKUP('Données projet'!$B$12,Paramètres!$A$1:$I$88,3,0)*0.475*44/12</f>
        <v>4.4789304462879207E-18</v>
      </c>
      <c r="CN187" s="24">
        <f t="shared" si="172"/>
        <v>13.124766815292441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-2.8421709430404007E-13</v>
      </c>
      <c r="O188" s="14">
        <f>N188*VLOOKUP('Données projet'!$B$9,Paramètres!$A$1:$I$88,3,0)*VLOOKUP('Données projet'!$B$9,Paramètres!$A$1:$I$88,5,0)</f>
        <v>-2.5715962692629546E-13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373.09674935534343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35.618791604859624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35.618791604859624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projet'!$B$10,Paramètres!$A$1:$I$88,3,0)*VLOOKUP('Données projet'!$B$10,Paramètres!$A$1:$I$88,5,0)</f>
        <v>-1.6227659216383472E-13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509.66893546110458</v>
      </c>
      <c r="AO188" s="62">
        <f t="shared" si="144"/>
        <v>280.1645836141924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54.144845920036261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54.144845920036261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projet'!$B$11,Paramètres!$A$1:$I$88,3,0)*VLOOKUP('Données projet'!$B$11,Paramètres!$A$1:$I$88,5,0)</f>
        <v>1.3596945791505279E-13</v>
      </c>
      <c r="BF188" s="14">
        <f t="shared" si="167"/>
        <v>1.9708830566360721E-12</v>
      </c>
      <c r="BG188" s="22">
        <f t="shared" si="168"/>
        <v>3.669434796176543E-12</v>
      </c>
      <c r="BH188" s="62">
        <f t="shared" si="116"/>
        <v>293.33333333333701</v>
      </c>
      <c r="BI188" s="62">
        <f ca="1">AVERAGE(OFFSET($BH$3,0,0,'Données projet'!$E$11+1,1))-AVERAGE(OFFSET($H$3,0,0,'Données projet'!$E$11+1,1))</f>
        <v>311.82072478731385</v>
      </c>
      <c r="BJ188" s="62">
        <f t="shared" si="146"/>
        <v>356.36714671797864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13.342614273732908</v>
      </c>
      <c r="BQ188" s="23">
        <f>EXP(-LN(2)/25)*BQ187+(1-EXP(-LN(2)/25))/(LN(2)/25)*Calculateur!BL188*Calculateur!BN188*VLOOKUP('Données projet'!$B$11,Paramètres!$A$1:$I$88,3,0)*0.475*44/12</f>
        <v>1.4564724762199446</v>
      </c>
      <c r="BR188" s="23">
        <f>EXP(-LN(2)/2)*BR187+(1-EXP(-LN(2)/2))/(LN(2)/2)*BL188*BO188*VLOOKUP('Données projet'!$B$11,Paramètres!$A$1:$I$88,3,0)*0.475*44/12</f>
        <v>4.5306991359896536E-18</v>
      </c>
      <c r="BS188" s="24">
        <f t="shared" si="169"/>
        <v>14.799086749952853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218.39403703215032</v>
      </c>
      <c r="CE188" s="62">
        <f t="shared" si="148"/>
        <v>254.08208375594052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11.965409185938682</v>
      </c>
      <c r="CL188" s="23">
        <f>EXP(-LN(2)/25)*CL187+(1-EXP(-LN(2)/25))/(LN(2)/25)*Calculateur!CG188*Calculateur!CI188*VLOOKUP('Données projet'!$B$12,Paramètres!$A$1:$I$88,3,0)*0.475*44/12</f>
        <v>0.89487191437175384</v>
      </c>
      <c r="CM188" s="23">
        <f>EXP(-LN(2)/2)*CM187+(1-EXP(-LN(2)/2))/(LN(2)/2)*CG188*CJ188*VLOOKUP('Données projet'!$B$12,Paramètres!$A$1:$I$88,3,0)*0.475*44/12</f>
        <v>3.1670820910330784E-18</v>
      </c>
      <c r="CN188" s="24">
        <f t="shared" si="172"/>
        <v>12.860281100310436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-2.8421709430404007E-13</v>
      </c>
      <c r="O189" s="14">
        <f>N189*VLOOKUP('Données projet'!$B$9,Paramètres!$A$1:$I$88,3,0)*VLOOKUP('Données projet'!$B$9,Paramètres!$A$1:$I$88,5,0)</f>
        <v>-2.5715962692629546E-13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373.09674935534343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34.920328826806006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34.920328826806006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projet'!$B$10,Paramètres!$A$1:$I$88,3,0)*VLOOKUP('Données projet'!$B$10,Paramètres!$A$1:$I$88,5,0)</f>
        <v>-1.6227659216383472E-13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509.66893546110458</v>
      </c>
      <c r="AO189" s="62">
        <f t="shared" si="144"/>
        <v>280.1645836141924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53.083098516639403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53.083098516639403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projet'!$B$11,Paramètres!$A$1:$I$88,3,0)*VLOOKUP('Données projet'!$B$11,Paramètres!$A$1:$I$88,5,0)</f>
        <v>1.3596945791505279E-13</v>
      </c>
      <c r="BF189" s="14">
        <f t="shared" si="167"/>
        <v>1.9708830566360721E-12</v>
      </c>
      <c r="BG189" s="22">
        <f t="shared" si="168"/>
        <v>3.669434796176543E-12</v>
      </c>
      <c r="BH189" s="62">
        <f t="shared" si="116"/>
        <v>293.33333333333701</v>
      </c>
      <c r="BI189" s="62">
        <f ca="1">AVERAGE(OFFSET($BH$3,0,0,'Données projet'!$E$11+1,1))-AVERAGE(OFFSET($H$3,0,0,'Données projet'!$E$11+1,1))</f>
        <v>311.82072478731385</v>
      </c>
      <c r="BJ189" s="62">
        <f t="shared" si="146"/>
        <v>356.36714671797864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13.080973746016133</v>
      </c>
      <c r="BQ189" s="23">
        <f>EXP(-LN(2)/25)*BQ188+(1-EXP(-LN(2)/25))/(LN(2)/25)*Calculateur!BL189*Calculateur!BN189*VLOOKUP('Données projet'!$B$11,Paramètres!$A$1:$I$88,3,0)*0.475*44/12</f>
        <v>1.4166451597651515</v>
      </c>
      <c r="BR189" s="23">
        <f>EXP(-LN(2)/2)*BR188+(1-EXP(-LN(2)/2))/(LN(2)/2)*BL189*BO189*VLOOKUP('Données projet'!$B$11,Paramètres!$A$1:$I$88,3,0)*0.475*44/12</f>
        <v>3.2036880825743159E-18</v>
      </c>
      <c r="BS189" s="24">
        <f t="shared" si="169"/>
        <v>14.497618905781284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218.39403703215032</v>
      </c>
      <c r="CE189" s="62">
        <f t="shared" si="148"/>
        <v>254.08208375594052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11.730774809981392</v>
      </c>
      <c r="CL189" s="23">
        <f>EXP(-LN(2)/25)*CL188+(1-EXP(-LN(2)/25))/(LN(2)/25)*Calculateur!CG189*Calculateur!CI189*VLOOKUP('Données projet'!$B$12,Paramètres!$A$1:$I$88,3,0)*0.475*44/12</f>
        <v>0.87040159481398949</v>
      </c>
      <c r="CM189" s="23">
        <f>EXP(-LN(2)/2)*CM188+(1-EXP(-LN(2)/2))/(LN(2)/2)*CG189*CJ189*VLOOKUP('Données projet'!$B$12,Paramètres!$A$1:$I$88,3,0)*0.475*44/12</f>
        <v>2.2394652231439603E-18</v>
      </c>
      <c r="CN189" s="24">
        <f t="shared" si="172"/>
        <v>12.601176404795382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-2.8421709430404007E-13</v>
      </c>
      <c r="O190" s="14">
        <f>N190*VLOOKUP('Données projet'!$B$9,Paramètres!$A$1:$I$88,3,0)*VLOOKUP('Données projet'!$B$9,Paramètres!$A$1:$I$88,5,0)</f>
        <v>-2.5715962692629546E-13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373.09674935534343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34.235562477809793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34.235562477809793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projet'!$B$10,Paramètres!$A$1:$I$88,3,0)*VLOOKUP('Données projet'!$B$10,Paramètres!$A$1:$I$88,5,0)</f>
        <v>-1.6227659216383472E-13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509.66893546110458</v>
      </c>
      <c r="AO190" s="62">
        <f t="shared" si="144"/>
        <v>280.1645836141924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52.042171332221187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52.042171332221187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projet'!$B$11,Paramètres!$A$1:$I$88,3,0)*VLOOKUP('Données projet'!$B$11,Paramètres!$A$1:$I$88,5,0)</f>
        <v>1.3596945791505279E-13</v>
      </c>
      <c r="BF190" s="14">
        <f t="shared" si="167"/>
        <v>1.9708830566360721E-12</v>
      </c>
      <c r="BG190" s="22">
        <f t="shared" si="168"/>
        <v>3.669434796176543E-12</v>
      </c>
      <c r="BH190" s="62">
        <f t="shared" si="116"/>
        <v>293.33333333333701</v>
      </c>
      <c r="BI190" s="62">
        <f ca="1">AVERAGE(OFFSET($BH$3,0,0,'Données projet'!$E$11+1,1))-AVERAGE(OFFSET($H$3,0,0,'Données projet'!$E$11+1,1))</f>
        <v>311.82072478731385</v>
      </c>
      <c r="BJ190" s="62">
        <f t="shared" si="146"/>
        <v>356.36714671797864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12.824463829462919</v>
      </c>
      <c r="BQ190" s="23">
        <f>EXP(-LN(2)/25)*BQ189+(1-EXP(-LN(2)/25))/(LN(2)/25)*Calculateur!BL190*Calculateur!BN190*VLOOKUP('Données projet'!$B$11,Paramètres!$A$1:$I$88,3,0)*0.475*44/12</f>
        <v>1.3779069233732422</v>
      </c>
      <c r="BR190" s="23">
        <f>EXP(-LN(2)/2)*BR189+(1-EXP(-LN(2)/2))/(LN(2)/2)*BL190*BO190*VLOOKUP('Données projet'!$B$11,Paramètres!$A$1:$I$88,3,0)*0.475*44/12</f>
        <v>2.2653495679948268E-18</v>
      </c>
      <c r="BS190" s="24">
        <f t="shared" si="169"/>
        <v>14.202370752836162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218.39403703215032</v>
      </c>
      <c r="CE190" s="62">
        <f t="shared" si="148"/>
        <v>254.08208375594052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11.500741471023787</v>
      </c>
      <c r="CL190" s="23">
        <f>EXP(-LN(2)/25)*CL189+(1-EXP(-LN(2)/25))/(LN(2)/25)*Calculateur!CG190*Calculateur!CI190*VLOOKUP('Données projet'!$B$12,Paramètres!$A$1:$I$88,3,0)*0.475*44/12</f>
        <v>0.84660041743137038</v>
      </c>
      <c r="CM190" s="23">
        <f>EXP(-LN(2)/2)*CM189+(1-EXP(-LN(2)/2))/(LN(2)/2)*CG190*CJ190*VLOOKUP('Données projet'!$B$12,Paramètres!$A$1:$I$88,3,0)*0.475*44/12</f>
        <v>1.5835410455165392E-18</v>
      </c>
      <c r="CN190" s="24">
        <f t="shared" si="172"/>
        <v>12.347341888455157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-2.8421709430404007E-13</v>
      </c>
      <c r="O191" s="14">
        <f>N191*VLOOKUP('Données projet'!$B$9,Paramètres!$A$1:$I$88,3,0)*VLOOKUP('Données projet'!$B$9,Paramètres!$A$1:$I$88,5,0)</f>
        <v>-2.5715962692629546E-13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373.09674935534343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33.564223979251167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33.564223979251167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projet'!$B$10,Paramètres!$A$1:$I$88,3,0)*VLOOKUP('Données projet'!$B$10,Paramètres!$A$1:$I$88,5,0)</f>
        <v>-1.6227659216383472E-13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509.66893546110458</v>
      </c>
      <c r="AO191" s="62">
        <f t="shared" si="144"/>
        <v>280.1645836141924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51.021656094986525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51.021656094986525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projet'!$B$11,Paramètres!$A$1:$I$88,3,0)*VLOOKUP('Données projet'!$B$11,Paramètres!$A$1:$I$88,5,0)</f>
        <v>1.3596945791505279E-13</v>
      </c>
      <c r="BF191" s="14">
        <f t="shared" si="167"/>
        <v>1.9708830566360721E-12</v>
      </c>
      <c r="BG191" s="22">
        <f t="shared" si="168"/>
        <v>3.669434796176543E-12</v>
      </c>
      <c r="BH191" s="62">
        <f t="shared" si="116"/>
        <v>293.33333333333701</v>
      </c>
      <c r="BI191" s="62">
        <f ca="1">AVERAGE(OFFSET($BH$3,0,0,'Données projet'!$E$11+1,1))-AVERAGE(OFFSET($H$3,0,0,'Données projet'!$E$11+1,1))</f>
        <v>311.82072478731385</v>
      </c>
      <c r="BJ191" s="62">
        <f t="shared" si="146"/>
        <v>356.36714671797864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12.572983915917714</v>
      </c>
      <c r="BQ191" s="23">
        <f>EXP(-LN(2)/25)*BQ190+(1-EXP(-LN(2)/25))/(LN(2)/25)*Calculateur!BL191*Calculateur!BN191*VLOOKUP('Données projet'!$B$11,Paramètres!$A$1:$I$88,3,0)*0.475*44/12</f>
        <v>1.3402279860926249</v>
      </c>
      <c r="BR191" s="23">
        <f>EXP(-LN(2)/2)*BR190+(1-EXP(-LN(2)/2))/(LN(2)/2)*BL191*BO191*VLOOKUP('Données projet'!$B$11,Paramètres!$A$1:$I$88,3,0)*0.475*44/12</f>
        <v>1.601844041287158E-18</v>
      </c>
      <c r="BS191" s="24">
        <f t="shared" si="169"/>
        <v>13.913211902010339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218.39403703215032</v>
      </c>
      <c r="CE191" s="62">
        <f t="shared" si="148"/>
        <v>254.08208375594052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11.275218945536658</v>
      </c>
      <c r="CL191" s="23">
        <f>EXP(-LN(2)/25)*CL190+(1-EXP(-LN(2)/25))/(LN(2)/25)*Calculateur!CG191*Calculateur!CI191*VLOOKUP('Données projet'!$B$12,Paramètres!$A$1:$I$88,3,0)*0.475*44/12</f>
        <v>0.82345008449592849</v>
      </c>
      <c r="CM191" s="23">
        <f>EXP(-LN(2)/2)*CM190+(1-EXP(-LN(2)/2))/(LN(2)/2)*CG191*CJ191*VLOOKUP('Données projet'!$B$12,Paramètres!$A$1:$I$88,3,0)*0.475*44/12</f>
        <v>1.1197326115719802E-18</v>
      </c>
      <c r="CN191" s="24">
        <f t="shared" si="172"/>
        <v>12.098669030032585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-2.8421709430404007E-13</v>
      </c>
      <c r="O192" s="14">
        <f>N192*VLOOKUP('Données projet'!$B$9,Paramètres!$A$1:$I$88,3,0)*VLOOKUP('Données projet'!$B$9,Paramètres!$A$1:$I$88,5,0)</f>
        <v>-2.5715962692629546E-13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373.09674935534343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32.906050019173222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32.906050019173222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projet'!$B$10,Paramètres!$A$1:$I$88,3,0)*VLOOKUP('Données projet'!$B$10,Paramètres!$A$1:$I$88,5,0)</f>
        <v>-1.6227659216383472E-13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509.66893546110458</v>
      </c>
      <c r="AO192" s="62">
        <f t="shared" si="144"/>
        <v>280.1645836141924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50.021152539101202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50.021152539101202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projet'!$B$11,Paramètres!$A$1:$I$88,3,0)*VLOOKUP('Données projet'!$B$11,Paramètres!$A$1:$I$88,5,0)</f>
        <v>1.3596945791505279E-13</v>
      </c>
      <c r="BF192" s="14">
        <f t="shared" si="167"/>
        <v>1.9708830566360721E-12</v>
      </c>
      <c r="BG192" s="22">
        <f t="shared" si="168"/>
        <v>3.669434796176543E-12</v>
      </c>
      <c r="BH192" s="62">
        <f t="shared" si="116"/>
        <v>293.33333333333701</v>
      </c>
      <c r="BI192" s="62">
        <f ca="1">AVERAGE(OFFSET($BH$3,0,0,'Données projet'!$E$11+1,1))-AVERAGE(OFFSET($H$3,0,0,'Données projet'!$E$11+1,1))</f>
        <v>311.82072478731385</v>
      </c>
      <c r="BJ192" s="62">
        <f t="shared" si="146"/>
        <v>356.36714671797864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12.326435370089529</v>
      </c>
      <c r="BQ192" s="23">
        <f>EXP(-LN(2)/25)*BQ191+(1-EXP(-LN(2)/25))/(LN(2)/25)*Calculateur!BL192*Calculateur!BN192*VLOOKUP('Données projet'!$B$11,Paramètres!$A$1:$I$88,3,0)*0.475*44/12</f>
        <v>1.3035793813333956</v>
      </c>
      <c r="BR192" s="23">
        <f>EXP(-LN(2)/2)*BR191+(1-EXP(-LN(2)/2))/(LN(2)/2)*BL192*BO192*VLOOKUP('Données projet'!$B$11,Paramètres!$A$1:$I$88,3,0)*0.475*44/12</f>
        <v>1.1326747839974134E-18</v>
      </c>
      <c r="BS192" s="24">
        <f t="shared" si="169"/>
        <v>13.630014751422925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218.39403703215032</v>
      </c>
      <c r="CE192" s="62">
        <f t="shared" si="148"/>
        <v>254.08208375594052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11.054118779219174</v>
      </c>
      <c r="CL192" s="23">
        <f>EXP(-LN(2)/25)*CL191+(1-EXP(-LN(2)/25))/(LN(2)/25)*Calculateur!CG192*Calculateur!CI192*VLOOKUP('Données projet'!$B$12,Paramètres!$A$1:$I$88,3,0)*0.475*44/12</f>
        <v>0.80093279863202937</v>
      </c>
      <c r="CM192" s="23">
        <f>EXP(-LN(2)/2)*CM191+(1-EXP(-LN(2)/2))/(LN(2)/2)*CG192*CJ192*VLOOKUP('Données projet'!$B$12,Paramètres!$A$1:$I$88,3,0)*0.475*44/12</f>
        <v>7.917705227582696E-19</v>
      </c>
      <c r="CN192" s="24">
        <f t="shared" si="172"/>
        <v>11.855051577851203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-2.8421709430404007E-13</v>
      </c>
      <c r="O193" s="14">
        <f>N193*VLOOKUP('Données projet'!$B$9,Paramètres!$A$1:$I$88,3,0)*VLOOKUP('Données projet'!$B$9,Paramètres!$A$1:$I$88,5,0)</f>
        <v>-2.5715962692629546E-13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373.09674935534343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32.26078244900593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32.26078244900593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projet'!$B$10,Paramètres!$A$1:$I$88,3,0)*VLOOKUP('Données projet'!$B$10,Paramètres!$A$1:$I$88,5,0)</f>
        <v>-1.6227659216383472E-13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509.66893546110458</v>
      </c>
      <c r="AO193" s="62">
        <f t="shared" si="144"/>
        <v>280.1645836141924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49.040268247699878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49.040268247699878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projet'!$B$11,Paramètres!$A$1:$I$88,3,0)*VLOOKUP('Données projet'!$B$11,Paramètres!$A$1:$I$88,5,0)</f>
        <v>1.3596945791505279E-13</v>
      </c>
      <c r="BF193" s="14">
        <f t="shared" si="167"/>
        <v>1.9708830566360721E-12</v>
      </c>
      <c r="BG193" s="22">
        <f t="shared" si="168"/>
        <v>3.669434796176543E-12</v>
      </c>
      <c r="BH193" s="62">
        <f t="shared" si="116"/>
        <v>293.33333333333701</v>
      </c>
      <c r="BI193" s="62">
        <f ca="1">AVERAGE(OFFSET($BH$3,0,0,'Données projet'!$E$11+1,1))-AVERAGE(OFFSET($H$3,0,0,'Données projet'!$E$11+1,1))</f>
        <v>311.82072478731385</v>
      </c>
      <c r="BJ193" s="62">
        <f t="shared" si="146"/>
        <v>356.36714671797864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12.08472149086527</v>
      </c>
      <c r="BQ193" s="23">
        <f>EXP(-LN(2)/25)*BQ192+(1-EXP(-LN(2)/25))/(LN(2)/25)*Calculateur!BL193*Calculateur!BN193*VLOOKUP('Données projet'!$B$11,Paramètres!$A$1:$I$88,3,0)*0.475*44/12</f>
        <v>1.2679329345985735</v>
      </c>
      <c r="BR193" s="23">
        <f>EXP(-LN(2)/2)*BR192+(1-EXP(-LN(2)/2))/(LN(2)/2)*BL193*BO193*VLOOKUP('Données projet'!$B$11,Paramètres!$A$1:$I$88,3,0)*0.475*44/12</f>
        <v>8.0092202064357898E-19</v>
      </c>
      <c r="BS193" s="24">
        <f t="shared" si="169"/>
        <v>13.352654425463843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218.39403703215032</v>
      </c>
      <c r="CE193" s="62">
        <f t="shared" si="148"/>
        <v>254.08208375594052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10.83735425230539</v>
      </c>
      <c r="CL193" s="23">
        <f>EXP(-LN(2)/25)*CL192+(1-EXP(-LN(2)/25))/(LN(2)/25)*Calculateur!CG193*Calculateur!CI193*VLOOKUP('Données projet'!$B$12,Paramètres!$A$1:$I$88,3,0)*0.475*44/12</f>
        <v>0.77903124913421118</v>
      </c>
      <c r="CM193" s="23">
        <f>EXP(-LN(2)/2)*CM192+(1-EXP(-LN(2)/2))/(LN(2)/2)*CG193*CJ193*VLOOKUP('Données projet'!$B$12,Paramètres!$A$1:$I$88,3,0)*0.475*44/12</f>
        <v>5.5986630578599008E-19</v>
      </c>
      <c r="CN193" s="24">
        <f t="shared" si="172"/>
        <v>11.616385501439602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-2.8421709430404007E-13</v>
      </c>
      <c r="O194" s="14">
        <f>N194*VLOOKUP('Données projet'!$B$9,Paramètres!$A$1:$I$88,3,0)*VLOOKUP('Données projet'!$B$9,Paramètres!$A$1:$I$88,5,0)</f>
        <v>-2.5715962692629546E-13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373.09674935534343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31.62816818231526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31.62816818231526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projet'!$B$10,Paramètres!$A$1:$I$88,3,0)*VLOOKUP('Données projet'!$B$10,Paramètres!$A$1:$I$88,5,0)</f>
        <v>-1.6227659216383472E-13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509.66893546110458</v>
      </c>
      <c r="AO194" s="62">
        <f t="shared" si="144"/>
        <v>280.1645836141924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48.078618498972588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48.078618498972588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projet'!$B$11,Paramètres!$A$1:$I$88,3,0)*VLOOKUP('Données projet'!$B$11,Paramètres!$A$1:$I$88,5,0)</f>
        <v>1.3596945791505279E-13</v>
      </c>
      <c r="BF194" s="14">
        <f t="shared" si="167"/>
        <v>1.9708830566360721E-12</v>
      </c>
      <c r="BG194" s="22">
        <f t="shared" si="168"/>
        <v>3.669434796176543E-12</v>
      </c>
      <c r="BH194" s="62">
        <f t="shared" si="116"/>
        <v>293.33333333333701</v>
      </c>
      <c r="BI194" s="62">
        <f ca="1">AVERAGE(OFFSET($BH$3,0,0,'Données projet'!$E$11+1,1))-AVERAGE(OFFSET($H$3,0,0,'Données projet'!$E$11+1,1))</f>
        <v>311.82072478731385</v>
      </c>
      <c r="BJ194" s="62">
        <f t="shared" si="146"/>
        <v>356.36714671797864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11.847747473381691</v>
      </c>
      <c r="BQ194" s="23">
        <f>EXP(-LN(2)/25)*BQ193+(1-EXP(-LN(2)/25))/(LN(2)/25)*Calculateur!BL194*Calculateur!BN194*VLOOKUP('Données projet'!$B$11,Paramètres!$A$1:$I$88,3,0)*0.475*44/12</f>
        <v>1.2332612418242803</v>
      </c>
      <c r="BR194" s="23">
        <f>EXP(-LN(2)/2)*BR193+(1-EXP(-LN(2)/2))/(LN(2)/2)*BL194*BO194*VLOOKUP('Données projet'!$B$11,Paramètres!$A$1:$I$88,3,0)*0.475*44/12</f>
        <v>5.663373919987067E-19</v>
      </c>
      <c r="BS194" s="24">
        <f t="shared" si="169"/>
        <v>13.081008715205972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218.39403703215032</v>
      </c>
      <c r="CE194" s="62">
        <f t="shared" si="148"/>
        <v>254.08208375594052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10.624840345551078</v>
      </c>
      <c r="CL194" s="23">
        <f>EXP(-LN(2)/25)*CL193+(1-EXP(-LN(2)/25))/(LN(2)/25)*Calculateur!CG194*Calculateur!CI194*VLOOKUP('Données projet'!$B$12,Paramètres!$A$1:$I$88,3,0)*0.475*44/12</f>
        <v>0.75772859865916331</v>
      </c>
      <c r="CM194" s="23">
        <f>EXP(-LN(2)/2)*CM193+(1-EXP(-LN(2)/2))/(LN(2)/2)*CG194*CJ194*VLOOKUP('Données projet'!$B$12,Paramètres!$A$1:$I$88,3,0)*0.475*44/12</f>
        <v>3.958852613791348E-19</v>
      </c>
      <c r="CN194" s="24">
        <f t="shared" si="172"/>
        <v>11.382568944210242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-2.8421709430404007E-13</v>
      </c>
      <c r="O195" s="14">
        <f>N195*VLOOKUP('Données projet'!$B$9,Paramètres!$A$1:$I$88,3,0)*VLOOKUP('Données projet'!$B$9,Paramètres!$A$1:$I$88,5,0)</f>
        <v>-2.5715962692629546E-13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373.09674935534343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31.007959095537792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31.007959095537792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projet'!$B$10,Paramètres!$A$1:$I$88,3,0)*VLOOKUP('Données projet'!$B$10,Paramètres!$A$1:$I$88,5,0)</f>
        <v>-1.6227659216383472E-13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509.66893546110458</v>
      </c>
      <c r="AO195" s="62">
        <f t="shared" si="144"/>
        <v>280.1645836141924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47.13582611526941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47.13582611526941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projet'!$B$11,Paramètres!$A$1:$I$88,3,0)*VLOOKUP('Données projet'!$B$11,Paramètres!$A$1:$I$88,5,0)</f>
        <v>1.3596945791505279E-13</v>
      </c>
      <c r="BF195" s="14">
        <f t="shared" si="167"/>
        <v>1.9708830566360721E-12</v>
      </c>
      <c r="BG195" s="22">
        <f t="shared" si="168"/>
        <v>3.669434796176543E-12</v>
      </c>
      <c r="BH195" s="62">
        <f t="shared" si="116"/>
        <v>293.33333333333701</v>
      </c>
      <c r="BI195" s="62">
        <f ca="1">AVERAGE(OFFSET($BH$3,0,0,'Données projet'!$E$11+1,1))-AVERAGE(OFFSET($H$3,0,0,'Données projet'!$E$11+1,1))</f>
        <v>311.82072478731385</v>
      </c>
      <c r="BJ195" s="62">
        <f t="shared" si="146"/>
        <v>356.36714671797864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11.615420371841086</v>
      </c>
      <c r="BQ195" s="23">
        <f>EXP(-LN(2)/25)*BQ194+(1-EXP(-LN(2)/25))/(LN(2)/25)*Calculateur!BL195*Calculateur!BN195*VLOOKUP('Données projet'!$B$11,Paramètres!$A$1:$I$88,3,0)*0.475*44/12</f>
        <v>1.1995376483122053</v>
      </c>
      <c r="BR195" s="23">
        <f>EXP(-LN(2)/2)*BR194+(1-EXP(-LN(2)/2))/(LN(2)/2)*BL195*BO195*VLOOKUP('Données projet'!$B$11,Paramètres!$A$1:$I$88,3,0)*0.475*44/12</f>
        <v>4.0046101032178949E-19</v>
      </c>
      <c r="BS195" s="24">
        <f t="shared" si="169"/>
        <v>12.814958020153291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218.39403703215032</v>
      </c>
      <c r="CE195" s="62">
        <f t="shared" si="148"/>
        <v>254.08208375594052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10.416493706887534</v>
      </c>
      <c r="CL195" s="23">
        <f>EXP(-LN(2)/25)*CL194+(1-EXP(-LN(2)/25))/(LN(2)/25)*Calculateur!CG195*Calculateur!CI195*VLOOKUP('Données projet'!$B$12,Paramètres!$A$1:$I$88,3,0)*0.475*44/12</f>
        <v>0.73700847028161331</v>
      </c>
      <c r="CM195" s="23">
        <f>EXP(-LN(2)/2)*CM194+(1-EXP(-LN(2)/2))/(LN(2)/2)*CG195*CJ195*VLOOKUP('Données projet'!$B$12,Paramètres!$A$1:$I$88,3,0)*0.475*44/12</f>
        <v>2.7993315289299504E-19</v>
      </c>
      <c r="CN195" s="24">
        <f t="shared" si="172"/>
        <v>11.153502177169148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-2.8421709430404007E-13</v>
      </c>
      <c r="O196" s="14">
        <f>N196*VLOOKUP('Données projet'!$B$9,Paramètres!$A$1:$I$88,3,0)*VLOOKUP('Données projet'!$B$9,Paramètres!$A$1:$I$88,5,0)</f>
        <v>-2.5715962692629546E-13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373.09674935534343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30.39991193066184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30.39991193066184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projet'!$B$10,Paramètres!$A$1:$I$88,3,0)*VLOOKUP('Données projet'!$B$10,Paramètres!$A$1:$I$88,5,0)</f>
        <v>-1.6227659216383472E-13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509.66893546110458</v>
      </c>
      <c r="AO196" s="62">
        <f t="shared" si="144"/>
        <v>280.1645836141924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46.211521315164077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46.211521315164077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projet'!$B$11,Paramètres!$A$1:$I$88,3,0)*VLOOKUP('Données projet'!$B$11,Paramètres!$A$1:$I$88,5,0)</f>
        <v>1.3596945791505279E-13</v>
      </c>
      <c r="BF196" s="14">
        <f t="shared" si="167"/>
        <v>1.9708830566360721E-12</v>
      </c>
      <c r="BG196" s="22">
        <f t="shared" si="168"/>
        <v>3.669434796176543E-12</v>
      </c>
      <c r="BH196" s="62">
        <f t="shared" ref="BH196:BH203" si="194">BG196+(AY196+AZ196)*44/12</f>
        <v>293.33333333333701</v>
      </c>
      <c r="BI196" s="62">
        <f ca="1">AVERAGE(OFFSET($BH$3,0,0,'Données projet'!$E$11+1,1))-AVERAGE(OFFSET($H$3,0,0,'Données projet'!$E$11+1,1))</f>
        <v>311.82072478731385</v>
      </c>
      <c r="BJ196" s="62">
        <f t="shared" si="146"/>
        <v>356.36714671797864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11.387649063056152</v>
      </c>
      <c r="BQ196" s="23">
        <f>EXP(-LN(2)/25)*BQ195+(1-EXP(-LN(2)/25))/(LN(2)/25)*Calculateur!BL196*Calculateur!BN196*VLOOKUP('Données projet'!$B$11,Paramètres!$A$1:$I$88,3,0)*0.475*44/12</f>
        <v>1.1667362282381648</v>
      </c>
      <c r="BR196" s="23">
        <f>EXP(-LN(2)/2)*BR195+(1-EXP(-LN(2)/2))/(LN(2)/2)*BL196*BO196*VLOOKUP('Données projet'!$B$11,Paramètres!$A$1:$I$88,3,0)*0.475*44/12</f>
        <v>2.8316869599935335E-19</v>
      </c>
      <c r="BS196" s="24">
        <f t="shared" si="169"/>
        <v>12.554385291294317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218.39403703215032</v>
      </c>
      <c r="CE196" s="62">
        <f t="shared" si="148"/>
        <v>254.08208375594052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10.212232618729281</v>
      </c>
      <c r="CL196" s="23">
        <f>EXP(-LN(2)/25)*CL195+(1-EXP(-LN(2)/25))/(LN(2)/25)*Calculateur!CG196*Calculateur!CI196*VLOOKUP('Données projet'!$B$12,Paramètres!$A$1:$I$88,3,0)*0.475*44/12</f>
        <v>0.71685493490417163</v>
      </c>
      <c r="CM196" s="23">
        <f>EXP(-LN(2)/2)*CM195+(1-EXP(-LN(2)/2))/(LN(2)/2)*CG196*CJ196*VLOOKUP('Données projet'!$B$12,Paramètres!$A$1:$I$88,3,0)*0.475*44/12</f>
        <v>1.979426306895674E-19</v>
      </c>
      <c r="CN196" s="24">
        <f t="shared" si="172"/>
        <v>10.929087553633453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-2.8421709430404007E-13</v>
      </c>
      <c r="O197" s="14">
        <f>N197*VLOOKUP('Données projet'!$B$9,Paramètres!$A$1:$I$88,3,0)*VLOOKUP('Données projet'!$B$9,Paramètres!$A$1:$I$88,5,0)</f>
        <v>-2.5715962692629546E-13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373.09674935534343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29.803788199816957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29.803788199816957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projet'!$B$10,Paramètres!$A$1:$I$88,3,0)*VLOOKUP('Données projet'!$B$10,Paramètres!$A$1:$I$88,5,0)</f>
        <v>-1.6227659216383472E-13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509.66893546110458</v>
      </c>
      <c r="AO197" s="62">
        <f t="shared" ref="AO197:AO203" si="205">$AO$3</f>
        <v>280.1645836141924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45.305341568418548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45.305341568418548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projet'!$B$11,Paramètres!$A$1:$I$88,3,0)*VLOOKUP('Données projet'!$B$11,Paramètres!$A$1:$I$88,5,0)</f>
        <v>1.3596945791505279E-13</v>
      </c>
      <c r="BF197" s="14">
        <f t="shared" si="167"/>
        <v>1.9708830566360721E-12</v>
      </c>
      <c r="BG197" s="22">
        <f t="shared" si="168"/>
        <v>3.669434796176543E-12</v>
      </c>
      <c r="BH197" s="62">
        <f t="shared" si="194"/>
        <v>293.33333333333701</v>
      </c>
      <c r="BI197" s="62">
        <f ca="1">AVERAGE(OFFSET($BH$3,0,0,'Données projet'!$E$11+1,1))-AVERAGE(OFFSET($H$3,0,0,'Données projet'!$E$11+1,1))</f>
        <v>311.82072478731385</v>
      </c>
      <c r="BJ197" s="62">
        <f t="shared" ref="BJ197:BJ203" si="206">$BJ$3</f>
        <v>356.36714671797864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11.164344210709711</v>
      </c>
      <c r="BQ197" s="23">
        <f>EXP(-LN(2)/25)*BQ196+(1-EXP(-LN(2)/25))/(LN(2)/25)*Calculateur!BL197*Calculateur!BN197*VLOOKUP('Données projet'!$B$11,Paramètres!$A$1:$I$88,3,0)*0.475*44/12</f>
        <v>1.1348317647210007</v>
      </c>
      <c r="BR197" s="23">
        <f>EXP(-LN(2)/2)*BR196+(1-EXP(-LN(2)/2))/(LN(2)/2)*BL197*BO197*VLOOKUP('Données projet'!$B$11,Paramètres!$A$1:$I$88,3,0)*0.475*44/12</f>
        <v>2.0023050516089474E-19</v>
      </c>
      <c r="BS197" s="24">
        <f t="shared" si="169"/>
        <v>12.299175975430712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218.39403703215032</v>
      </c>
      <c r="CE197" s="62">
        <f t="shared" ref="CE197:CE203" si="207">$CE$3</f>
        <v>254.08208375594052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10.01197696592285</v>
      </c>
      <c r="CL197" s="23">
        <f>EXP(-LN(2)/25)*CL196+(1-EXP(-LN(2)/25))/(LN(2)/25)*Calculateur!CG197*Calculateur!CI197*VLOOKUP('Données projet'!$B$12,Paramètres!$A$1:$I$88,3,0)*0.475*44/12</f>
        <v>0.69725249901145447</v>
      </c>
      <c r="CM197" s="23">
        <f>EXP(-LN(2)/2)*CM196+(1-EXP(-LN(2)/2))/(LN(2)/2)*CG197*CJ197*VLOOKUP('Données projet'!$B$12,Paramètres!$A$1:$I$88,3,0)*0.475*44/12</f>
        <v>1.3996657644649752E-19</v>
      </c>
      <c r="CN197" s="24">
        <f t="shared" si="172"/>
        <v>10.709229464934305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-2.8421709430404007E-13</v>
      </c>
      <c r="O198" s="14">
        <f>N198*VLOOKUP('Données projet'!$B$9,Paramètres!$A$1:$I$88,3,0)*VLOOKUP('Données projet'!$B$9,Paramètres!$A$1:$I$88,5,0)</f>
        <v>-2.5715962692629546E-13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373.09674935534343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29.21935409173437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29.21935409173437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projet'!$B$10,Paramètres!$A$1:$I$88,3,0)*VLOOKUP('Données projet'!$B$10,Paramètres!$A$1:$I$88,5,0)</f>
        <v>-1.6227659216383472E-13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509.66893546110458</v>
      </c>
      <c r="AO198" s="62">
        <f t="shared" si="205"/>
        <v>280.1645836141924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44.416931453791634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44.416931453791634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projet'!$B$11,Paramètres!$A$1:$I$88,3,0)*VLOOKUP('Données projet'!$B$11,Paramètres!$A$1:$I$88,5,0)</f>
        <v>1.3596945791505279E-13</v>
      </c>
      <c r="BF198" s="14">
        <f t="shared" si="167"/>
        <v>1.9708830566360721E-12</v>
      </c>
      <c r="BG198" s="22">
        <f t="shared" si="168"/>
        <v>3.669434796176543E-12</v>
      </c>
      <c r="BH198" s="62">
        <f t="shared" si="194"/>
        <v>293.33333333333701</v>
      </c>
      <c r="BI198" s="62">
        <f ca="1">AVERAGE(OFFSET($BH$3,0,0,'Données projet'!$E$11+1,1))-AVERAGE(OFFSET($H$3,0,0,'Données projet'!$E$11+1,1))</f>
        <v>311.82072478731385</v>
      </c>
      <c r="BJ198" s="62">
        <f t="shared" si="206"/>
        <v>356.36714671797864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10.945418230315273</v>
      </c>
      <c r="BQ198" s="23">
        <f>EXP(-LN(2)/25)*BQ197+(1-EXP(-LN(2)/25))/(LN(2)/25)*Calculateur!BL198*Calculateur!BN198*VLOOKUP('Données projet'!$B$11,Paramètres!$A$1:$I$88,3,0)*0.475*44/12</f>
        <v>1.1037997304364962</v>
      </c>
      <c r="BR198" s="23">
        <f>EXP(-LN(2)/2)*BR197+(1-EXP(-LN(2)/2))/(LN(2)/2)*BL198*BO198*VLOOKUP('Données projet'!$B$11,Paramètres!$A$1:$I$88,3,0)*0.475*44/12</f>
        <v>1.4158434799967667E-19</v>
      </c>
      <c r="BS198" s="24">
        <f t="shared" si="169"/>
        <v>12.049217960751768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218.39403703215032</v>
      </c>
      <c r="CE198" s="62">
        <f t="shared" si="207"/>
        <v>254.08208375594052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9.8156482043240647</v>
      </c>
      <c r="CL198" s="23">
        <f>EXP(-LN(2)/25)*CL197+(1-EXP(-LN(2)/25))/(LN(2)/25)*Calculateur!CG198*Calculateur!CI198*VLOOKUP('Données projet'!$B$12,Paramètres!$A$1:$I$88,3,0)*0.475*44/12</f>
        <v>0.67818609275907094</v>
      </c>
      <c r="CM198" s="23">
        <f>EXP(-LN(2)/2)*CM197+(1-EXP(-LN(2)/2))/(LN(2)/2)*CG198*CJ198*VLOOKUP('Données projet'!$B$12,Paramètres!$A$1:$I$88,3,0)*0.475*44/12</f>
        <v>9.89713153447837E-20</v>
      </c>
      <c r="CN198" s="24">
        <f t="shared" si="172"/>
        <v>10.493834297083136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-2.8421709430404007E-13</v>
      </c>
      <c r="O199" s="14">
        <f>N199*VLOOKUP('Données projet'!$B$9,Paramètres!$A$1:$I$88,3,0)*VLOOKUP('Données projet'!$B$9,Paramètres!$A$1:$I$88,5,0)</f>
        <v>-2.5715962692629546E-13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373.09674935534343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28.646380380041673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28.646380380041673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projet'!$B$10,Paramètres!$A$1:$I$88,3,0)*VLOOKUP('Données projet'!$B$10,Paramètres!$A$1:$I$88,5,0)</f>
        <v>-1.6227659216383472E-13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509.66893546110458</v>
      </c>
      <c r="AO199" s="62">
        <f t="shared" si="205"/>
        <v>280.1645836141924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43.545942519635886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43.545942519635886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projet'!$B$11,Paramètres!$A$1:$I$88,3,0)*VLOOKUP('Données projet'!$B$11,Paramètres!$A$1:$I$88,5,0)</f>
        <v>1.3596945791505279E-13</v>
      </c>
      <c r="BF199" s="14">
        <f t="shared" si="167"/>
        <v>1.9708830566360721E-12</v>
      </c>
      <c r="BG199" s="22">
        <f t="shared" si="168"/>
        <v>3.669434796176543E-12</v>
      </c>
      <c r="BH199" s="62">
        <f t="shared" si="194"/>
        <v>293.33333333333701</v>
      </c>
      <c r="BI199" s="62">
        <f ca="1">AVERAGE(OFFSET($BH$3,0,0,'Données projet'!$E$11+1,1))-AVERAGE(OFFSET($H$3,0,0,'Données projet'!$E$11+1,1))</f>
        <v>311.82072478731385</v>
      </c>
      <c r="BJ199" s="62">
        <f t="shared" si="206"/>
        <v>356.36714671797864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10.730785254864706</v>
      </c>
      <c r="BQ199" s="23">
        <f>EXP(-LN(2)/25)*BQ198+(1-EXP(-LN(2)/25))/(LN(2)/25)*Calculateur!BL199*Calculateur!BN199*VLOOKUP('Données projet'!$B$11,Paramètres!$A$1:$I$88,3,0)*0.475*44/12</f>
        <v>1.073616268761405</v>
      </c>
      <c r="BR199" s="23">
        <f>EXP(-LN(2)/2)*BR198+(1-EXP(-LN(2)/2))/(LN(2)/2)*BL199*BO199*VLOOKUP('Données projet'!$B$11,Paramètres!$A$1:$I$88,3,0)*0.475*44/12</f>
        <v>1.0011525258044737E-19</v>
      </c>
      <c r="BS199" s="24">
        <f t="shared" si="169"/>
        <v>11.804401523626112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218.39403703215032</v>
      </c>
      <c r="CE199" s="62">
        <f t="shared" si="207"/>
        <v>254.08208375594052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9.6231693299915122</v>
      </c>
      <c r="CL199" s="23">
        <f>EXP(-LN(2)/25)*CL198+(1-EXP(-LN(2)/25))/(LN(2)/25)*Calculateur!CG199*Calculateur!CI199*VLOOKUP('Données projet'!$B$12,Paramètres!$A$1:$I$88,3,0)*0.475*44/12</f>
        <v>0.65964105838831755</v>
      </c>
      <c r="CM199" s="23">
        <f>EXP(-LN(2)/2)*CM198+(1-EXP(-LN(2)/2))/(LN(2)/2)*CG199*CJ199*VLOOKUP('Données projet'!$B$12,Paramètres!$A$1:$I$88,3,0)*0.475*44/12</f>
        <v>6.998328822324876E-20</v>
      </c>
      <c r="CN199" s="24">
        <f t="shared" si="172"/>
        <v>10.282810388379829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-2.8421709430404007E-13</v>
      </c>
      <c r="O200" s="14">
        <f>N200*VLOOKUP('Données projet'!$B$9,Paramètres!$A$1:$I$88,3,0)*VLOOKUP('Données projet'!$B$9,Paramètres!$A$1:$I$88,5,0)</f>
        <v>-2.5715962692629546E-13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373.09674935534343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28.084642333355816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28.084642333355816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projet'!$B$10,Paramètres!$A$1:$I$88,3,0)*VLOOKUP('Données projet'!$B$10,Paramètres!$A$1:$I$88,5,0)</f>
        <v>-1.6227659216383472E-13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509.66893546110458</v>
      </c>
      <c r="AO200" s="62">
        <f t="shared" si="205"/>
        <v>280.1645836141924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42.692033147228145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42.692033147228145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projet'!$B$11,Paramètres!$A$1:$I$88,3,0)*VLOOKUP('Données projet'!$B$11,Paramètres!$A$1:$I$88,5,0)</f>
        <v>1.3596945791505279E-13</v>
      </c>
      <c r="BF200" s="14">
        <f t="shared" si="167"/>
        <v>1.9708830566360721E-12</v>
      </c>
      <c r="BG200" s="22">
        <f t="shared" si="168"/>
        <v>3.669434796176543E-12</v>
      </c>
      <c r="BH200" s="62">
        <f t="shared" si="194"/>
        <v>293.33333333333701</v>
      </c>
      <c r="BI200" s="62">
        <f ca="1">AVERAGE(OFFSET($BH$3,0,0,'Données projet'!$E$11+1,1))-AVERAGE(OFFSET($H$3,0,0,'Données projet'!$E$11+1,1))</f>
        <v>311.82072478731385</v>
      </c>
      <c r="BJ200" s="62">
        <f t="shared" si="206"/>
        <v>356.36714671797864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10.520361101149536</v>
      </c>
      <c r="BQ200" s="23">
        <f>EXP(-LN(2)/25)*BQ199+(1-EXP(-LN(2)/25))/(LN(2)/25)*Calculateur!BL200*Calculateur!BN200*VLOOKUP('Données projet'!$B$11,Paramètres!$A$1:$I$88,3,0)*0.475*44/12</f>
        <v>1.0442581754330986</v>
      </c>
      <c r="BR200" s="23">
        <f>EXP(-LN(2)/2)*BR199+(1-EXP(-LN(2)/2))/(LN(2)/2)*BL200*BO200*VLOOKUP('Données projet'!$B$11,Paramètres!$A$1:$I$88,3,0)*0.475*44/12</f>
        <v>7.0792173999838337E-20</v>
      </c>
      <c r="BS200" s="24">
        <f t="shared" si="169"/>
        <v>11.564619276582635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218.39403703215032</v>
      </c>
      <c r="CE200" s="62">
        <f t="shared" si="207"/>
        <v>254.08208375594052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9.4344648489840992</v>
      </c>
      <c r="CL200" s="23">
        <f>EXP(-LN(2)/25)*CL199+(1-EXP(-LN(2)/25))/(LN(2)/25)*Calculateur!CG200*Calculateur!CI200*VLOOKUP('Données projet'!$B$12,Paramètres!$A$1:$I$88,3,0)*0.475*44/12</f>
        <v>0.6416031389576734</v>
      </c>
      <c r="CM200" s="23">
        <f>EXP(-LN(2)/2)*CM199+(1-EXP(-LN(2)/2))/(LN(2)/2)*CG200*CJ200*VLOOKUP('Données projet'!$B$12,Paramètres!$A$1:$I$88,3,0)*0.475*44/12</f>
        <v>4.948565767239185E-20</v>
      </c>
      <c r="CN200" s="24">
        <f t="shared" si="172"/>
        <v>10.076067987941773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-2.8421709430404007E-13</v>
      </c>
      <c r="O201" s="14">
        <f>N201*VLOOKUP('Données projet'!$B$9,Paramètres!$A$1:$I$88,3,0)*VLOOKUP('Données projet'!$B$9,Paramètres!$A$1:$I$88,5,0)</f>
        <v>-2.5715962692629546E-13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373.09674935534343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27.533919627139092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27.533919627139092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projet'!$B$10,Paramètres!$A$1:$I$88,3,0)*VLOOKUP('Données projet'!$B$10,Paramètres!$A$1:$I$88,5,0)</f>
        <v>-1.6227659216383472E-13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509.66893546110458</v>
      </c>
      <c r="AO201" s="62">
        <f t="shared" si="205"/>
        <v>280.1645836141924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41.854868416780029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41.854868416780029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projet'!$B$11,Paramètres!$A$1:$I$88,3,0)*VLOOKUP('Données projet'!$B$11,Paramètres!$A$1:$I$88,5,0)</f>
        <v>1.3596945791505279E-13</v>
      </c>
      <c r="BF201" s="14">
        <f t="shared" si="167"/>
        <v>1.9708830566360721E-12</v>
      </c>
      <c r="BG201" s="22">
        <f t="shared" si="168"/>
        <v>3.669434796176543E-12</v>
      </c>
      <c r="BH201" s="62">
        <f t="shared" si="194"/>
        <v>293.33333333333701</v>
      </c>
      <c r="BI201" s="62">
        <f ca="1">AVERAGE(OFFSET($BH$3,0,0,'Données projet'!$E$11+1,1))-AVERAGE(OFFSET($H$3,0,0,'Données projet'!$E$11+1,1))</f>
        <v>311.82072478731385</v>
      </c>
      <c r="BJ201" s="62">
        <f t="shared" si="206"/>
        <v>356.36714671797864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10.31406323674266</v>
      </c>
      <c r="BQ201" s="23">
        <f>EXP(-LN(2)/25)*BQ200+(1-EXP(-LN(2)/25))/(LN(2)/25)*Calculateur!BL201*Calculateur!BN201*VLOOKUP('Données projet'!$B$11,Paramètres!$A$1:$I$88,3,0)*0.475*44/12</f>
        <v>1.0157028807107298</v>
      </c>
      <c r="BR201" s="23">
        <f>EXP(-LN(2)/2)*BR200+(1-EXP(-LN(2)/2))/(LN(2)/2)*BL201*BO201*VLOOKUP('Données projet'!$B$11,Paramètres!$A$1:$I$88,3,0)*0.475*44/12</f>
        <v>5.0057626290223686E-20</v>
      </c>
      <c r="BS201" s="24">
        <f t="shared" si="169"/>
        <v>11.32976611745339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218.39403703215032</v>
      </c>
      <c r="CE201" s="62">
        <f t="shared" si="207"/>
        <v>254.08208375594052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9.2494607477508737</v>
      </c>
      <c r="CL201" s="23">
        <f>EXP(-LN(2)/25)*CL200+(1-EXP(-LN(2)/25))/(LN(2)/25)*Calculateur!CG201*Calculateur!CI201*VLOOKUP('Données projet'!$B$12,Paramètres!$A$1:$I$88,3,0)*0.475*44/12</f>
        <v>0.6240584673824332</v>
      </c>
      <c r="CM201" s="23">
        <f>EXP(-LN(2)/2)*CM200+(1-EXP(-LN(2)/2))/(LN(2)/2)*CG201*CJ201*VLOOKUP('Données projet'!$B$12,Paramètres!$A$1:$I$88,3,0)*0.475*44/12</f>
        <v>3.499164411162438E-20</v>
      </c>
      <c r="CN201" s="24">
        <f t="shared" si="172"/>
        <v>9.8735192151333067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-2.8421709430404007E-13</v>
      </c>
      <c r="O202" s="14">
        <f>N202*VLOOKUP('Données projet'!$B$9,Paramètres!$A$1:$I$88,3,0)*VLOOKUP('Données projet'!$B$9,Paramètres!$A$1:$I$88,5,0)</f>
        <v>-2.5715962692629546E-13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373.09674935534343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26.993996257283595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26.993996257283595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projet'!$B$10,Paramètres!$A$1:$I$88,3,0)*VLOOKUP('Données projet'!$B$10,Paramètres!$A$1:$I$88,5,0)</f>
        <v>-1.6227659216383472E-13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509.66893546110458</v>
      </c>
      <c r="AO202" s="62">
        <f t="shared" si="205"/>
        <v>280.1645836141924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41.034119976075935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41.034119976075935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projet'!$B$11,Paramètres!$A$1:$I$88,3,0)*VLOOKUP('Données projet'!$B$11,Paramètres!$A$1:$I$88,5,0)</f>
        <v>1.3596945791505279E-13</v>
      </c>
      <c r="BF202" s="14">
        <f t="shared" si="167"/>
        <v>1.9708830566360721E-12</v>
      </c>
      <c r="BG202" s="22">
        <f t="shared" si="168"/>
        <v>3.669434796176543E-12</v>
      </c>
      <c r="BH202" s="62">
        <f t="shared" si="194"/>
        <v>293.33333333333701</v>
      </c>
      <c r="BI202" s="62">
        <f ca="1">AVERAGE(OFFSET($BH$3,0,0,'Données projet'!$E$11+1,1))-AVERAGE(OFFSET($H$3,0,0,'Données projet'!$E$11+1,1))</f>
        <v>311.82072478731385</v>
      </c>
      <c r="BJ202" s="62">
        <f t="shared" si="206"/>
        <v>356.36714671797864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10.11181074762753</v>
      </c>
      <c r="BQ202" s="23">
        <f>EXP(-LN(2)/25)*BQ201+(1-EXP(-LN(2)/25))/(LN(2)/25)*Calculateur!BL202*Calculateur!BN202*VLOOKUP('Données projet'!$B$11,Paramètres!$A$1:$I$88,3,0)*0.475*44/12</f>
        <v>0.98792843202420177</v>
      </c>
      <c r="BR202" s="23">
        <f>EXP(-LN(2)/2)*BR201+(1-EXP(-LN(2)/2))/(LN(2)/2)*BL202*BO202*VLOOKUP('Données projet'!$B$11,Paramètres!$A$1:$I$88,3,0)*0.475*44/12</f>
        <v>3.5396086999919168E-20</v>
      </c>
      <c r="BS202" s="24">
        <f t="shared" si="169"/>
        <v>11.099739179651731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218.39403703215032</v>
      </c>
      <c r="CE202" s="62">
        <f t="shared" si="207"/>
        <v>254.08208375594052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9.0680844641014726</v>
      </c>
      <c r="CL202" s="23">
        <f>EXP(-LN(2)/25)*CL201+(1-EXP(-LN(2)/25))/(LN(2)/25)*Calculateur!CG202*Calculateur!CI202*VLOOKUP('Données projet'!$B$12,Paramètres!$A$1:$I$88,3,0)*0.475*44/12</f>
        <v>0.60699355577405212</v>
      </c>
      <c r="CM202" s="23">
        <f>EXP(-LN(2)/2)*CM201+(1-EXP(-LN(2)/2))/(LN(2)/2)*CG202*CJ202*VLOOKUP('Données projet'!$B$12,Paramètres!$A$1:$I$88,3,0)*0.475*44/12</f>
        <v>2.4742828836195925E-20</v>
      </c>
      <c r="CN202" s="24">
        <f t="shared" si="172"/>
        <v>9.6750780198755244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-2.8421709430404007E-13</v>
      </c>
      <c r="O203" s="14">
        <f>N203*VLOOKUP('Données projet'!$B$9,Paramètres!$A$1:$I$88,3,0)*VLOOKUP('Données projet'!$B$9,Paramètres!$A$1:$I$88,5,0)</f>
        <v>-2.5715962692629546E-13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373.09674935534343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26.464660455390224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26.464660455390224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projet'!$B$10,Paramètres!$A$1:$I$88,3,0)*VLOOKUP('Données projet'!$B$10,Paramètres!$A$1:$I$88,5,0)</f>
        <v>-1.6227659216383472E-13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509.66893546110458</v>
      </c>
      <c r="AO203" s="62">
        <f t="shared" si="205"/>
        <v>280.1645836141924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40.22946591168693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40.22946591168693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projet'!$B$11,Paramètres!$A$1:$I$88,3,0)*VLOOKUP('Données projet'!$B$11,Paramètres!$A$1:$I$88,5,0)</f>
        <v>1.3596945791505279E-13</v>
      </c>
      <c r="BF203" s="14">
        <f t="shared" si="167"/>
        <v>1.9708830566360721E-12</v>
      </c>
      <c r="BG203" s="22">
        <f t="shared" si="168"/>
        <v>3.669434796176543E-12</v>
      </c>
      <c r="BH203" s="62">
        <f t="shared" si="194"/>
        <v>293.33333333333701</v>
      </c>
      <c r="BI203" s="62">
        <f ca="1">AVERAGE(OFFSET($BH$3,0,0,'Données projet'!$E$11+1,1))-AVERAGE(OFFSET($H$3,0,0,'Données projet'!$E$11+1,1))</f>
        <v>311.82072478731385</v>
      </c>
      <c r="BJ203" s="62">
        <f t="shared" si="206"/>
        <v>356.36714671797864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9.9135243064621097</v>
      </c>
      <c r="BQ203" s="23">
        <f>EXP(-LN(2)/25)*BQ202+(1-EXP(-LN(2)/25))/(LN(2)/25)*Calculateur!BL203*Calculateur!BN203*VLOOKUP('Données projet'!$B$11,Paramètres!$A$1:$I$88,3,0)*0.475*44/12</f>
        <v>0.96091347709760166</v>
      </c>
      <c r="BR203" s="23">
        <f>EXP(-LN(2)/2)*BR202+(1-EXP(-LN(2)/2))/(LN(2)/2)*BL203*BO203*VLOOKUP('Données projet'!$B$11,Paramètres!$A$1:$I$88,3,0)*0.475*44/12</f>
        <v>2.5028813145111843E-20</v>
      </c>
      <c r="BS203" s="24">
        <f t="shared" si="169"/>
        <v>10.874437783559712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218.39403703215032</v>
      </c>
      <c r="CE203" s="62">
        <f t="shared" si="207"/>
        <v>254.08208375594052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8.8902648587458266</v>
      </c>
      <c r="CL203" s="23">
        <f>EXP(-LN(2)/25)*CL202+(1-EXP(-LN(2)/25))/(LN(2)/25)*Calculateur!CG203*Calculateur!CI203*VLOOKUP('Données projet'!$B$12,Paramètres!$A$1:$I$88,3,0)*0.475*44/12</f>
        <v>0.59039528507100691</v>
      </c>
      <c r="CM203" s="23">
        <f>EXP(-LN(2)/2)*CM202+(1-EXP(-LN(2)/2))/(LN(2)/2)*CG203*CJ203*VLOOKUP('Données projet'!$B$12,Paramètres!$A$1:$I$88,3,0)*0.475*44/12</f>
        <v>1.749582205581219E-20</v>
      </c>
      <c r="CN203" s="24">
        <f t="shared" si="172"/>
        <v>9.4806601438168343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1.189207115002721</v>
      </c>
      <c r="BA205" s="88">
        <f>EXP(LN('Données projet'!B88)/'Données projet'!A88)</f>
        <v>1.3335339730287799</v>
      </c>
      <c r="BV205" s="88">
        <f>EXP(LN('Données projet'!B114)/'Données projet'!A114)</f>
        <v>1.2755490616773966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1" zoomScale="70" zoomScaleNormal="70" workbookViewId="0">
      <selection activeCell="M22" sqref="M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1.69926</v>
      </c>
      <c r="C6" s="157">
        <f ca="1">IF(OR('Données projet'!B9="",'Données projet'!C9="",'Données projet'!C9=0%),0,Calculateur!S3)</f>
        <v>373.09674935534343</v>
      </c>
      <c r="D6" s="157">
        <f>IF(OR('Données projet'!B9="",'Données projet'!C9="",'Données projet'!C9=0%),0,Calculateur!T3)</f>
        <v>231.36959598460686</v>
      </c>
      <c r="E6" s="157">
        <f ca="1">MIN(C6,D6)</f>
        <v>231.36959598460686</v>
      </c>
      <c r="F6" s="157">
        <f ca="1">E6*B6</f>
        <v>393.15709967280304</v>
      </c>
      <c r="G6" s="157">
        <f ca="1">F6*(100%-'Données projet'!$C$24)*(100%-'Données projet'!$C$25)*(100%-'Données projet'!$C$26)*(100%-'Données projet'!$C$27)</f>
        <v>353.84138970552277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12.319635</v>
      </c>
      <c r="K6" s="161">
        <f>J6*(100%-'Données projet'!$C$24)*(100%-'Données projet'!$C$25)*(100%-'Données projet'!$C$26)*(100%-'Données projet'!$C$27)</f>
        <v>11.087671500000001</v>
      </c>
      <c r="L6" s="162">
        <f ca="1">G6+I6+K6</f>
        <v>364.92906120552277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Charme</v>
      </c>
      <c r="B7" s="164">
        <f>'Données projet'!D10</f>
        <v>0.43434</v>
      </c>
      <c r="C7" s="157">
        <f ca="1">IF(OR('Données projet'!B10="",'Données projet'!C10="",'Données projet'!C10=0%),0,Calculateur!AN3)</f>
        <v>509.66893546110458</v>
      </c>
      <c r="D7" s="157">
        <f>IF(OR('Données projet'!B10="",'Données projet'!C10="",'Données projet'!C10=0%),0,Calculateur!AO3)</f>
        <v>280.1645836141924</v>
      </c>
      <c r="E7" s="157">
        <f t="shared" ref="E7:E15" ca="1" si="0">MIN(C7,D7)</f>
        <v>280.1645836141924</v>
      </c>
      <c r="F7" s="157">
        <f t="shared" ref="F7:F15" ca="1" si="1">E7*B7</f>
        <v>121.68668524698833</v>
      </c>
      <c r="G7" s="157">
        <f ca="1">F7*(100%-'Données projet'!$C$24)*(100%-'Données projet'!$C$25)*(100%-'Données projet'!$C$26)*(100%-'Données projet'!$C$27)</f>
        <v>109.5180167222895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3.800475</v>
      </c>
      <c r="K7" s="161">
        <f>J7*(100%-'Données projet'!$C$24)*(100%-'Données projet'!$C$25)*(100%-'Données projet'!$C$26)*(100%-'Données projet'!$C$27)</f>
        <v>3.4204275000000002</v>
      </c>
      <c r="L7" s="162">
        <f t="shared" ref="L7:L15" ca="1" si="2">G7+I7+K7</f>
        <v>112.9384442222895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Pin laricio</v>
      </c>
      <c r="B8" s="164">
        <f>'Données projet'!D11</f>
        <v>0.99822000000000011</v>
      </c>
      <c r="C8" s="157">
        <f ca="1">IF(OR('Données projet'!B11="",'Données projet'!C11="",'Données projet'!C11=0%),0,Calculateur!BI3)</f>
        <v>311.82072478731385</v>
      </c>
      <c r="D8" s="157">
        <f>IF(OR('Données projet'!B11="",'Données projet'!C11="",'Données projet'!C11=0%),0,Calculateur!BJ3)</f>
        <v>356.36714671797864</v>
      </c>
      <c r="E8" s="157">
        <f t="shared" ca="1" si="0"/>
        <v>311.82072478731385</v>
      </c>
      <c r="F8" s="157">
        <f t="shared" ca="1" si="1"/>
        <v>311.26568389719245</v>
      </c>
      <c r="G8" s="157">
        <f ca="1">F8*(100%-'Données projet'!$C$24)*(100%-'Données projet'!$C$25)*(100%-'Données projet'!$C$26)*(100%-'Données projet'!$C$27)</f>
        <v>280.13911550747321</v>
      </c>
      <c r="H8" s="165">
        <f>IF(OR('Données projet'!B11="",'Données projet'!C11="",'Données projet'!C11=0%),0,AVERAGE(Calculateur!$BS$3:$BS$33)*B8)</f>
        <v>7.8832389561875118</v>
      </c>
      <c r="I8" s="159">
        <f>H8*(100%-'Données projet'!$C$24)*(100%-'Données projet'!$C$25)*(100%-'Données projet'!$C$26)*(100%-'Données projet'!$C$27)</f>
        <v>7.094915060568761</v>
      </c>
      <c r="J8" s="160">
        <f>IF(OR('Données projet'!B11="",'Données projet'!C11="",'Données projet'!C11=0%),0,SUM(Calculateur!$BL$3:$BL$33)*VLOOKUP('Données projet'!$B$11,Paramètres!$A$1:$I$88,9,0)*B8)</f>
        <v>60.092843999999999</v>
      </c>
      <c r="K8" s="161">
        <f>J8*(100%-'Données projet'!$C$24)*(100%-'Données projet'!$C$25)*(100%-'Données projet'!$C$26)*(100%-'Données projet'!$C$27)</f>
        <v>54.083559600000001</v>
      </c>
      <c r="L8" s="162">
        <f t="shared" ca="1" si="2"/>
        <v>341.31759016804199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>Cèdre de l'Atlas</v>
      </c>
      <c r="B9" s="164">
        <f>'Données projet'!D12</f>
        <v>0.67818000000000001</v>
      </c>
      <c r="C9" s="157">
        <f ca="1">IF(OR('Données projet'!B12="",'Données projet'!C12="",'Données projet'!C12=0%),0,Calculateur!CD3)</f>
        <v>218.39403703215032</v>
      </c>
      <c r="D9" s="157">
        <f>IF(OR('Données projet'!B12="",'Données projet'!C12="",'Données projet'!C12=0%),0,Calculateur!CE3)</f>
        <v>254.08208375594052</v>
      </c>
      <c r="E9" s="157">
        <f t="shared" ca="1" si="0"/>
        <v>218.39403703215032</v>
      </c>
      <c r="F9" s="157">
        <f t="shared" ca="1" si="1"/>
        <v>148.11046803446371</v>
      </c>
      <c r="G9" s="157">
        <f ca="1">F9*(100%-'Données projet'!$C$24)*(100%-'Données projet'!$C$25)*(100%-'Données projet'!$C$26)*(100%-'Données projet'!$C$27)</f>
        <v>133.29942123101733</v>
      </c>
      <c r="H9" s="165">
        <f>IF(OR('Données projet'!B12="",'Données projet'!C12="",'Données projet'!C12=0%),0,AVERAGE(Calculateur!$CN$3:$CN$33)*B9)</f>
        <v>2.8070418479423962</v>
      </c>
      <c r="I9" s="159">
        <f>H9*(100%-'Données projet'!$C$24)*(100%-'Données projet'!$C$25)*(100%-'Données projet'!$C$26)*(100%-'Données projet'!$C$27)</f>
        <v>2.5263376631481567</v>
      </c>
      <c r="J9" s="160">
        <f>IF(OR('Données projet'!B12="",'Données projet'!C12="",'Données projet'!C12=0%),0,SUM(Calculateur!$CG$3:$CG$33)*VLOOKUP('Données projet'!$B$12,Paramètres!$A$1:$I$88,9,0)*B9)</f>
        <v>29.161740000000002</v>
      </c>
      <c r="K9" s="161">
        <f>J9*(100%-'Données projet'!$C$24)*(100%-'Données projet'!$C$25)*(100%-'Données projet'!$C$26)*(100%-'Données projet'!$C$27)</f>
        <v>26.245566000000004</v>
      </c>
      <c r="L9" s="162">
        <f t="shared" ca="1" si="2"/>
        <v>162.07132489416549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974.21993685144741</v>
      </c>
      <c r="G16" s="176">
        <f t="shared" ca="1" si="3"/>
        <v>876.79794316630273</v>
      </c>
      <c r="H16" s="177">
        <f t="shared" si="3"/>
        <v>10.690280804129909</v>
      </c>
      <c r="I16" s="177">
        <f t="shared" si="3"/>
        <v>9.6212527237169176</v>
      </c>
      <c r="J16" s="178">
        <f t="shared" si="3"/>
        <v>105.37469400000001</v>
      </c>
      <c r="K16" s="178">
        <f t="shared" si="3"/>
        <v>94.837224600000013</v>
      </c>
      <c r="L16" s="179">
        <f t="shared" ca="1" si="3"/>
        <v>981.25642049001976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Charme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Pin laricio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>Cèdre de l'Atlas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J1" zoomScale="70" zoomScaleNormal="70" workbookViewId="0">
      <selection activeCell="R18" sqref="R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(425+285+220+400)*1.12</f>
        <v>1489.6000000000001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(220+400)*1.12</f>
        <v>694.40000000000009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>(220+400)*1.12</f>
        <v>694.40000000000009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>220*1.12</f>
        <v>246.40000000000003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>220*1.12</f>
        <v>246.40000000000003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-2242.542229477619</v>
      </c>
      <c r="K20" s="193">
        <f>'Données projet'!D9</f>
        <v>1.69926</v>
      </c>
      <c r="L20" s="192">
        <f>K20*J20</f>
        <v>-3810.6623088621391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2250*1.12</f>
        <v>2520.0000000000005</v>
      </c>
      <c r="F21" s="218"/>
      <c r="G21" s="231"/>
      <c r="H21" s="25"/>
      <c r="I21" s="188" t="str">
        <f>B44</f>
        <v>Charme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-2151.3130812178101</v>
      </c>
      <c r="K21" s="193">
        <f>'Données projet'!D10</f>
        <v>0.43434</v>
      </c>
      <c r="L21" s="192">
        <f t="shared" ref="L21:L29" si="0">K21*J21</f>
        <v>-934.40132369614366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>
        <f>'Données projet'!E36*30+('Données projet'!F36+'Données projet'!G36)*19.4+'Données projet'!H36*10</f>
        <v>10</v>
      </c>
      <c r="D22" s="197">
        <f>B22*C22</f>
        <v>0</v>
      </c>
      <c r="E22" s="210"/>
      <c r="F22" s="218"/>
      <c r="G22" s="227"/>
      <c r="H22" s="25"/>
      <c r="I22" s="188" t="str">
        <f>B70</f>
        <v>Pin laricio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5878.7738218642544</v>
      </c>
      <c r="K22" s="193">
        <f>'Données projet'!D11</f>
        <v>0.99822000000000011</v>
      </c>
      <c r="L22" s="192">
        <f t="shared" si="0"/>
        <v>5868.3096044613367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8</v>
      </c>
      <c r="C23" s="210">
        <f>'Données projet'!E37*30+('Données projet'!F37+'Données projet'!G37)*19.4+'Données projet'!H37*10</f>
        <v>10</v>
      </c>
      <c r="D23" s="197">
        <f t="shared" ref="D23:D41" si="1">B23*C23</f>
        <v>80</v>
      </c>
      <c r="E23" s="210"/>
      <c r="F23" s="219"/>
      <c r="G23" s="227"/>
      <c r="H23" s="25"/>
      <c r="I23" s="188" t="str">
        <f>B96</f>
        <v>Cèdre de l'Atlas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-145.4027185068519</v>
      </c>
      <c r="K23" s="193">
        <f>'Données projet'!D12</f>
        <v>0.67818000000000001</v>
      </c>
      <c r="L23" s="192">
        <f t="shared" si="0"/>
        <v>-98.609215636976828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21</v>
      </c>
      <c r="C24" s="210">
        <f>'Données projet'!E38*30+('Données projet'!F38+'Données projet'!G38)*19.4+'Données projet'!H38*10</f>
        <v>10</v>
      </c>
      <c r="D24" s="197">
        <f t="shared" si="1"/>
        <v>210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21</v>
      </c>
      <c r="C25" s="210">
        <f>'Données projet'!E39*30+('Données projet'!F39+'Données projet'!G39)*19.4+'Données projet'!H39*10</f>
        <v>10</v>
      </c>
      <c r="D25" s="197">
        <f t="shared" si="1"/>
        <v>210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21</v>
      </c>
      <c r="C26" s="210">
        <f>'Données projet'!E40*30+('Données projet'!F40+'Données projet'!G40)*19.4+'Données projet'!H40*10</f>
        <v>14</v>
      </c>
      <c r="D26" s="197">
        <f t="shared" si="1"/>
        <v>294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21</v>
      </c>
      <c r="C27" s="210">
        <f>'Données projet'!E41*30+('Données projet'!F41+'Données projet'!G41)*19.4+'Données projet'!H41*10</f>
        <v>14</v>
      </c>
      <c r="D27" s="197">
        <f t="shared" si="1"/>
        <v>294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21</v>
      </c>
      <c r="C28" s="210">
        <f>'Données projet'!E42*30+('Données projet'!F42+'Données projet'!G42)*19.4+'Données projet'!H42*10</f>
        <v>14</v>
      </c>
      <c r="D28" s="197">
        <f t="shared" si="1"/>
        <v>294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21</v>
      </c>
      <c r="C29" s="210">
        <f>'Données projet'!E43*30+('Données projet'!F43+'Données projet'!G43)*19.4+'Données projet'!H43*10</f>
        <v>14</v>
      </c>
      <c r="D29" s="197">
        <f t="shared" si="1"/>
        <v>294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21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21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21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21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-10688.001381918475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80</v>
      </c>
      <c r="B34" s="196">
        <f>'Données projet'!D48</f>
        <v>21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85</v>
      </c>
      <c r="B35" s="196">
        <f>'Données projet'!D49</f>
        <v>21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-10688.001381918475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90</v>
      </c>
      <c r="B36" s="196">
        <f>'Données projet'!D50</f>
        <v>21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95</v>
      </c>
      <c r="B37" s="196">
        <f>'Données projet'!D51</f>
        <v>21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100</v>
      </c>
      <c r="B38" s="196">
        <f>'Données projet'!D52</f>
        <v>21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105</v>
      </c>
      <c r="B39" s="196">
        <f>'Données projet'!D53</f>
        <v>20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110</v>
      </c>
      <c r="B40" s="196">
        <f>'Données projet'!D54</f>
        <v>19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120</v>
      </c>
      <c r="B41" s="196">
        <f>'Données projet'!D55</f>
        <v>285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Charme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2250*1.12</f>
        <v>2520.0000000000005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20</v>
      </c>
      <c r="B48" s="196">
        <f>'Données projet'!D62</f>
        <v>0</v>
      </c>
      <c r="C48" s="210">
        <f>'Données projet'!E62*42+('Données projet'!F62+'Données projet'!G62)*19.4+'Données projet'!H62*10</f>
        <v>10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7</v>
      </c>
      <c r="C49" s="210">
        <f>'Données projet'!E63*42+('Données projet'!F63+'Données projet'!G63)*19.4+'Données projet'!H63*10</f>
        <v>10</v>
      </c>
      <c r="D49" s="194">
        <f t="shared" ref="D49:D67" si="4">B49*C49</f>
        <v>70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28</v>
      </c>
      <c r="C50" s="210">
        <f>'Données projet'!E64*42+('Données projet'!F64+'Données projet'!G64)*19.4+'Données projet'!H64*10</f>
        <v>10</v>
      </c>
      <c r="D50" s="194">
        <f t="shared" si="4"/>
        <v>280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35</v>
      </c>
      <c r="B51" s="196">
        <f>'Données projet'!D65</f>
        <v>28</v>
      </c>
      <c r="C51" s="210">
        <f>'Données projet'!E65*42+('Données projet'!F65+'Données projet'!G65)*19.4+'Données projet'!H65*10</f>
        <v>10</v>
      </c>
      <c r="D51" s="194">
        <f t="shared" si="4"/>
        <v>280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40</v>
      </c>
      <c r="B52" s="196">
        <f>'Données projet'!D66</f>
        <v>28</v>
      </c>
      <c r="C52" s="210">
        <f>'Données projet'!E66*42+('Données projet'!F66+'Données projet'!G66)*19.4+'Données projet'!H66*10</f>
        <v>16.399999999999999</v>
      </c>
      <c r="D52" s="194">
        <f t="shared" si="4"/>
        <v>459.19999999999993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45</v>
      </c>
      <c r="B53" s="196">
        <f>'Données projet'!D67</f>
        <v>28</v>
      </c>
      <c r="C53" s="210">
        <f>'Données projet'!E67*42+('Données projet'!F67+'Données projet'!G67)*19.4+'Données projet'!H67*10</f>
        <v>16.399999999999999</v>
      </c>
      <c r="D53" s="194">
        <f t="shared" si="4"/>
        <v>459.19999999999993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50</v>
      </c>
      <c r="B54" s="196">
        <f>'Données projet'!D68</f>
        <v>28</v>
      </c>
      <c r="C54" s="210">
        <f>'Données projet'!E68*42+('Données projet'!F68+'Données projet'!G68)*19.4+'Données projet'!H68*10</f>
        <v>16.399999999999999</v>
      </c>
      <c r="D54" s="194">
        <f t="shared" si="4"/>
        <v>459.19999999999993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55</v>
      </c>
      <c r="B55" s="196">
        <f>'Données projet'!D69</f>
        <v>28</v>
      </c>
      <c r="C55" s="210">
        <f>'Données projet'!E69*42+('Données projet'!F69+'Données projet'!G69)*19.4+'Données projet'!H69*10</f>
        <v>16.399999999999999</v>
      </c>
      <c r="D55" s="194">
        <f t="shared" si="4"/>
        <v>459.19999999999993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60</v>
      </c>
      <c r="B56" s="196">
        <f>'Données projet'!D70</f>
        <v>28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65</v>
      </c>
      <c r="B57" s="196">
        <f>'Données projet'!D71</f>
        <v>28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70</v>
      </c>
      <c r="B58" s="196">
        <f>'Données projet'!D72</f>
        <v>28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75</v>
      </c>
      <c r="B59" s="196">
        <f>'Données projet'!D73</f>
        <v>28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80</v>
      </c>
      <c r="B60" s="196">
        <f>'Données projet'!D74</f>
        <v>28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85</v>
      </c>
      <c r="B61" s="196">
        <f>'Données projet'!D75</f>
        <v>27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90</v>
      </c>
      <c r="B62" s="196">
        <f>'Données projet'!D76</f>
        <v>26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95</v>
      </c>
      <c r="B63" s="196">
        <f>'Données projet'!D77</f>
        <v>25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100</v>
      </c>
      <c r="B64" s="196">
        <f>'Données projet'!D78</f>
        <v>24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105</v>
      </c>
      <c r="B65" s="196">
        <f>'Données projet'!D79</f>
        <v>23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110</v>
      </c>
      <c r="B66" s="196">
        <f>'Données projet'!D80</f>
        <v>22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120</v>
      </c>
      <c r="B67" s="196">
        <f>'Données projet'!D81</f>
        <v>432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Pin laricio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>
        <f>1183*1.12</f>
        <v>1324.96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15</v>
      </c>
      <c r="B74" s="196">
        <f>'Données projet'!D88</f>
        <v>0</v>
      </c>
      <c r="C74" s="210">
        <f>'Données projet'!E88*150+('Données projet'!F88+'Données projet'!G88)*19.4+'Données projet'!H88*10</f>
        <v>19.399999999999999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20</v>
      </c>
      <c r="B75" s="196">
        <f>'Données projet'!D89</f>
        <v>42</v>
      </c>
      <c r="C75" s="210">
        <f>'Données projet'!E89*150+('Données projet'!F89+'Données projet'!G89)*19.4+'Données projet'!H89*10</f>
        <v>19.399999999999999</v>
      </c>
      <c r="D75" s="194">
        <f t="shared" ref="D75:D93" si="7">B75*C75</f>
        <v>814.8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25</v>
      </c>
      <c r="B76" s="196">
        <f>'Données projet'!D90</f>
        <v>49</v>
      </c>
      <c r="C76" s="210">
        <f>'Données projet'!E90*150+('Données projet'!F90+'Données projet'!G90)*19.4+'Données projet'!H90*10</f>
        <v>19.399999999999999</v>
      </c>
      <c r="D76" s="194">
        <f t="shared" si="7"/>
        <v>950.59999999999991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30</v>
      </c>
      <c r="B77" s="196">
        <f>'Données projet'!D91</f>
        <v>49</v>
      </c>
      <c r="C77" s="210">
        <f>'Données projet'!E91*150+('Données projet'!F91+'Données projet'!G91)*19.4+'Données projet'!H91*10</f>
        <v>19.399999999999999</v>
      </c>
      <c r="D77" s="194">
        <f t="shared" si="7"/>
        <v>950.59999999999991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35</v>
      </c>
      <c r="B78" s="196">
        <f>'Données projet'!D92</f>
        <v>49</v>
      </c>
      <c r="C78" s="210">
        <f>'Données projet'!E92*150+('Données projet'!F92+'Données projet'!G92)*19.4+'Données projet'!H92*10</f>
        <v>45.519999999999996</v>
      </c>
      <c r="D78" s="194">
        <f t="shared" si="7"/>
        <v>2230.48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40</v>
      </c>
      <c r="B79" s="196">
        <f>'Données projet'!D93</f>
        <v>49</v>
      </c>
      <c r="C79" s="210">
        <f>'Données projet'!E93*150+('Données projet'!F93+'Données projet'!G93)*19.4+'Données projet'!H93*10</f>
        <v>45.519999999999996</v>
      </c>
      <c r="D79" s="194">
        <f t="shared" si="7"/>
        <v>2230.48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45</v>
      </c>
      <c r="B80" s="196">
        <f>'Données projet'!D94</f>
        <v>49</v>
      </c>
      <c r="C80" s="210">
        <f>'Données projet'!E94*150+('Données projet'!F94+'Données projet'!G94)*19.4+'Données projet'!H94*10</f>
        <v>71.64</v>
      </c>
      <c r="D80" s="194">
        <f t="shared" si="7"/>
        <v>3510.36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50</v>
      </c>
      <c r="B81" s="196">
        <f>'Données projet'!D95</f>
        <v>45</v>
      </c>
      <c r="C81" s="210">
        <f>'Données projet'!E95*150+('Données projet'!F95+'Données projet'!G95)*19.4+'Données projet'!H95*10</f>
        <v>97.76</v>
      </c>
      <c r="D81" s="194">
        <f t="shared" si="7"/>
        <v>4399.2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55</v>
      </c>
      <c r="B82" s="196">
        <f>'Données projet'!D96</f>
        <v>38</v>
      </c>
      <c r="C82" s="210">
        <f>'Données projet'!E96*150+('Données projet'!F96+'Données projet'!G96)*19.4+'Données projet'!H96*10</f>
        <v>97.76</v>
      </c>
      <c r="D82" s="194">
        <f t="shared" si="7"/>
        <v>3714.88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60</v>
      </c>
      <c r="B83" s="196">
        <f>'Données projet'!D97</f>
        <v>468</v>
      </c>
      <c r="C83" s="210">
        <f>'Données projet'!E97*150+('Données projet'!F97+'Données projet'!G97)*19.4+'Données projet'!H97*10</f>
        <v>123.88</v>
      </c>
      <c r="D83" s="194">
        <f t="shared" si="7"/>
        <v>57975.839999999997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10">
        <f>'Données projet'!E98*150+('Données projet'!F98+'Données projet'!G98)*19.4+'Données projet'!H98*10</f>
        <v>0</v>
      </c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10">
        <f>'Données projet'!E99*150+('Données projet'!F99+'Données projet'!G99)*19.4+'Données projet'!H99*10</f>
        <v>0</v>
      </c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10">
        <f>'Données projet'!E100*150+('Données projet'!F100+'Données projet'!G100)*19.4+'Données projet'!H100*10</f>
        <v>0</v>
      </c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10">
        <f>'Données projet'!E101*150+('Données projet'!F101+'Données projet'!G101)*19.4+'Données projet'!H101*10</f>
        <v>0</v>
      </c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10">
        <f>'Données projet'!E102*150+('Données projet'!F102+'Données projet'!G102)*19.4+'Données projet'!H102*10</f>
        <v>0</v>
      </c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10">
        <f>'Données projet'!E103*150+('Données projet'!F103+'Données projet'!G103)*19.4+'Données projet'!H103*10</f>
        <v>0</v>
      </c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10">
        <f>'Données projet'!E104*150+('Données projet'!F104+'Données projet'!G104)*19.4+'Données projet'!H104*10</f>
        <v>0</v>
      </c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str">
        <f>IF(R89+1&lt;=MIN('Données projet'!$E$9:$E$18),R89+1,"STOP")</f>
        <v>STOP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10">
        <f>'Données projet'!E105*150+('Données projet'!F105+'Données projet'!G105)*19.4+'Données projet'!H105*10</f>
        <v>0</v>
      </c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10">
        <f>'Données projet'!E106*150+('Données projet'!F106+'Données projet'!G106)*19.4+'Données projet'!H106*10</f>
        <v>0</v>
      </c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10">
        <f>'Données projet'!E107*150+('Données projet'!F107+'Données projet'!G107)*19.4+'Données projet'!H107*10</f>
        <v>0</v>
      </c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>Cèdre de l'Atlas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>
        <f>2262*1.12</f>
        <v>2533.44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20</v>
      </c>
      <c r="B100" s="196">
        <f>'Données projet'!D114</f>
        <v>40</v>
      </c>
      <c r="C100" s="210">
        <f>'Données projet'!E114*40+('Données projet'!F114+'Données projet'!G114)*19.4+'Données projet'!H114*10</f>
        <v>19.399999999999999</v>
      </c>
      <c r="D100" s="194">
        <f>B100*C100</f>
        <v>776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30</v>
      </c>
      <c r="B101" s="196">
        <f>'Données projet'!D115</f>
        <v>60</v>
      </c>
      <c r="C101" s="210">
        <f>'Données projet'!E115*40+('Données projet'!F115+'Données projet'!G115)*19.4+'Données projet'!H115*10</f>
        <v>25.58</v>
      </c>
      <c r="D101" s="194">
        <f t="shared" ref="D101:D119" si="10">B101*C101</f>
        <v>1534.8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40</v>
      </c>
      <c r="B102" s="196">
        <f>'Données projet'!D116</f>
        <v>60</v>
      </c>
      <c r="C102" s="210">
        <f>'Données projet'!E116*40+('Données projet'!F116+'Données projet'!G116)*19.4+'Données projet'!H116*10</f>
        <v>29.7</v>
      </c>
      <c r="D102" s="194">
        <f t="shared" si="10"/>
        <v>1782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50</v>
      </c>
      <c r="B103" s="196">
        <f>'Données projet'!D117</f>
        <v>60</v>
      </c>
      <c r="C103" s="210">
        <f>'Données projet'!E117*40+('Données projet'!F117+'Données projet'!G117)*19.4+'Données projet'!H117*10</f>
        <v>33.82</v>
      </c>
      <c r="D103" s="194">
        <f t="shared" si="10"/>
        <v>2029.2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60</v>
      </c>
      <c r="B104" s="196">
        <f>'Données projet'!D118</f>
        <v>440</v>
      </c>
      <c r="C104" s="210">
        <f>'Données projet'!E118*40+('Données projet'!F118+'Données projet'!G118)*19.4+'Données projet'!H118*10</f>
        <v>35.880000000000003</v>
      </c>
      <c r="D104" s="194">
        <f t="shared" si="10"/>
        <v>15787.2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10">
        <f>'Données projet'!E119*40+('Données projet'!F119+'Données projet'!G119)*19.4+'Données projet'!H119*10</f>
        <v>0</v>
      </c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10">
        <f>'Données projet'!E120*40+('Données projet'!F120+'Données projet'!G120)*19.4+'Données projet'!H120*10</f>
        <v>0</v>
      </c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10">
        <f>'Données projet'!E121*40+('Données projet'!F121+'Données projet'!G121)*19.4+'Données projet'!H121*10</f>
        <v>0</v>
      </c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10">
        <f>'Données projet'!E122*40+('Données projet'!F122+'Données projet'!G122)*19.4+'Données projet'!H122*10</f>
        <v>0</v>
      </c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10">
        <f>'Données projet'!E123*40+('Données projet'!F123+'Données projet'!G123)*19.4+'Données projet'!H123*10</f>
        <v>0</v>
      </c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10">
        <f>'Données projet'!E124*40+('Données projet'!F124+'Données projet'!G124)*19.4+'Données projet'!H124*10</f>
        <v>0</v>
      </c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10">
        <f>'Données projet'!E125*40+('Données projet'!F125+'Données projet'!G125)*19.4+'Données projet'!H125*10</f>
        <v>0</v>
      </c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10">
        <f>'Données projet'!E126*40+('Données projet'!F126+'Données projet'!G126)*19.4+'Données projet'!H126*10</f>
        <v>0</v>
      </c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10">
        <f>'Données projet'!E127*40+('Données projet'!F127+'Données projet'!G127)*19.4+'Données projet'!H127*10</f>
        <v>0</v>
      </c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10">
        <f>'Données projet'!E128*40+('Données projet'!F128+'Données projet'!G128)*19.4+'Données projet'!H128*10</f>
        <v>0</v>
      </c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10">
        <f>'Données projet'!E140*60+('Données projet'!F140+'Données projet'!G140)*19.4+'Données projet'!H140*10</f>
        <v>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10">
        <f>'Données projet'!E141*60+('Données projet'!F141+'Données projet'!G141)*19.4+'Données projet'!H141*10</f>
        <v>0</v>
      </c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10">
        <f>'Données projet'!E142*60+('Données projet'!F142+'Données projet'!G142)*19.4+'Données projet'!H142*10</f>
        <v>0</v>
      </c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10">
        <f>'Données projet'!E143*60+('Données projet'!F143+'Données projet'!G143)*19.4+'Données projet'!H143*10</f>
        <v>0</v>
      </c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10">
        <f>'Données projet'!E144*60+('Données projet'!F144+'Données projet'!G144)*19.4+'Données projet'!H144*10</f>
        <v>0</v>
      </c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10">
        <f>'Données projet'!E145*60+('Données projet'!F145+'Données projet'!G145)*19.4+'Données projet'!H145*10</f>
        <v>0</v>
      </c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10">
        <f>'Données projet'!E146*60+('Données projet'!F146+'Données projet'!G146)*19.4+'Données projet'!H146*10</f>
        <v>0</v>
      </c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10">
        <f>'Données projet'!E147*60+('Données projet'!F147+'Données projet'!G147)*19.4+'Données projet'!H147*10</f>
        <v>0</v>
      </c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10">
        <f>'Données projet'!E148*60+('Données projet'!F148+'Données projet'!G148)*19.4+'Données projet'!H148*10</f>
        <v>0</v>
      </c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10">
        <f>'Données projet'!E149*60+('Données projet'!F149+'Données projet'!G149)*19.4+'Données projet'!H149*10</f>
        <v>0</v>
      </c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10">
        <f>'Données projet'!E150*60+('Données projet'!F150+'Données projet'!G150)*19.4+'Données projet'!H150*10</f>
        <v>0</v>
      </c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10">
        <f>'Données projet'!E151*60+('Données projet'!F151+'Données projet'!G151)*19.4+'Données projet'!H151*10</f>
        <v>0</v>
      </c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10">
        <f>'Données projet'!E152*60+('Données projet'!F152+'Données projet'!G152)*19.4+'Données projet'!H152*10</f>
        <v>0</v>
      </c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>
        <f>'Données projet'!E169*42+('Données projet'!F169+'Données projet'!G169)*19.4+'Données projet'!H169*10</f>
        <v>0</v>
      </c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2021-10-01T16:45:07Z</dcterms:modified>
</cp:coreProperties>
</file>