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Sabres\Projet Trensacq_09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<sst xmlns="http://schemas.openxmlformats.org/spreadsheetml/2006/main" count="1170" uniqueCount="324">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</sst>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2.1640152723910675</c:v>
                </c:pt>
                <c:pt idx="2">
                  <c:v>3.0202001643161789</c:v>
                </c:pt>
                <c:pt idx="3">
                  <c:v>4.2165973075165377</c:v>
                </c:pt>
                <c:pt idx="4">
                  <c:v>5.8889408145100033</c:v>
                </c:pt>
                <c:pt idx="5">
                  <c:v>8.2273224254568689</c:v>
                </c:pt>
                <c:pt idx="6">
                  <c:v>11.498035781218887</c:v>
                </c:pt>
                <c:pt idx="7">
                  <c:v>16.074227002137672</c:v>
                </c:pt>
                <c:pt idx="8">
                  <c:v>22.478912023918756</c:v>
                </c:pt>
                <c:pt idx="9">
                  <c:v>31.445364427110473</c:v>
                </c:pt>
                <c:pt idx="10">
                  <c:v>44.001907219056356</c:v>
                </c:pt>
                <c:pt idx="11">
                  <c:v>61.590996971852803</c:v>
                </c:pt>
                <c:pt idx="12">
                  <c:v>81.474868458628507</c:v>
                </c:pt>
                <c:pt idx="13">
                  <c:v>101.2351647140362</c:v>
                </c:pt>
                <c:pt idx="14">
                  <c:v>101.89207087914353</c:v>
                </c:pt>
                <c:pt idx="15">
                  <c:v>122.20760219903367</c:v>
                </c:pt>
                <c:pt idx="16">
                  <c:v>145.04629063911355</c:v>
                </c:pt>
                <c:pt idx="17">
                  <c:v>167.79880331835713</c:v>
                </c:pt>
                <c:pt idx="18">
                  <c:v>191.77248746980149</c:v>
                </c:pt>
                <c:pt idx="19">
                  <c:v>215.67636522938469</c:v>
                </c:pt>
                <c:pt idx="20">
                  <c:v>184.65292865116098</c:v>
                </c:pt>
                <c:pt idx="21">
                  <c:v>205.34750212087684</c:v>
                </c:pt>
                <c:pt idx="22">
                  <c:v>226.63832771007063</c:v>
                </c:pt>
                <c:pt idx="23">
                  <c:v>247.88335510881771</c:v>
                </c:pt>
                <c:pt idx="24">
                  <c:v>269.72899324208106</c:v>
                </c:pt>
                <c:pt idx="25">
                  <c:v>291.53481477536712</c:v>
                </c:pt>
                <c:pt idx="26">
                  <c:v>239.51926369573494</c:v>
                </c:pt>
                <c:pt idx="27">
                  <c:v>256.88368281077413</c:v>
                </c:pt>
                <c:pt idx="28">
                  <c:v>274.86322161173604</c:v>
                </c:pt>
                <c:pt idx="29">
                  <c:v>292.81634557312492</c:v>
                </c:pt>
                <c:pt idx="30">
                  <c:v>310.74490180919639</c:v>
                </c:pt>
                <c:pt idx="31">
                  <c:v>328.01139961554662</c:v>
                </c:pt>
                <c:pt idx="32">
                  <c:v>345.25783856692902</c:v>
                </c:pt>
                <c:pt idx="33">
                  <c:v>362.48536141537079</c:v>
                </c:pt>
                <c:pt idx="34">
                  <c:v>379.69499344441141</c:v>
                </c:pt>
                <c:pt idx="35">
                  <c:v>394.97817429257526</c:v>
                </c:pt>
                <c:pt idx="36">
                  <c:v>410.24854266397239</c:v>
                </c:pt>
                <c:pt idx="37">
                  <c:v>424.87112663871932</c:v>
                </c:pt>
                <c:pt idx="38">
                  <c:v>439.48288577116256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508384"/>
        <c:axId val="1856508928"/>
      </c:scatterChart>
      <c:valAx>
        <c:axId val="1856508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08928"/>
        <c:crosses val="autoZero"/>
        <c:crossBetween val="midCat"/>
      </c:valAx>
      <c:valAx>
        <c:axId val="185650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08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332544"/>
        <c:axId val="1998328736"/>
      </c:scatterChart>
      <c:valAx>
        <c:axId val="1998332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8328736"/>
        <c:crosses val="autoZero"/>
        <c:crossBetween val="midCat"/>
      </c:valAx>
      <c:valAx>
        <c:axId val="199832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8332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6516544"/>
        <c:axId val="1856502944"/>
      </c:scatterChart>
      <c:valAx>
        <c:axId val="1856516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02944"/>
        <c:crosses val="autoZero"/>
        <c:crossBetween val="midCat"/>
      </c:valAx>
      <c:valAx>
        <c:axId val="185650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6516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866176"/>
        <c:axId val="1996867264"/>
      </c:scatterChart>
      <c:valAx>
        <c:axId val="1996866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7264"/>
        <c:crosses val="autoZero"/>
        <c:crossBetween val="midCat"/>
      </c:valAx>
      <c:valAx>
        <c:axId val="199686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6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864544"/>
        <c:axId val="1996861824"/>
      </c:scatterChart>
      <c:valAx>
        <c:axId val="1996864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1824"/>
        <c:crosses val="autoZero"/>
        <c:crossBetween val="midCat"/>
      </c:valAx>
      <c:valAx>
        <c:axId val="199686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4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867808"/>
        <c:axId val="1996862368"/>
      </c:scatterChart>
      <c:valAx>
        <c:axId val="1996867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2368"/>
        <c:crosses val="autoZero"/>
        <c:crossBetween val="midCat"/>
      </c:valAx>
      <c:valAx>
        <c:axId val="19968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7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865632"/>
        <c:axId val="1996860192"/>
      </c:scatterChart>
      <c:valAx>
        <c:axId val="1996865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0192"/>
        <c:crosses val="autoZero"/>
        <c:crossBetween val="midCat"/>
      </c:valAx>
      <c:valAx>
        <c:axId val="199686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5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866720"/>
        <c:axId val="1996868352"/>
      </c:scatterChart>
      <c:valAx>
        <c:axId val="199686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8352"/>
        <c:crosses val="autoZero"/>
        <c:crossBetween val="midCat"/>
      </c:valAx>
      <c:valAx>
        <c:axId val="199686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6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871072"/>
        <c:axId val="1996871616"/>
      </c:scatterChart>
      <c:valAx>
        <c:axId val="1996871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71616"/>
        <c:crosses val="autoZero"/>
        <c:crossBetween val="midCat"/>
      </c:valAx>
      <c:valAx>
        <c:axId val="199687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71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6857472"/>
        <c:axId val="1996858016"/>
      </c:scatterChart>
      <c:valAx>
        <c:axId val="1996857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58016"/>
        <c:crosses val="autoZero"/>
        <c:crossBetween val="midCat"/>
      </c:valAx>
      <c:valAx>
        <c:axId val="199685801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96857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L41" sqref="L41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4.774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4.774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4.774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11</v>
      </c>
      <c r="B36" s="63">
        <v>45</v>
      </c>
      <c r="C36" s="63"/>
      <c r="D36" s="63"/>
      <c r="E36" s="54"/>
      <c r="F36" s="54"/>
      <c r="G36" s="54"/>
      <c r="H36" s="54"/>
      <c r="I36" s="52">
        <f>IFERROR(B36/A36,"")</f>
        <v>4.0909090909090908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13</v>
      </c>
      <c r="B37" s="63">
        <v>75</v>
      </c>
      <c r="C37" s="63">
        <v>1</v>
      </c>
      <c r="D37" s="63">
        <v>15</v>
      </c>
      <c r="E37" s="54"/>
      <c r="F37" s="54"/>
      <c r="G37" s="54">
        <v>1</v>
      </c>
      <c r="H37" s="54"/>
      <c r="I37" s="56">
        <f t="shared" ref="I37:I55" si="1">IF(A37&lt;&gt;0,(B37-(B36-D36))/(A37-A36),"")</f>
        <v>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15</v>
      </c>
      <c r="B38" s="63">
        <v>91</v>
      </c>
      <c r="C38" s="63"/>
      <c r="D38" s="63"/>
      <c r="E38" s="54"/>
      <c r="F38" s="54"/>
      <c r="G38" s="54"/>
      <c r="H38" s="54"/>
      <c r="I38" s="56">
        <f t="shared" si="1"/>
        <v>15.5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17</v>
      </c>
      <c r="B39" s="63">
        <v>126</v>
      </c>
      <c r="C39" s="63"/>
      <c r="D39" s="63"/>
      <c r="E39" s="54"/>
      <c r="F39" s="54"/>
      <c r="G39" s="54"/>
      <c r="H39" s="54"/>
      <c r="I39" s="52">
        <f t="shared" si="1"/>
        <v>17.5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19</v>
      </c>
      <c r="B40" s="63">
        <v>163</v>
      </c>
      <c r="C40" s="63">
        <v>2</v>
      </c>
      <c r="D40" s="63">
        <v>40</v>
      </c>
      <c r="E40" s="54">
        <v>0.3</v>
      </c>
      <c r="F40" s="54"/>
      <c r="G40" s="54">
        <v>0.7</v>
      </c>
      <c r="H40" s="54"/>
      <c r="I40" s="52">
        <f t="shared" si="1"/>
        <v>18.5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21</v>
      </c>
      <c r="B41" s="63">
        <v>155</v>
      </c>
      <c r="C41" s="63"/>
      <c r="D41" s="63"/>
      <c r="E41" s="54"/>
      <c r="F41" s="54"/>
      <c r="G41" s="54"/>
      <c r="H41" s="54"/>
      <c r="I41" s="56">
        <f t="shared" si="1"/>
        <v>16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23</v>
      </c>
      <c r="B42" s="63">
        <v>188</v>
      </c>
      <c r="C42" s="63"/>
      <c r="D42" s="63"/>
      <c r="E42" s="54"/>
      <c r="F42" s="54"/>
      <c r="G42" s="54"/>
      <c r="H42" s="54"/>
      <c r="I42" s="56">
        <f t="shared" si="1"/>
        <v>16.5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25</v>
      </c>
      <c r="B43" s="63">
        <v>222</v>
      </c>
      <c r="C43" s="63">
        <v>3</v>
      </c>
      <c r="D43" s="63">
        <v>54</v>
      </c>
      <c r="E43" s="54">
        <v>0.4</v>
      </c>
      <c r="F43" s="54">
        <v>0.2</v>
      </c>
      <c r="G43" s="54">
        <v>0.4</v>
      </c>
      <c r="H43" s="54"/>
      <c r="I43" s="52">
        <f t="shared" si="1"/>
        <v>17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27</v>
      </c>
      <c r="B44" s="63">
        <v>195</v>
      </c>
      <c r="C44" s="63"/>
      <c r="D44" s="63"/>
      <c r="E44" s="54"/>
      <c r="F44" s="54"/>
      <c r="G44" s="54"/>
      <c r="H44" s="54"/>
      <c r="I44" s="52">
        <f t="shared" si="1"/>
        <v>13.5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29</v>
      </c>
      <c r="B45" s="63">
        <v>223</v>
      </c>
      <c r="C45" s="63"/>
      <c r="D45" s="63"/>
      <c r="E45" s="54"/>
      <c r="F45" s="54"/>
      <c r="G45" s="54"/>
      <c r="H45" s="54"/>
      <c r="I45" s="52">
        <f t="shared" si="1"/>
        <v>14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30</v>
      </c>
      <c r="B46" s="63">
        <v>237</v>
      </c>
      <c r="C46" s="63"/>
      <c r="D46" s="63"/>
      <c r="E46" s="54"/>
      <c r="F46" s="54"/>
      <c r="G46" s="54"/>
      <c r="H46" s="54"/>
      <c r="I46" s="52">
        <f t="shared" si="1"/>
        <v>14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32</v>
      </c>
      <c r="B47" s="63">
        <v>264</v>
      </c>
      <c r="C47" s="63"/>
      <c r="D47" s="63"/>
      <c r="E47" s="54"/>
      <c r="F47" s="54"/>
      <c r="G47" s="54"/>
      <c r="H47" s="54"/>
      <c r="I47" s="52">
        <f t="shared" si="1"/>
        <v>13.5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34</v>
      </c>
      <c r="B48" s="63">
        <v>291</v>
      </c>
      <c r="C48" s="63"/>
      <c r="D48" s="63"/>
      <c r="E48" s="54"/>
      <c r="F48" s="54"/>
      <c r="G48" s="54"/>
      <c r="H48" s="54"/>
      <c r="I48" s="52">
        <f t="shared" si="1"/>
        <v>13.5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36</v>
      </c>
      <c r="B49" s="63">
        <v>315</v>
      </c>
      <c r="C49" s="63"/>
      <c r="D49" s="63"/>
      <c r="E49" s="54"/>
      <c r="F49" s="54"/>
      <c r="G49" s="54"/>
      <c r="H49" s="54"/>
      <c r="I49" s="52">
        <f t="shared" si="1"/>
        <v>12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38</v>
      </c>
      <c r="B50" s="53">
        <v>338</v>
      </c>
      <c r="C50" s="53"/>
      <c r="D50" s="53">
        <v>338</v>
      </c>
      <c r="E50" s="54">
        <v>0.7</v>
      </c>
      <c r="F50" s="54"/>
      <c r="G50" s="54">
        <v>0.3</v>
      </c>
      <c r="H50" s="54"/>
      <c r="I50" s="52">
        <f t="shared" si="1"/>
        <v>11.5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158.7045626101027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4.0909090909090908</v>
      </c>
      <c r="N4" s="14">
        <f>IF('Données projet'!$A$36&gt;35,N3+M4-V3,IF(A4&lt;'Données projet'!$A$36,$K$205^A4,IF(A4='Données projet'!$A$36,'Données projet'!$B$36,N3+M4-V3)))</f>
        <v>1.4134877424514771</v>
      </c>
      <c r="O4" s="14">
        <f>N4*VLOOKUP('Données projet'!$B$9,Paramètres!$A$1:$I$89,3,0)*VLOOKUP('Données projet'!$B$9,Paramètres!$A$1:$I$89,5,0)</f>
        <v>0.84526566998598329</v>
      </c>
      <c r="P4" s="14">
        <f>EXP(-1.0587+0.8836*LN(O4)+0.284)</f>
        <v>0.39723113712850538</v>
      </c>
      <c r="Q4" s="22">
        <f t="shared" ref="Q4:Q34" si="2">(O4+P4)*0.475*44/12</f>
        <v>2.1640152723910675</v>
      </c>
      <c r="R4" s="62">
        <f t="shared" si="0"/>
        <v>295.49734860572437</v>
      </c>
      <c r="S4" s="62">
        <f ca="1">AVERAGE(OFFSET($R$3,0,0,'Données projet'!$E$9+1,1))-AVERAGE(OFFSET($H$3,0,0,'Données projet'!$E$9+1,1))</f>
        <v>158.7045626101027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4.0909090909090908</v>
      </c>
      <c r="N5" s="14">
        <f>IF('Données projet'!$A$36&gt;35,N4+M5-V4,IF(A5&lt;'Données projet'!$A$36,$K$205^A5,IF(A5='Données projet'!$A$36,'Données projet'!$B$36,N4+M5-V4)))</f>
        <v>1.9979475980605734</v>
      </c>
      <c r="O5" s="14">
        <f>N5*VLOOKUP('Données projet'!$B$9,Paramètres!$A$1:$I$89,3,0)*VLOOKUP('Données projet'!$B$9,Paramètres!$A$1:$I$89,5,0)</f>
        <v>1.1947726636402229</v>
      </c>
      <c r="P5" s="14">
        <f t="shared" ref="P5:P68" si="33">EXP(-1.0587+0.8836*LN(O5)+0.284)</f>
        <v>0.53931355510590839</v>
      </c>
      <c r="Q5" s="22">
        <f t="shared" si="2"/>
        <v>3.0202001643161789</v>
      </c>
      <c r="R5" s="62">
        <f t="shared" si="0"/>
        <v>296.35353349764949</v>
      </c>
      <c r="S5" s="62">
        <f ca="1">AVERAGE(OFFSET($R$3,0,0,'Données projet'!$E$9+1,1))-AVERAGE(OFFSET($H$3,0,0,'Données projet'!$E$9+1,1))</f>
        <v>158.7045626101027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4.0909090909090908</v>
      </c>
      <c r="N6" s="14">
        <f>IF('Données projet'!$A$36&gt;35,N5+M6-V5,IF(A6&lt;'Données projet'!$A$36,$K$205^A6,IF(A6='Données projet'!$A$36,'Données projet'!$B$36,N5+M6-V5)))</f>
        <v>2.824074439918991</v>
      </c>
      <c r="O6" s="14">
        <f>N6*VLOOKUP('Données projet'!$B$9,Paramètres!$A$1:$I$89,3,0)*VLOOKUP('Données projet'!$B$9,Paramètres!$A$1:$I$89,5,0)</f>
        <v>1.6887965150715567</v>
      </c>
      <c r="P6" s="14">
        <f t="shared" si="33"/>
        <v>0.73221629307190972</v>
      </c>
      <c r="Q6" s="22">
        <f t="shared" si="2"/>
        <v>4.2165973075165377</v>
      </c>
      <c r="R6" s="62">
        <f t="shared" si="0"/>
        <v>297.54993064084988</v>
      </c>
      <c r="S6" s="62">
        <f ca="1">AVERAGE(OFFSET($R$3,0,0,'Données projet'!$E$9+1,1))-AVERAGE(OFFSET($H$3,0,0,'Données projet'!$E$9+1,1))</f>
        <v>158.7045626101027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4.0909090909090908</v>
      </c>
      <c r="N7" s="14">
        <f>IF('Données projet'!$A$36&gt;35,N6+M7-V6,IF(A7&lt;'Données projet'!$A$36,$K$205^A7,IF(A7='Données projet'!$A$36,'Données projet'!$B$36,N6+M7-V6)))</f>
        <v>3.9917946045960147</v>
      </c>
      <c r="O7" s="14">
        <f>N7*VLOOKUP('Données projet'!$B$9,Paramètres!$A$1:$I$89,3,0)*VLOOKUP('Données projet'!$B$9,Paramètres!$A$1:$I$89,5,0)</f>
        <v>2.3870931735484171</v>
      </c>
      <c r="P7" s="14">
        <f t="shared" si="33"/>
        <v>0.9941168634908194</v>
      </c>
      <c r="Q7" s="22">
        <f t="shared" si="2"/>
        <v>5.8889408145100033</v>
      </c>
      <c r="R7" s="62">
        <f t="shared" si="0"/>
        <v>299.22227414784334</v>
      </c>
      <c r="S7" s="62">
        <f ca="1">AVERAGE(OFFSET($R$3,0,0,'Données projet'!$E$9+1,1))-AVERAGE(OFFSET($H$3,0,0,'Données projet'!$E$9+1,1))</f>
        <v>158.7045626101027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4.0909090909090908</v>
      </c>
      <c r="N8" s="14">
        <f>IF('Données projet'!$A$36&gt;35,N7+M8-V7,IF(A8&lt;'Données projet'!$A$36,$K$205^A8,IF(A8='Données projet'!$A$36,'Données projet'!$B$36,N7+M8-V7)))</f>
        <v>5.6423527439804078</v>
      </c>
      <c r="O8" s="14">
        <f>N8*VLOOKUP('Données projet'!$B$9,Paramètres!$A$1:$I$89,3,0)*VLOOKUP('Données projet'!$B$9,Paramètres!$A$1:$I$89,5,0)</f>
        <v>3.3741269409002839</v>
      </c>
      <c r="P8" s="14">
        <f t="shared" si="33"/>
        <v>1.3496945474003106</v>
      </c>
      <c r="Q8" s="22">
        <f t="shared" si="2"/>
        <v>8.2273224254568689</v>
      </c>
      <c r="R8" s="62">
        <f t="shared" si="0"/>
        <v>301.56065575879018</v>
      </c>
      <c r="S8" s="62">
        <f ca="1">AVERAGE(OFFSET($R$3,0,0,'Données projet'!$E$9+1,1))-AVERAGE(OFFSET($H$3,0,0,'Données projet'!$E$9+1,1))</f>
        <v>158.7045626101027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4.0909090909090908</v>
      </c>
      <c r="N9" s="14">
        <f>IF('Données projet'!$A$36&gt;35,N8+M9-V8,IF(A9&lt;'Données projet'!$A$36,$K$205^A9,IF(A9='Données projet'!$A$36,'Données projet'!$B$36,N8+M9-V8)))</f>
        <v>7.9753964422037642</v>
      </c>
      <c r="O9" s="14">
        <f>N9*VLOOKUP('Données projet'!$B$9,Paramètres!$A$1:$I$89,3,0)*VLOOKUP('Données projet'!$B$9,Paramètres!$A$1:$I$89,5,0)</f>
        <v>4.7692870724378515</v>
      </c>
      <c r="P9" s="14">
        <f t="shared" si="33"/>
        <v>1.8324559598409356</v>
      </c>
      <c r="Q9" s="22">
        <f t="shared" si="2"/>
        <v>11.498035781218887</v>
      </c>
      <c r="R9" s="62">
        <f t="shared" si="0"/>
        <v>304.83136911455222</v>
      </c>
      <c r="S9" s="62">
        <f ca="1">AVERAGE(OFFSET($R$3,0,0,'Données projet'!$E$9+1,1))-AVERAGE(OFFSET($H$3,0,0,'Données projet'!$E$9+1,1))</f>
        <v>158.7045626101027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4.0909090909090908</v>
      </c>
      <c r="N10" s="14">
        <f>IF('Données projet'!$A$36&gt;35,N9+M10-V9,IF(A10&lt;'Données projet'!$A$36,$K$205^A10,IF(A10='Données projet'!$A$36,'Données projet'!$B$36,N9+M10-V9)))</f>
        <v>11.27312511224614</v>
      </c>
      <c r="O10" s="14">
        <f>N10*VLOOKUP('Données projet'!$B$9,Paramètres!$A$1:$I$89,3,0)*VLOOKUP('Données projet'!$B$9,Paramètres!$A$1:$I$89,5,0)</f>
        <v>6.7413288171231915</v>
      </c>
      <c r="P10" s="14">
        <f t="shared" si="33"/>
        <v>2.4878924281233195</v>
      </c>
      <c r="Q10" s="22">
        <f t="shared" si="2"/>
        <v>16.074227002137672</v>
      </c>
      <c r="R10" s="62">
        <f t="shared" si="0"/>
        <v>309.40756033547098</v>
      </c>
      <c r="S10" s="62">
        <f ca="1">AVERAGE(OFFSET($R$3,0,0,'Données projet'!$E$9+1,1))-AVERAGE(OFFSET($H$3,0,0,'Données projet'!$E$9+1,1))</f>
        <v>158.7045626101027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4.0909090909090908</v>
      </c>
      <c r="N11" s="14">
        <f>IF('Données projet'!$A$36&gt;35,N10+M11-V10,IF(A11&lt;'Données projet'!$A$36,$K$205^A11,IF(A11='Données projet'!$A$36,'Données projet'!$B$36,N10+M11-V10)))</f>
        <v>15.934424165281852</v>
      </c>
      <c r="O11" s="14">
        <f>N11*VLOOKUP('Données projet'!$B$9,Paramètres!$A$1:$I$89,3,0)*VLOOKUP('Données projet'!$B$9,Paramètres!$A$1:$I$89,5,0)</f>
        <v>9.5287856508385484</v>
      </c>
      <c r="P11" s="14">
        <f t="shared" si="33"/>
        <v>3.3777667073923183</v>
      </c>
      <c r="Q11" s="22">
        <f t="shared" si="2"/>
        <v>22.478912023918756</v>
      </c>
      <c r="R11" s="62">
        <f t="shared" si="0"/>
        <v>315.8122453572521</v>
      </c>
      <c r="S11" s="62">
        <f ca="1">AVERAGE(OFFSET($R$3,0,0,'Données projet'!$E$9+1,1))-AVERAGE(OFFSET($H$3,0,0,'Données projet'!$E$9+1,1))</f>
        <v>158.7045626101027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4.0909090909090908</v>
      </c>
      <c r="N12" s="14">
        <f>IF('Données projet'!$A$36&gt;35,N11+M12-V11,IF(A12&lt;'Données projet'!$A$36,$K$205^A12,IF(A12='Données projet'!$A$36,'Données projet'!$B$36,N11+M12-V11)))</f>
        <v>22.52311324064851</v>
      </c>
      <c r="O12" s="14">
        <f>N12*VLOOKUP('Données projet'!$B$9,Paramètres!$A$1:$I$89,3,0)*VLOOKUP('Données projet'!$B$9,Paramètres!$A$1:$I$89,5,0)</f>
        <v>13.46882171790781</v>
      </c>
      <c r="P12" s="14">
        <f t="shared" si="33"/>
        <v>4.5859329770838491</v>
      </c>
      <c r="Q12" s="22">
        <f t="shared" si="2"/>
        <v>31.445364427110473</v>
      </c>
      <c r="R12" s="62">
        <f t="shared" si="0"/>
        <v>324.77869776044378</v>
      </c>
      <c r="S12" s="62">
        <f ca="1">AVERAGE(OFFSET($R$3,0,0,'Données projet'!$E$9+1,1))-AVERAGE(OFFSET($H$3,0,0,'Données projet'!$E$9+1,1))</f>
        <v>158.7045626101027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4.0909090909090908</v>
      </c>
      <c r="N13" s="14">
        <f>IF('Données projet'!$A$36&gt;35,N12+M13-V12,IF(A13&lt;'Données projet'!$A$36,$K$205^A13,IF(A13='Données projet'!$A$36,'Données projet'!$B$36,N12+M13-V12)))</f>
        <v>31.836144487503233</v>
      </c>
      <c r="O13" s="14">
        <f>N13*VLOOKUP('Données projet'!$B$9,Paramètres!$A$1:$I$89,3,0)*VLOOKUP('Données projet'!$B$9,Paramètres!$A$1:$I$89,5,0)</f>
        <v>19.038014403526933</v>
      </c>
      <c r="P13" s="14">
        <f t="shared" si="33"/>
        <v>6.2262385452135582</v>
      </c>
      <c r="Q13" s="22">
        <f t="shared" si="2"/>
        <v>44.001907219056356</v>
      </c>
      <c r="R13" s="62">
        <f t="shared" si="0"/>
        <v>337.33524055238968</v>
      </c>
      <c r="S13" s="62">
        <f ca="1">AVERAGE(OFFSET($R$3,0,0,'Données projet'!$E$9+1,1))-AVERAGE(OFFSET($H$3,0,0,'Données projet'!$E$9+1,1))</f>
        <v>158.7045626101027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45</v>
      </c>
      <c r="L14" s="13">
        <f>VLOOKUP(A14,'Données projet'!$A$35:$I$55,9,0)</f>
        <v>4.0909090909090908</v>
      </c>
      <c r="M14" s="13">
        <f t="array" ref="M14">INDEX(L:L,MIN(IF(ISNUMBER(L14:L210),ROW(L14:L210),"")))</f>
        <v>4.0909090909090908</v>
      </c>
      <c r="N14" s="14">
        <f>IF('Données projet'!$A$36&gt;35,N13+M14-V13,IF(A14&lt;'Données projet'!$A$36,$K$205^A14,IF(A14='Données projet'!$A$36,'Données projet'!$B$36,N13+M14-V13)))</f>
        <v>45</v>
      </c>
      <c r="O14" s="14">
        <f>N14*VLOOKUP('Données projet'!$B$9,Paramètres!$A$1:$I$89,3,0)*VLOOKUP('Données projet'!$B$9,Paramètres!$A$1:$I$89,5,0)</f>
        <v>26.91</v>
      </c>
      <c r="P14" s="14">
        <f t="shared" si="33"/>
        <v>8.4532518498676374</v>
      </c>
      <c r="Q14" s="22">
        <f t="shared" si="2"/>
        <v>61.590996971852803</v>
      </c>
      <c r="R14" s="62">
        <f t="shared" si="0"/>
        <v>354.92433030518612</v>
      </c>
      <c r="S14" s="62">
        <f ca="1">AVERAGE(OFFSET($R$3,0,0,'Données projet'!$E$9+1,1))-AVERAGE(OFFSET($H$3,0,0,'Données projet'!$E$9+1,1))</f>
        <v>158.7045626101027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</v>
      </c>
      <c r="N15" s="14">
        <f>IF('Données projet'!$A$36&gt;35,N14+M15-V14,IF(A15&lt;'Données projet'!$A$36,$K$205^A15,IF(A15='Données projet'!$A$36,'Données projet'!$B$36,N14+M15-V14)))</f>
        <v>60</v>
      </c>
      <c r="O15" s="14">
        <f>N15*VLOOKUP('Données projet'!$B$9,Paramètres!$A$1:$I$89,3,0)*VLOOKUP('Données projet'!$B$9,Paramètres!$A$1:$I$89,5,0)</f>
        <v>35.880000000000003</v>
      </c>
      <c r="P15" s="14">
        <f t="shared" si="33"/>
        <v>10.899828780073781</v>
      </c>
      <c r="Q15" s="22">
        <f t="shared" si="2"/>
        <v>81.474868458628507</v>
      </c>
      <c r="R15" s="62">
        <f t="shared" si="0"/>
        <v>374.80820179196184</v>
      </c>
      <c r="S15" s="62">
        <f ca="1">AVERAGE(OFFSET($R$3,0,0,'Données projet'!$E$9+1,1))-AVERAGE(OFFSET($H$3,0,0,'Données projet'!$E$9+1,1))</f>
        <v>158.7045626101027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15</v>
      </c>
      <c r="M16" s="13">
        <f t="array" ref="M16">INDEX(L:L,MIN(IF(ISNUMBER(L16:L212),ROW(L16:L212),"")))</f>
        <v>15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158.7045626101027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15.5</v>
      </c>
      <c r="N17" s="14">
        <f>IF('Données projet'!$A$36&gt;35,N16+M17-V16,IF(A17&lt;'Données projet'!$A$36,$K$205^A17,IF(A17='Données projet'!$A$36,'Données projet'!$B$36,N16+M17-V16)))</f>
        <v>75.5</v>
      </c>
      <c r="O17" s="14">
        <f>N17*VLOOKUP('Données projet'!$B$9,Paramètres!$A$1:$I$89,3,0)*VLOOKUP('Données projet'!$B$9,Paramètres!$A$1:$I$89,5,0)</f>
        <v>45.149000000000008</v>
      </c>
      <c r="P17" s="14">
        <f t="shared" si="33"/>
        <v>13.35362442821638</v>
      </c>
      <c r="Q17" s="22">
        <f t="shared" si="2"/>
        <v>101.89207087914353</v>
      </c>
      <c r="R17" s="62">
        <f t="shared" si="0"/>
        <v>395.22540421247686</v>
      </c>
      <c r="S17" s="62">
        <f ca="1">AVERAGE(OFFSET($R$3,0,0,'Données projet'!$E$9+1,1))-AVERAGE(OFFSET($H$3,0,0,'Données projet'!$E$9+1,1))</f>
        <v>158.7045626101027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91</v>
      </c>
      <c r="L18" s="13">
        <f>VLOOKUP(A18,'Données projet'!$A$35:$I$55,9,0)</f>
        <v>15.5</v>
      </c>
      <c r="M18" s="13">
        <f t="array" ref="M18">INDEX(L:L,MIN(IF(ISNUMBER(L18:L214),ROW(L18:L214),"")))</f>
        <v>15.5</v>
      </c>
      <c r="N18" s="14">
        <f>IF('Données projet'!$A$36&gt;35,N17+M18-V17,IF(A18&lt;'Données projet'!$A$36,$K$205^A18,IF(A18='Données projet'!$A$36,'Données projet'!$B$36,N17+M18-V17)))</f>
        <v>91</v>
      </c>
      <c r="O18" s="14">
        <f>N18*VLOOKUP('Données projet'!$B$9,Paramètres!$A$1:$I$89,3,0)*VLOOKUP('Données projet'!$B$9,Paramètres!$A$1:$I$89,5,0)</f>
        <v>54.417999999999999</v>
      </c>
      <c r="P18" s="14">
        <f t="shared" si="33"/>
        <v>15.749044324804036</v>
      </c>
      <c r="Q18" s="22">
        <f t="shared" si="2"/>
        <v>122.20760219903367</v>
      </c>
      <c r="R18" s="62">
        <f t="shared" si="0"/>
        <v>415.54093553236697</v>
      </c>
      <c r="S18" s="62">
        <f ca="1">AVERAGE(OFFSET($R$3,0,0,'Données projet'!$E$9+1,1))-AVERAGE(OFFSET($H$3,0,0,'Données projet'!$E$9+1,1))</f>
        <v>158.7045626101027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17.5</v>
      </c>
      <c r="N19" s="14">
        <f>IF('Données projet'!$A$36&gt;35,N18+M19-V18,IF(A19&lt;'Données projet'!$A$36,$K$205^A19,IF(A19='Données projet'!$A$36,'Données projet'!$B$36,N18+M19-V18)))</f>
        <v>108.5</v>
      </c>
      <c r="O19" s="14">
        <f>N19*VLOOKUP('Données projet'!$B$9,Paramètres!$A$1:$I$89,3,0)*VLOOKUP('Données projet'!$B$9,Paramètres!$A$1:$I$89,5,0)</f>
        <v>64.88300000000001</v>
      </c>
      <c r="P19" s="14">
        <f t="shared" si="33"/>
        <v>18.397166874132186</v>
      </c>
      <c r="Q19" s="22">
        <f t="shared" si="2"/>
        <v>145.04629063911355</v>
      </c>
      <c r="R19" s="62">
        <f t="shared" si="0"/>
        <v>438.37962397244689</v>
      </c>
      <c r="S19" s="62">
        <f ca="1">AVERAGE(OFFSET($R$3,0,0,'Données projet'!$E$9+1,1))-AVERAGE(OFFSET($H$3,0,0,'Données projet'!$E$9+1,1))</f>
        <v>158.7045626101027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126</v>
      </c>
      <c r="L20" s="13">
        <f>VLOOKUP(A20,'Données projet'!$A$35:$I$55,9,0)</f>
        <v>17.5</v>
      </c>
      <c r="M20" s="13">
        <f t="array" ref="M20">INDEX(L:L,MIN(IF(ISNUMBER(L20:L216),ROW(L20:L216),"")))</f>
        <v>17.5</v>
      </c>
      <c r="N20" s="14">
        <f>IF('Données projet'!$A$36&gt;35,N19+M20-V19,IF(A20&lt;'Données projet'!$A$36,$K$205^A20,IF(A20='Données projet'!$A$36,'Données projet'!$B$36,N19+M20-V19)))</f>
        <v>126</v>
      </c>
      <c r="O20" s="14">
        <f>N20*VLOOKUP('Données projet'!$B$9,Paramètres!$A$1:$I$89,3,0)*VLOOKUP('Données projet'!$B$9,Paramètres!$A$1:$I$89,5,0)</f>
        <v>75.347999999999999</v>
      </c>
      <c r="P20" s="14">
        <f t="shared" si="33"/>
        <v>20.99581051771704</v>
      </c>
      <c r="Q20" s="22">
        <f t="shared" si="2"/>
        <v>167.79880331835713</v>
      </c>
      <c r="R20" s="62">
        <f t="shared" si="0"/>
        <v>461.13213665169042</v>
      </c>
      <c r="S20" s="62">
        <f ca="1">AVERAGE(OFFSET($R$3,0,0,'Données projet'!$E$9+1,1))-AVERAGE(OFFSET($H$3,0,0,'Données projet'!$E$9+1,1))</f>
        <v>158.7045626101027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18.5</v>
      </c>
      <c r="N21" s="14">
        <f>IF('Données projet'!$A$36&gt;35,N20+M21-V20,IF(A21&lt;'Données projet'!$A$36,$K$205^A21,IF(A21='Données projet'!$A$36,'Données projet'!$B$36,N20+M21-V20)))</f>
        <v>144.5</v>
      </c>
      <c r="O21" s="14">
        <f>N21*VLOOKUP('Données projet'!$B$9,Paramètres!$A$1:$I$89,3,0)*VLOOKUP('Données projet'!$B$9,Paramètres!$A$1:$I$89,5,0)</f>
        <v>86.411000000000001</v>
      </c>
      <c r="P21" s="14">
        <f t="shared" si="33"/>
        <v>23.697605245819052</v>
      </c>
      <c r="Q21" s="22">
        <f t="shared" si="2"/>
        <v>191.77248746980149</v>
      </c>
      <c r="R21" s="62">
        <f t="shared" si="0"/>
        <v>485.1058208031348</v>
      </c>
      <c r="S21" s="62">
        <f ca="1">AVERAGE(OFFSET($R$3,0,0,'Données projet'!$E$9+1,1))-AVERAGE(OFFSET($H$3,0,0,'Données projet'!$E$9+1,1))</f>
        <v>158.7045626101027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18.5</v>
      </c>
      <c r="M22" s="13">
        <f t="array" ref="M22">INDEX(L:L,MIN(IF(ISNUMBER(L22:L218),ROW(L22:L218),"")))</f>
        <v>18.5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158.7045626101027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</v>
      </c>
      <c r="N23" s="14">
        <f>IF('Données projet'!$A$36&gt;35,N22+M23-V22,IF(A23&lt;'Données projet'!$A$36,$K$205^A23,IF(A23='Données projet'!$A$36,'Données projet'!$B$36,N22+M23-V22)))</f>
        <v>139</v>
      </c>
      <c r="O23" s="14">
        <f>N23*VLOOKUP('Données projet'!$B$9,Paramètres!$A$1:$I$89,3,0)*VLOOKUP('Données projet'!$B$9,Paramètres!$A$1:$I$89,5,0)</f>
        <v>83.122000000000014</v>
      </c>
      <c r="P23" s="14">
        <f t="shared" si="33"/>
        <v>22.898820278178533</v>
      </c>
      <c r="Q23" s="22">
        <f t="shared" si="2"/>
        <v>184.65292865116098</v>
      </c>
      <c r="R23" s="62">
        <f t="shared" si="0"/>
        <v>477.98626198449426</v>
      </c>
      <c r="S23" s="62">
        <f ca="1">AVERAGE(OFFSET($R$3,0,0,'Données projet'!$E$9+1,1))-AVERAGE(OFFSET($H$3,0,0,'Données projet'!$E$9+1,1))</f>
        <v>158.7045626101027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155</v>
      </c>
      <c r="L24" s="13">
        <f>VLOOKUP(A24,'Données projet'!$A$35:$I$55,9,0)</f>
        <v>16</v>
      </c>
      <c r="M24" s="13">
        <f t="array" ref="M24">INDEX(L:L,MIN(IF(ISNUMBER(L24:L220),ROW(L24:L220),"")))</f>
        <v>16</v>
      </c>
      <c r="N24" s="14">
        <f>IF('Données projet'!$A$36&gt;35,N23+M24-V23,IF(A24&lt;'Données projet'!$A$36,$K$205^A24,IF(A24='Données projet'!$A$36,'Données projet'!$B$36,N23+M24-V23)))</f>
        <v>155</v>
      </c>
      <c r="O24" s="14">
        <f>N24*VLOOKUP('Données projet'!$B$9,Paramètres!$A$1:$I$89,3,0)*VLOOKUP('Données projet'!$B$9,Paramètres!$A$1:$I$89,5,0)</f>
        <v>92.69</v>
      </c>
      <c r="P24" s="14">
        <f t="shared" si="33"/>
        <v>25.212872031125478</v>
      </c>
      <c r="Q24" s="22">
        <f t="shared" si="2"/>
        <v>205.34750212087684</v>
      </c>
      <c r="R24" s="62">
        <f t="shared" si="0"/>
        <v>498.68083545421018</v>
      </c>
      <c r="S24" s="62">
        <f ca="1">AVERAGE(OFFSET($R$3,0,0,'Données projet'!$E$9+1,1))-AVERAGE(OFFSET($H$3,0,0,'Données projet'!$E$9+1,1))</f>
        <v>158.7045626101027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171.5</v>
      </c>
      <c r="O25" s="14">
        <f>N25*VLOOKUP('Données projet'!$B$9,Paramètres!$A$1:$I$89,3,0)*VLOOKUP('Données projet'!$B$9,Paramètres!$A$1:$I$89,5,0)</f>
        <v>102.557</v>
      </c>
      <c r="P25" s="14">
        <f t="shared" si="33"/>
        <v>27.570269498605164</v>
      </c>
      <c r="Q25" s="22">
        <f t="shared" si="2"/>
        <v>226.63832771007063</v>
      </c>
      <c r="R25" s="62">
        <f t="shared" si="0"/>
        <v>519.97166104340397</v>
      </c>
      <c r="S25" s="62">
        <f ca="1">AVERAGE(OFFSET($R$3,0,0,'Données projet'!$E$9+1,1))-AVERAGE(OFFSET($H$3,0,0,'Données projet'!$E$9+1,1))</f>
        <v>158.7045626101027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188</v>
      </c>
      <c r="L26" s="13">
        <f>VLOOKUP(A26,'Données projet'!$A$35:$I$55,9,0)</f>
        <v>16.5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188</v>
      </c>
      <c r="O26" s="14">
        <f>N26*VLOOKUP('Données projet'!$B$9,Paramètres!$A$1:$I$89,3,0)*VLOOKUP('Données projet'!$B$9,Paramètres!$A$1:$I$89,5,0)</f>
        <v>112.42400000000001</v>
      </c>
      <c r="P26" s="14">
        <f t="shared" si="33"/>
        <v>29.901371354345123</v>
      </c>
      <c r="Q26" s="22">
        <f t="shared" si="2"/>
        <v>247.88335510881771</v>
      </c>
      <c r="R26" s="62">
        <f t="shared" si="0"/>
        <v>541.21668844215105</v>
      </c>
      <c r="S26" s="62">
        <f ca="1">AVERAGE(OFFSET($R$3,0,0,'Données projet'!$E$9+1,1))-AVERAGE(OFFSET($H$3,0,0,'Données projet'!$E$9+1,1))</f>
        <v>158.7045626101027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17</v>
      </c>
      <c r="N27" s="14">
        <f>IF('Données projet'!$A$36&gt;35,N26+M27-V26,IF(A27&lt;'Données projet'!$A$36,$K$205^A27,IF(A27='Données projet'!$A$36,'Données projet'!$B$36,N26+M27-V26)))</f>
        <v>205</v>
      </c>
      <c r="O27" s="14">
        <f>N27*VLOOKUP('Données projet'!$B$9,Paramètres!$A$1:$I$89,3,0)*VLOOKUP('Données projet'!$B$9,Paramètres!$A$1:$I$89,5,0)</f>
        <v>122.59</v>
      </c>
      <c r="P27" s="14">
        <f t="shared" si="33"/>
        <v>32.278321478706822</v>
      </c>
      <c r="Q27" s="22">
        <f t="shared" si="2"/>
        <v>269.72899324208106</v>
      </c>
      <c r="R27" s="62">
        <f t="shared" si="0"/>
        <v>563.06232657541432</v>
      </c>
      <c r="S27" s="62">
        <f ca="1">AVERAGE(OFFSET($R$3,0,0,'Données projet'!$E$9+1,1))-AVERAGE(OFFSET($H$3,0,0,'Données projet'!$E$9+1,1))</f>
        <v>158.7045626101027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17</v>
      </c>
      <c r="M28" s="13">
        <f t="array" ref="M28">INDEX(L:L,MIN(IF(ISNUMBER(L28:L224),ROW(L28:L224),"")))</f>
        <v>17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158.7045626101027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13.5</v>
      </c>
      <c r="N29" s="14">
        <f>IF('Données projet'!$A$36&gt;35,N28+M29-V28,IF(A29&lt;'Données projet'!$A$36,$K$205^A29,IF(A29='Données projet'!$A$36,'Données projet'!$B$36,N28+M29-V28)))</f>
        <v>181.5</v>
      </c>
      <c r="O29" s="14">
        <f>N29*VLOOKUP('Données projet'!$B$9,Paramètres!$A$1:$I$89,3,0)*VLOOKUP('Données projet'!$B$9,Paramètres!$A$1:$I$89,5,0)</f>
        <v>108.53700000000002</v>
      </c>
      <c r="P29" s="14">
        <f t="shared" si="33"/>
        <v>28.986022217646841</v>
      </c>
      <c r="Q29" s="22">
        <f t="shared" si="2"/>
        <v>239.51926369573494</v>
      </c>
      <c r="R29" s="62">
        <f t="shared" si="0"/>
        <v>532.85259702906819</v>
      </c>
      <c r="S29" s="62">
        <f ca="1">AVERAGE(OFFSET($R$3,0,0,'Données projet'!$E$9+1,1))-AVERAGE(OFFSET($H$3,0,0,'Données projet'!$E$9+1,1))</f>
        <v>158.7045626101027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>
        <f>VLOOKUP(A30,'Données projet'!$A$35:$I$55,2,0)</f>
        <v>195</v>
      </c>
      <c r="L30" s="13">
        <f>VLOOKUP(A30,'Données projet'!$A$35:$I$55,9,0)</f>
        <v>13.5</v>
      </c>
      <c r="M30" s="13">
        <f t="array" ref="M30">INDEX(L:L,MIN(IF(ISNUMBER(L30:L226),ROW(L30:L226),"")))</f>
        <v>13.5</v>
      </c>
      <c r="N30" s="14">
        <f>IF('Données projet'!$A$36&gt;35,N29+M30-V29,IF(A30&lt;'Données projet'!$A$36,$K$205^A30,IF(A30='Données projet'!$A$36,'Données projet'!$B$36,N29+M30-V29)))</f>
        <v>195</v>
      </c>
      <c r="O30" s="14">
        <f>N30*VLOOKUP('Données projet'!$B$9,Paramètres!$A$1:$I$89,3,0)*VLOOKUP('Données projet'!$B$9,Paramètres!$A$1:$I$89,5,0)</f>
        <v>116.61000000000001</v>
      </c>
      <c r="P30" s="14">
        <f t="shared" si="33"/>
        <v>30.883023623410974</v>
      </c>
      <c r="Q30" s="22">
        <f t="shared" si="2"/>
        <v>256.88368281077413</v>
      </c>
      <c r="R30" s="62">
        <f t="shared" si="0"/>
        <v>550.21701614410745</v>
      </c>
      <c r="S30" s="62">
        <f ca="1">AVERAGE(OFFSET($R$3,0,0,'Données projet'!$E$9+1,1))-AVERAGE(OFFSET($H$3,0,0,'Données projet'!$E$9+1,1))</f>
        <v>158.7045626101027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</v>
      </c>
      <c r="N31" s="14">
        <f>IF('Données projet'!$A$36&gt;35,N30+M31-V30,IF(A31&lt;'Données projet'!$A$36,$K$205^A31,IF(A31='Données projet'!$A$36,'Données projet'!$B$36,N30+M31-V30)))</f>
        <v>209</v>
      </c>
      <c r="O31" s="14">
        <f>N31*VLOOKUP('Données projet'!$B$9,Paramètres!$A$1:$I$89,3,0)*VLOOKUP('Données projet'!$B$9,Paramètres!$A$1:$I$89,5,0)</f>
        <v>124.982</v>
      </c>
      <c r="P31" s="14">
        <f t="shared" si="33"/>
        <v>32.834203796212122</v>
      </c>
      <c r="Q31" s="22">
        <f t="shared" si="2"/>
        <v>274.86322161173604</v>
      </c>
      <c r="R31" s="62">
        <f t="shared" si="0"/>
        <v>568.19655494506935</v>
      </c>
      <c r="S31" s="62">
        <f ca="1">AVERAGE(OFFSET($R$3,0,0,'Données projet'!$E$9+1,1))-AVERAGE(OFFSET($H$3,0,0,'Données projet'!$E$9+1,1))</f>
        <v>158.7045626101027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>
        <f>VLOOKUP(A32,'Données projet'!$A$35:$I$55,2,0)</f>
        <v>223</v>
      </c>
      <c r="L32" s="13">
        <f>VLOOKUP(A32,'Données projet'!$A$35:$I$55,9,0)</f>
        <v>14</v>
      </c>
      <c r="M32" s="13">
        <f t="array" ref="M32">INDEX(L:L,MIN(IF(ISNUMBER(L32:L228),ROW(L32:L228),"")))</f>
        <v>14</v>
      </c>
      <c r="N32" s="14">
        <f>IF('Données projet'!$A$36&gt;35,N31+M32-V31,IF(A32&lt;'Données projet'!$A$36,$K$205^A32,IF(A32='Données projet'!$A$36,'Données projet'!$B$36,N31+M32-V31)))</f>
        <v>223</v>
      </c>
      <c r="O32" s="14">
        <f>N32*VLOOKUP('Données projet'!$B$9,Paramètres!$A$1:$I$89,3,0)*VLOOKUP('Données projet'!$B$9,Paramètres!$A$1:$I$89,5,0)</f>
        <v>133.35400000000001</v>
      </c>
      <c r="P32" s="14">
        <f t="shared" si="33"/>
        <v>34.770217553947298</v>
      </c>
      <c r="Q32" s="22">
        <f t="shared" si="2"/>
        <v>292.81634557312492</v>
      </c>
      <c r="R32" s="62">
        <f t="shared" si="0"/>
        <v>586.14967890645823</v>
      </c>
      <c r="S32" s="62">
        <f ca="1">AVERAGE(OFFSET($R$3,0,0,'Données projet'!$E$9+1,1))-AVERAGE(OFFSET($H$3,0,0,'Données projet'!$E$9+1,1))</f>
        <v>158.7045626101027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14</v>
      </c>
      <c r="M33" s="13">
        <f t="array" ref="M33">INDEX(L:L,MIN(IF(ISNUMBER(L33:L229),ROW(L33:L229),"")))</f>
        <v>14</v>
      </c>
      <c r="N33" s="14">
        <f>IF('Données projet'!$A$36&gt;35,N32+M33-V32,IF(A33&lt;'Données projet'!$A$36,$K$205^A33,IF(A33='Données projet'!$A$36,'Données projet'!$B$36,N32+M33-V32)))</f>
        <v>237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158.7045626101027</v>
      </c>
      <c r="T33" s="62">
        <f t="shared" si="34"/>
        <v>269.20989374735825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13.5</v>
      </c>
      <c r="N34" s="14">
        <f>IF('Données projet'!$A$36&gt;35,N33+M34-V33,IF(A34&lt;'Données projet'!$A$36,$K$205^A34,IF(A34='Données projet'!$A$36,'Données projet'!$B$36,N33+M34-V33)))</f>
        <v>250.5</v>
      </c>
      <c r="O34" s="14">
        <f>N34*VLOOKUP('Données projet'!$B$9,Paramètres!$A$1:$I$89,3,0)*VLOOKUP('Données projet'!$B$9,Paramètres!$A$1:$I$89,5,0)</f>
        <v>149.79900000000001</v>
      </c>
      <c r="P34" s="14">
        <f t="shared" si="33"/>
        <v>38.532904085481292</v>
      </c>
      <c r="Q34" s="22">
        <f t="shared" si="2"/>
        <v>328.01139961554662</v>
      </c>
      <c r="R34" s="62">
        <f t="shared" si="0"/>
        <v>621.34473294887994</v>
      </c>
      <c r="S34" s="62">
        <f ca="1">AVERAGE(OFFSET($R$3,0,0,'Données projet'!$E$9+1,1))-AVERAGE(OFFSET($H$3,0,0,'Données projet'!$E$9+1,1))</f>
        <v>158.7045626101027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264</v>
      </c>
      <c r="L35" s="13">
        <f>VLOOKUP(A35,'Données projet'!$A$35:$I$55,9,0)</f>
        <v>13.5</v>
      </c>
      <c r="M35" s="13">
        <f t="array" ref="M35">INDEX(L:L,MIN(IF(ISNUMBER(L35:L231),ROW(L35:L231),"")))</f>
        <v>13.5</v>
      </c>
      <c r="N35" s="14">
        <f>IF('Données projet'!$A$36&gt;35,N34+M35-V34,IF(A35&lt;'Données projet'!$A$36,$K$205^A35,IF(A35='Données projet'!$A$36,'Données projet'!$B$36,N34+M35-V34)))</f>
        <v>264</v>
      </c>
      <c r="O35" s="14">
        <f>N35*VLOOKUP('Données projet'!$B$9,Paramètres!$A$1:$I$89,3,0)*VLOOKUP('Données projet'!$B$9,Paramètres!$A$1:$I$89,5,0)</f>
        <v>157.87200000000001</v>
      </c>
      <c r="P35" s="14">
        <f t="shared" si="33"/>
        <v>40.362165684361159</v>
      </c>
      <c r="Q35" s="22">
        <f t="shared" ref="Q35:Q66" si="53">(O35+P35)*0.475*44/12</f>
        <v>345.25783856692902</v>
      </c>
      <c r="R35" s="62">
        <f t="shared" si="0"/>
        <v>638.59117190026234</v>
      </c>
      <c r="S35" s="62">
        <f ca="1">AVERAGE(OFFSET($R$3,0,0,'Données projet'!$E$9+1,1))-AVERAGE(OFFSET($H$3,0,0,'Données projet'!$E$9+1,1))</f>
        <v>158.7045626101027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13.5</v>
      </c>
      <c r="N36" s="14">
        <f>IF('Données projet'!$A$36&gt;35,N35+M36-V35,IF(A36&lt;'Données projet'!$A$36,$K$205^A36,IF(A36='Données projet'!$A$36,'Données projet'!$B$36,N35+M36-V35)))</f>
        <v>277.5</v>
      </c>
      <c r="O36" s="14">
        <f>N36*VLOOKUP('Données projet'!$B$9,Paramètres!$A$1:$I$89,3,0)*VLOOKUP('Données projet'!$B$9,Paramètres!$A$1:$I$89,5,0)</f>
        <v>165.94500000000002</v>
      </c>
      <c r="P36" s="14">
        <f t="shared" si="33"/>
        <v>42.180566362892314</v>
      </c>
      <c r="Q36" s="22">
        <f t="shared" si="53"/>
        <v>362.48536141537079</v>
      </c>
      <c r="R36" s="62">
        <f t="shared" si="0"/>
        <v>655.81869474870405</v>
      </c>
      <c r="S36" s="62">
        <f ca="1">AVERAGE(OFFSET($R$3,0,0,'Données projet'!$E$9+1,1))-AVERAGE(OFFSET($H$3,0,0,'Données projet'!$E$9+1,1))</f>
        <v>158.7045626101027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291</v>
      </c>
      <c r="L37" s="13">
        <f>VLOOKUP(A37,'Données projet'!$A$35:$I$55,9,0)</f>
        <v>13.5</v>
      </c>
      <c r="M37" s="13">
        <f t="array" ref="M37">INDEX(L:L,MIN(IF(ISNUMBER(L37:L233),ROW(L37:L233),"")))</f>
        <v>13.5</v>
      </c>
      <c r="N37" s="14">
        <f>IF('Données projet'!$A$36&gt;35,N36+M37-V36,IF(A37&lt;'Données projet'!$A$36,$K$205^A37,IF(A37='Données projet'!$A$36,'Données projet'!$B$36,N36+M37-V36)))</f>
        <v>291</v>
      </c>
      <c r="O37" s="14">
        <f>N37*VLOOKUP('Données projet'!$B$9,Paramètres!$A$1:$I$89,3,0)*VLOOKUP('Données projet'!$B$9,Paramètres!$A$1:$I$89,5,0)</f>
        <v>174.01800000000003</v>
      </c>
      <c r="P37" s="14">
        <f t="shared" si="33"/>
        <v>43.988694800618951</v>
      </c>
      <c r="Q37" s="22">
        <f t="shared" si="53"/>
        <v>379.69499344441141</v>
      </c>
      <c r="R37" s="62">
        <f t="shared" si="0"/>
        <v>673.02832677774472</v>
      </c>
      <c r="S37" s="62">
        <f ca="1">AVERAGE(OFFSET($R$3,0,0,'Données projet'!$E$9+1,1))-AVERAGE(OFFSET($H$3,0,0,'Données projet'!$E$9+1,1))</f>
        <v>158.7045626101027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</v>
      </c>
      <c r="N38" s="14">
        <f>IF('Données projet'!$A$36&gt;35,N37+M38-V37,IF(A38&lt;'Données projet'!$A$36,$K$205^A38,IF(A38='Données projet'!$A$36,'Données projet'!$B$36,N37+M38-V37)))</f>
        <v>303</v>
      </c>
      <c r="O38" s="14">
        <f>N38*VLOOKUP('Données projet'!$B$9,Paramètres!$A$1:$I$89,3,0)*VLOOKUP('Données projet'!$B$9,Paramètres!$A$1:$I$89,5,0)</f>
        <v>181.19399999999999</v>
      </c>
      <c r="P38" s="14">
        <f t="shared" si="33"/>
        <v>45.587726866550426</v>
      </c>
      <c r="Q38" s="22">
        <f t="shared" si="53"/>
        <v>394.97817429257526</v>
      </c>
      <c r="R38" s="62">
        <f t="shared" si="0"/>
        <v>688.31150762590858</v>
      </c>
      <c r="S38" s="62">
        <f ca="1">AVERAGE(OFFSET($R$3,0,0,'Données projet'!$E$9+1,1))-AVERAGE(OFFSET($H$3,0,0,'Données projet'!$E$9+1,1))</f>
        <v>158.7045626101027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315</v>
      </c>
      <c r="L39" s="13">
        <f>VLOOKUP(A39,'Données projet'!$A$35:$I$55,9,0)</f>
        <v>12</v>
      </c>
      <c r="M39" s="13">
        <f t="array" ref="M39">INDEX(L:L,MIN(IF(ISNUMBER(L39:L235),ROW(L39:L235),"")))</f>
        <v>12</v>
      </c>
      <c r="N39" s="14">
        <f>IF('Données projet'!$A$36&gt;35,N38+M39-V38,IF(A39&lt;'Données projet'!$A$36,$K$205^A39,IF(A39='Données projet'!$A$36,'Données projet'!$B$36,N38+M39-V38)))</f>
        <v>315</v>
      </c>
      <c r="O39" s="14">
        <f>N39*VLOOKUP('Données projet'!$B$9,Paramètres!$A$1:$I$89,3,0)*VLOOKUP('Données projet'!$B$9,Paramètres!$A$1:$I$89,5,0)</f>
        <v>188.37</v>
      </c>
      <c r="P39" s="14">
        <f t="shared" si="33"/>
        <v>47.179402486491298</v>
      </c>
      <c r="Q39" s="22">
        <f t="shared" si="53"/>
        <v>410.24854266397239</v>
      </c>
      <c r="R39" s="62">
        <f t="shared" si="0"/>
        <v>703.5818759973057</v>
      </c>
      <c r="S39" s="62">
        <f ca="1">AVERAGE(OFFSET($R$3,0,0,'Données projet'!$E$9+1,1))-AVERAGE(OFFSET($H$3,0,0,'Données projet'!$E$9+1,1))</f>
        <v>158.7045626101027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11.5</v>
      </c>
      <c r="N40" s="14">
        <f>IF('Données projet'!$A$36&gt;35,N39+M40-V39,IF(A40&lt;'Données projet'!$A$36,$K$205^A40,IF(A40='Données projet'!$A$36,'Données projet'!$B$36,N39+M40-V39)))</f>
        <v>326.5</v>
      </c>
      <c r="O40" s="14">
        <f>N40*VLOOKUP('Données projet'!$B$9,Paramètres!$A$1:$I$89,3,0)*VLOOKUP('Données projet'!$B$9,Paramètres!$A$1:$I$89,5,0)</f>
        <v>195.24700000000001</v>
      </c>
      <c r="P40" s="14">
        <f t="shared" si="33"/>
        <v>48.698144481561314</v>
      </c>
      <c r="Q40" s="22">
        <f t="shared" si="53"/>
        <v>424.87112663871932</v>
      </c>
      <c r="R40" s="62">
        <f t="shared" si="0"/>
        <v>718.20445997205263</v>
      </c>
      <c r="S40" s="62">
        <f ca="1">AVERAGE(OFFSET($R$3,0,0,'Données projet'!$E$9+1,1))-AVERAGE(OFFSET($H$3,0,0,'Données projet'!$E$9+1,1))</f>
        <v>158.7045626101027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11.5</v>
      </c>
      <c r="M41" s="13">
        <f t="array" ref="M41">INDEX(L:L,MIN(IF(ISNUMBER(L41:L237),ROW(L41:L237),"")))</f>
        <v>11.5</v>
      </c>
      <c r="N41" s="14">
        <f>IF('Données projet'!$A$36&gt;35,N40+M41-V40,IF(A41&lt;'Données projet'!$A$36,$K$205^A41,IF(A41='Données projet'!$A$36,'Données projet'!$B$36,N40+M41-V40)))</f>
        <v>338</v>
      </c>
      <c r="O41" s="14">
        <f>N41*VLOOKUP('Données projet'!$B$9,Paramètres!$A$1:$I$89,3,0)*VLOOKUP('Données projet'!$B$9,Paramètres!$A$1:$I$89,5,0)</f>
        <v>202.12400000000002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158.7045626101027</v>
      </c>
      <c r="T41" s="62">
        <f t="shared" si="34"/>
        <v>269.20989374735825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158.7045626101027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158.7045626101027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158.7045626101027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158.7045626101027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158.7045626101027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158.7045626101027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158.7045626101027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158.7045626101027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158.7045626101027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158.7045626101027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158.7045626101027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158.7045626101027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158.7045626101027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158.7045626101027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158.7045626101027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158.7045626101027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158.7045626101027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158.7045626101027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158.7045626101027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158.7045626101027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158.7045626101027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158.7045626101027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158.7045626101027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158.7045626101027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158.7045626101027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158.7045626101027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158.7045626101027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158.7045626101027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158.7045626101027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158.7045626101027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158.7045626101027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158.7045626101027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158.7045626101027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158.7045626101027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158.7045626101027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158.7045626101027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158.7045626101027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158.7045626101027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158.7045626101027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158.7045626101027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158.7045626101027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158.7045626101027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158.7045626101027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158.7045626101027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158.7045626101027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158.7045626101027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158.7045626101027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158.7045626101027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158.7045626101027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158.7045626101027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158.7045626101027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158.7045626101027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158.7045626101027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158.7045626101027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158.7045626101027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158.7045626101027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158.7045626101027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158.7045626101027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158.7045626101027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158.7045626101027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158.7045626101027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158.7045626101027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158.7045626101027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158.7045626101027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158.7045626101027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158.7045626101027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158.7045626101027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158.7045626101027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158.7045626101027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158.7045626101027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158.7045626101027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158.7045626101027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158.7045626101027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158.7045626101027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158.7045626101027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158.7045626101027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158.7045626101027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158.7045626101027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158.7045626101027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158.7045626101027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158.7045626101027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158.7045626101027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158.7045626101027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158.7045626101027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158.7045626101027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158.7045626101027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158.7045626101027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158.7045626101027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158.7045626101027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158.7045626101027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158.7045626101027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158.7045626101027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158.7045626101027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158.7045626101027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158.7045626101027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158.7045626101027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158.7045626101027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158.7045626101027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158.7045626101027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158.7045626101027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158.7045626101027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158.7045626101027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158.7045626101027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158.7045626101027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158.7045626101027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158.7045626101027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158.7045626101027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158.7045626101027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158.7045626101027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158.7045626101027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158.7045626101027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158.7045626101027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158.7045626101027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158.7045626101027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158.7045626101027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158.7045626101027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158.7045626101027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158.7045626101027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158.7045626101027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158.7045626101027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158.7045626101027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158.7045626101027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158.7045626101027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158.7045626101027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158.7045626101027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158.7045626101027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158.7045626101027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158.7045626101027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158.7045626101027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158.7045626101027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158.7045626101027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158.7045626101027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158.7045626101027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158.7045626101027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158.7045626101027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158.7045626101027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158.7045626101027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158.7045626101027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158.7045626101027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158.7045626101027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158.7045626101027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158.7045626101027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158.7045626101027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158.7045626101027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158.7045626101027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158.7045626101027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158.7045626101027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158.7045626101027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158.7045626101027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158.7045626101027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158.7045626101027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158.7045626101027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158.7045626101027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158.7045626101027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158.7045626101027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158.7045626101027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158.7045626101027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158.7045626101027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158.7045626101027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158.7045626101027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158.7045626101027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158.7045626101027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1.4134877424514771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4" workbookViewId="0">
      <selection activeCell="T30" sqref="T30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4.774</v>
      </c>
      <c r="C6" s="156">
        <f ca="1">IF(OR('Données projet'!B9="",'Données projet'!C9="",'Données projet'!C9=0%),0,Calculateur!S3)</f>
        <v>158.7045626101027</v>
      </c>
      <c r="D6" s="156">
        <f>IF(OR('Données projet'!B9="",'Données projet'!C9="",'Données projet'!C9=0%),0,Calculateur!T3)</f>
        <v>269.20989374735825</v>
      </c>
      <c r="E6" s="156">
        <f ca="1">MIN(C6,D6)</f>
        <v>158.7045626101027</v>
      </c>
      <c r="F6" s="156">
        <f ca="1">E6*B6</f>
        <v>757.6555819006303</v>
      </c>
      <c r="G6" s="156">
        <f ca="1">F6*(100%-'Données projet'!$C$24)*(100%-'Données projet'!$C$25)*(100%-'Données projet'!$C$26)*(100%-'Données projet'!$C$27)</f>
        <v>463.68521612318574</v>
      </c>
      <c r="H6" s="157">
        <f>IF(OR('Données projet'!B9="",'Données projet'!C9="",'Données projet'!C9=0%),0,AVERAGE(Calculateur!$AC$3:$AC$33)*B6)</f>
        <v>39.084975154962116</v>
      </c>
      <c r="I6" s="158">
        <f>H6*(100%-'Données projet'!$C$24)*(100%-'Données projet'!$C$25)*(100%-'Données projet'!$C$26)*(100%-'Données projet'!$C$27)</f>
        <v>23.920004794836817</v>
      </c>
      <c r="J6" s="159">
        <f>IF(OR('Données projet'!B9="",'Données projet'!C9="",'Données projet'!C9=0%),0,SUM(Calculateur!$V$3:$V$33)*VLOOKUP('Données projet'!$B$9,Paramètres!$A$1:$I$89,9,0)*B6)</f>
        <v>307.01594</v>
      </c>
      <c r="K6" s="160">
        <f>J6*(100%-'Données projet'!$C$24)*(100%-'Données projet'!$C$25)*(100%-'Données projet'!$C$26)*(100%-'Données projet'!$C$27)</f>
        <v>187.89375528000002</v>
      </c>
      <c r="L6" s="161">
        <f ca="1">G6+I6+K6</f>
        <v>675.49897619802255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757.6555819006303</v>
      </c>
      <c r="G16" s="175">
        <f t="shared" ca="1" si="3"/>
        <v>463.68521612318574</v>
      </c>
      <c r="H16" s="176">
        <f t="shared" si="3"/>
        <v>39.084975154962116</v>
      </c>
      <c r="I16" s="176">
        <f t="shared" si="3"/>
        <v>23.920004794836817</v>
      </c>
      <c r="J16" s="177">
        <f t="shared" si="3"/>
        <v>307.01594</v>
      </c>
      <c r="K16" s="177">
        <f t="shared" si="3"/>
        <v>187.89375528000002</v>
      </c>
      <c r="L16" s="178">
        <f t="shared" ca="1" si="3"/>
        <v>675.49897619802255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4.774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11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13</v>
      </c>
      <c r="B24" s="193">
        <f>'Données projet'!D37</f>
        <v>15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15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17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19</v>
      </c>
      <c r="B27" s="193">
        <f>'Données projet'!D40</f>
        <v>40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21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23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25</v>
      </c>
      <c r="B30" s="193">
        <f>'Données projet'!D43</f>
        <v>54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27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29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30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32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34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36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38</v>
      </c>
      <c r="B37" s="193">
        <f>'Données projet'!D50</f>
        <v>338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2022-03-18T15:14:56Z</dcterms:modified>
</cp:coreProperties>
</file>