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CFBL\Projets_LBC\Projet_Bagnols_092021\"/>
    </mc:Choice>
  </mc:AlternateContent>
  <bookViews>
    <workbookView xWindow="0" yWindow="0" windowWidth="19200" windowHeight="7310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31" i="2" a="1"/>
  <c r="BC31" i="2" s="1"/>
  <c r="BC7" i="2" a="1"/>
  <c r="BC7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64" i="2" l="1" a="1"/>
  <c r="BC164" i="2" s="1"/>
  <c r="BC34" i="2" a="1"/>
  <c r="BC34" i="2" s="1"/>
  <c r="BC18" i="2" a="1"/>
  <c r="BC18" i="2" s="1"/>
  <c r="BC185" i="2" a="1"/>
  <c r="BC185" i="2" s="1"/>
  <c r="BC84" i="2" a="1"/>
  <c r="BC84" i="2" s="1"/>
  <c r="BC55" i="2" a="1"/>
  <c r="BC55" i="2" s="1"/>
  <c r="BC130" i="2" a="1"/>
  <c r="BC130" i="2" s="1"/>
  <c r="BC126" i="2" a="1"/>
  <c r="BC126" i="2" s="1"/>
  <c r="BC151" i="2" a="1"/>
  <c r="BC151" i="2" s="1"/>
  <c r="BC192" i="2" a="1"/>
  <c r="BC192" i="2" s="1"/>
  <c r="BC143" i="2" a="1"/>
  <c r="BC143" i="2" s="1"/>
  <c r="BC117" i="2" a="1"/>
  <c r="BC117" i="2" s="1"/>
  <c r="BC181" i="2" a="1"/>
  <c r="BC181" i="2" s="1"/>
  <c r="BC38" i="2" a="1"/>
  <c r="BC38" i="2" s="1"/>
  <c r="BC32" i="2" a="1"/>
  <c r="BC32" i="2" s="1"/>
  <c r="BC47" i="2" a="1"/>
  <c r="BC47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BP203" i="2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<sst xmlns="http://schemas.openxmlformats.org/spreadsheetml/2006/main" count="1172" uniqueCount="324">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</sst>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1.7883162194820796</c:v>
                </c:pt>
                <c:pt idx="2">
                  <c:v>2.2002736085401873</c:v>
                </c:pt>
                <c:pt idx="3">
                  <c:v>2.7074995109843676</c:v>
                </c:pt>
                <c:pt idx="4">
                  <c:v>3.3321064262124911</c:v>
                </c:pt>
                <c:pt idx="5">
                  <c:v>4.101356941008981</c:v>
                </c:pt>
                <c:pt idx="6">
                  <c:v>5.0488670292565985</c:v>
                </c:pt>
                <c:pt idx="7">
                  <c:v>6.216091325600682</c:v>
                </c:pt>
                <c:pt idx="8">
                  <c:v>7.6541566275001989</c:v>
                </c:pt>
                <c:pt idx="9">
                  <c:v>9.4261254860207409</c:v>
                </c:pt>
                <c:pt idx="10">
                  <c:v>11.60979103576868</c:v>
                </c:pt>
                <c:pt idx="11">
                  <c:v>14.301128060011081</c:v>
                </c:pt>
                <c:pt idx="12">
                  <c:v>17.618554766272705</c:v>
                </c:pt>
                <c:pt idx="13">
                  <c:v>21.708196194095319</c:v>
                </c:pt>
                <c:pt idx="14">
                  <c:v>26.750385239949399</c:v>
                </c:pt>
                <c:pt idx="15">
                  <c:v>32.96769300559157</c:v>
                </c:pt>
                <c:pt idx="16">
                  <c:v>40.634849080831849</c:v>
                </c:pt>
                <c:pt idx="17">
                  <c:v>50.090997584448722</c:v>
                </c:pt>
                <c:pt idx="18">
                  <c:v>61.754840174422242</c:v>
                </c:pt>
                <c:pt idx="19">
                  <c:v>76.143347585494482</c:v>
                </c:pt>
                <c:pt idx="20">
                  <c:v>93.89488247959649</c:v>
                </c:pt>
                <c:pt idx="21">
                  <c:v>115.7977758310697</c:v>
                </c:pt>
                <c:pt idx="22">
                  <c:v>142.8256457836253</c:v>
                </c:pt>
                <c:pt idx="23">
                  <c:v>176.18105313545905</c:v>
                </c:pt>
                <c:pt idx="24">
                  <c:v>217.34946522796665</c:v>
                </c:pt>
                <c:pt idx="25">
                  <c:v>268.16596723194158</c:v>
                </c:pt>
                <c:pt idx="26">
                  <c:v>281.12183635781474</c:v>
                </c:pt>
                <c:pt idx="27">
                  <c:v>310.82280084580395</c:v>
                </c:pt>
                <c:pt idx="28">
                  <c:v>340.46077551603156</c:v>
                </c:pt>
                <c:pt idx="29">
                  <c:v>370.04200959807071</c:v>
                </c:pt>
                <c:pt idx="30">
                  <c:v>399.57167178295862</c:v>
                </c:pt>
                <c:pt idx="31">
                  <c:v>379.09668743989408</c:v>
                </c:pt>
                <c:pt idx="32">
                  <c:v>408.6114475460293</c:v>
                </c:pt>
                <c:pt idx="33">
                  <c:v>438.08017326114509</c:v>
                </c:pt>
                <c:pt idx="34">
                  <c:v>467.50639268287961</c:v>
                </c:pt>
                <c:pt idx="35">
                  <c:v>496.89315392930274</c:v>
                </c:pt>
                <c:pt idx="36">
                  <c:v>467.26924609904512</c:v>
                </c:pt>
                <c:pt idx="37">
                  <c:v>495.70893259379926</c:v>
                </c:pt>
                <c:pt idx="38">
                  <c:v>524.11406271004307</c:v>
                </c:pt>
                <c:pt idx="39">
                  <c:v>552.48677012222458</c:v>
                </c:pt>
                <c:pt idx="40">
                  <c:v>580.82895174144687</c:v>
                </c:pt>
                <c:pt idx="41">
                  <c:v>536.64922208458972</c:v>
                </c:pt>
                <c:pt idx="42">
                  <c:v>560.992549027368</c:v>
                </c:pt>
                <c:pt idx="43">
                  <c:v>585.31377902676002</c:v>
                </c:pt>
                <c:pt idx="44">
                  <c:v>609.61395836729616</c:v>
                </c:pt>
                <c:pt idx="45">
                  <c:v>633.89404321407972</c:v>
                </c:pt>
                <c:pt idx="46">
                  <c:v>3.4554122145673649E-12</c:v>
                </c:pt>
                <c:pt idx="47">
                  <c:v>3.4554122145673649E-12</c:v>
                </c:pt>
                <c:pt idx="48">
                  <c:v>3.4554122145673649E-12</c:v>
                </c:pt>
                <c:pt idx="49">
                  <c:v>3.4554122145673649E-12</c:v>
                </c:pt>
                <c:pt idx="50">
                  <c:v>3.4554122145673649E-12</c:v>
                </c:pt>
                <c:pt idx="51">
                  <c:v>3.4554122145673649E-12</c:v>
                </c:pt>
                <c:pt idx="52">
                  <c:v>3.4554122145673649E-12</c:v>
                </c:pt>
                <c:pt idx="53">
                  <c:v>3.4554122145673649E-12</c:v>
                </c:pt>
                <c:pt idx="54">
                  <c:v>3.4554122145673649E-12</c:v>
                </c:pt>
                <c:pt idx="55">
                  <c:v>3.4554122145673649E-12</c:v>
                </c:pt>
                <c:pt idx="56">
                  <c:v>3.4554122145673649E-12</c:v>
                </c:pt>
                <c:pt idx="57">
                  <c:v>3.4554122145673649E-12</c:v>
                </c:pt>
                <c:pt idx="58">
                  <c:v>3.4554122145673649E-12</c:v>
                </c:pt>
                <c:pt idx="59">
                  <c:v>3.4554122145673649E-12</c:v>
                </c:pt>
                <c:pt idx="60">
                  <c:v>3.4554122145673649E-12</c:v>
                </c:pt>
                <c:pt idx="61">
                  <c:v>3.4554122145673649E-12</c:v>
                </c:pt>
                <c:pt idx="62">
                  <c:v>3.4554122145673649E-12</c:v>
                </c:pt>
                <c:pt idx="63">
                  <c:v>3.4554122145673649E-12</c:v>
                </c:pt>
                <c:pt idx="64">
                  <c:v>3.4554122145673649E-12</c:v>
                </c:pt>
                <c:pt idx="65">
                  <c:v>3.4554122145673649E-12</c:v>
                </c:pt>
                <c:pt idx="66">
                  <c:v>3.4554122145673649E-12</c:v>
                </c:pt>
                <c:pt idx="67">
                  <c:v>3.4554122145673649E-12</c:v>
                </c:pt>
                <c:pt idx="68">
                  <c:v>3.4554122145673649E-12</c:v>
                </c:pt>
                <c:pt idx="69">
                  <c:v>3.4554122145673649E-12</c:v>
                </c:pt>
                <c:pt idx="70">
                  <c:v>3.4554122145673649E-12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06112"/>
        <c:axId val="212500672"/>
      </c:scatterChart>
      <c:valAx>
        <c:axId val="212506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0672"/>
        <c:crosses val="autoZero"/>
        <c:crossBetween val="midCat"/>
      </c:valAx>
      <c:valAx>
        <c:axId val="21250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6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93600"/>
        <c:axId val="212521344"/>
      </c:scatterChart>
      <c:valAx>
        <c:axId val="212493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21344"/>
        <c:crosses val="autoZero"/>
        <c:crossBetween val="midCat"/>
      </c:valAx>
      <c:valAx>
        <c:axId val="21252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493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90336"/>
        <c:axId val="212513184"/>
      </c:scatterChart>
      <c:valAx>
        <c:axId val="212490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13184"/>
        <c:crosses val="autoZero"/>
        <c:crossBetween val="midCat"/>
      </c:valAx>
      <c:valAx>
        <c:axId val="21251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490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05568"/>
        <c:axId val="212514816"/>
      </c:scatterChart>
      <c:valAx>
        <c:axId val="2125055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14816"/>
        <c:crosses val="autoZero"/>
        <c:crossBetween val="midCat"/>
      </c:valAx>
      <c:valAx>
        <c:axId val="21251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55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16992"/>
        <c:axId val="212502848"/>
      </c:scatterChart>
      <c:valAx>
        <c:axId val="212516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2848"/>
        <c:crosses val="autoZero"/>
        <c:crossBetween val="midCat"/>
      </c:valAx>
      <c:valAx>
        <c:axId val="212502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16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08288"/>
        <c:axId val="212506656"/>
      </c:scatterChart>
      <c:valAx>
        <c:axId val="2125082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6656"/>
        <c:crosses val="autoZero"/>
        <c:crossBetween val="midCat"/>
      </c:valAx>
      <c:valAx>
        <c:axId val="21250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82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03392"/>
        <c:axId val="212491424"/>
      </c:scatterChart>
      <c:valAx>
        <c:axId val="212503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491424"/>
        <c:crosses val="autoZero"/>
        <c:crossBetween val="midCat"/>
      </c:valAx>
      <c:valAx>
        <c:axId val="212491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3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11008"/>
        <c:axId val="212515904"/>
      </c:scatterChart>
      <c:valAx>
        <c:axId val="212511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15904"/>
        <c:crosses val="autoZero"/>
        <c:crossBetween val="midCat"/>
      </c:valAx>
      <c:valAx>
        <c:axId val="21251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11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519168"/>
        <c:axId val="212503936"/>
      </c:scatterChart>
      <c:valAx>
        <c:axId val="212519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03936"/>
        <c:crosses val="autoZero"/>
        <c:crossBetween val="midCat"/>
      </c:valAx>
      <c:valAx>
        <c:axId val="21250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19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2492512"/>
        <c:axId val="212520256"/>
      </c:scatterChart>
      <c:valAx>
        <c:axId val="212492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520256"/>
        <c:crosses val="autoZero"/>
        <c:crossBetween val="midCat"/>
      </c:valAx>
      <c:valAx>
        <c:axId val="21252025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2492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56" zoomScale="90" zoomScaleNormal="90" workbookViewId="0">
      <selection activeCell="L65" sqref="L65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3.84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18</v>
      </c>
      <c r="C9" s="35">
        <v>0.872</v>
      </c>
      <c r="D9" s="36">
        <f t="shared" ref="D9:D18" si="0">C9*$C$5</f>
        <v>3.3484799999999999</v>
      </c>
      <c r="E9" s="37">
        <v>45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35</v>
      </c>
      <c r="C10" s="35">
        <v>4.2999999999999997E-2</v>
      </c>
      <c r="D10" s="36">
        <f t="shared" si="0"/>
        <v>0.16511999999999999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81</v>
      </c>
      <c r="C11" s="35">
        <v>8.5000000000000006E-2</v>
      </c>
      <c r="D11" s="36">
        <f t="shared" si="0"/>
        <v>0.32640000000000002</v>
      </c>
      <c r="E11" s="37">
        <v>42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1</v>
      </c>
      <c r="D19" s="41">
        <f>SUM(D9:D18)</f>
        <v>3.84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25</v>
      </c>
      <c r="B36" s="63">
        <v>218</v>
      </c>
      <c r="C36" s="63">
        <v>1</v>
      </c>
      <c r="D36" s="63">
        <v>14</v>
      </c>
      <c r="E36" s="54">
        <v>0.3</v>
      </c>
      <c r="F36" s="54">
        <v>0.19600000000000001</v>
      </c>
      <c r="G36" s="54">
        <v>0.154</v>
      </c>
      <c r="H36" s="54">
        <v>0.35</v>
      </c>
      <c r="I36" s="52">
        <f>IFERROR(B36/A36,"")</f>
        <v>8.7200000000000006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30</v>
      </c>
      <c r="B37" s="63">
        <v>328</v>
      </c>
      <c r="C37" s="63">
        <v>2</v>
      </c>
      <c r="D37" s="63">
        <v>42</v>
      </c>
      <c r="E37" s="54">
        <v>0.4</v>
      </c>
      <c r="F37" s="54">
        <v>0.19600000000000001</v>
      </c>
      <c r="G37" s="54">
        <v>0.154</v>
      </c>
      <c r="H37" s="54">
        <v>0.25</v>
      </c>
      <c r="I37" s="56">
        <f t="shared" ref="I37:I55" si="1">IF(A37&lt;&gt;0,(B37-(B36-D36))/(A37-A36),"")</f>
        <v>24.8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35</v>
      </c>
      <c r="B38" s="63">
        <v>410</v>
      </c>
      <c r="C38" s="63">
        <v>3</v>
      </c>
      <c r="D38" s="63">
        <v>49</v>
      </c>
      <c r="E38" s="54"/>
      <c r="F38" s="54"/>
      <c r="G38" s="54"/>
      <c r="H38" s="54"/>
      <c r="I38" s="56">
        <f t="shared" si="1"/>
        <v>24.8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40</v>
      </c>
      <c r="B39" s="63">
        <v>481</v>
      </c>
      <c r="C39" s="63">
        <v>4</v>
      </c>
      <c r="D39" s="63">
        <v>58</v>
      </c>
      <c r="E39" s="54"/>
      <c r="F39" s="54"/>
      <c r="G39" s="54"/>
      <c r="H39" s="54"/>
      <c r="I39" s="52">
        <f t="shared" si="1"/>
        <v>24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45</v>
      </c>
      <c r="B40" s="63">
        <v>526</v>
      </c>
      <c r="C40" s="63"/>
      <c r="D40" s="63">
        <v>526</v>
      </c>
      <c r="E40" s="54"/>
      <c r="F40" s="54"/>
      <c r="G40" s="54"/>
      <c r="H40" s="54"/>
      <c r="I40" s="52">
        <f t="shared" si="1"/>
        <v>20.6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22</v>
      </c>
      <c r="B62" s="63">
        <v>123</v>
      </c>
      <c r="C62" s="63">
        <v>1</v>
      </c>
      <c r="D62" s="63">
        <v>16</v>
      </c>
      <c r="E62" s="54"/>
      <c r="F62" s="54"/>
      <c r="G62" s="54"/>
      <c r="H62" s="54">
        <v>1</v>
      </c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25</v>
      </c>
      <c r="B63" s="63">
        <v>144</v>
      </c>
      <c r="C63" s="63">
        <v>2</v>
      </c>
      <c r="D63" s="63">
        <v>17</v>
      </c>
      <c r="E63" s="54"/>
      <c r="F63" s="54"/>
      <c r="G63" s="54"/>
      <c r="H63" s="54">
        <v>1</v>
      </c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30</v>
      </c>
      <c r="B64" s="63">
        <v>194</v>
      </c>
      <c r="C64" s="63">
        <v>3</v>
      </c>
      <c r="D64" s="63">
        <v>34</v>
      </c>
      <c r="E64" s="54">
        <v>0.3</v>
      </c>
      <c r="F64" s="54">
        <v>0.2</v>
      </c>
      <c r="G64" s="54">
        <v>0.15</v>
      </c>
      <c r="H64" s="54">
        <v>0.35</v>
      </c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35</v>
      </c>
      <c r="B65" s="63">
        <v>233</v>
      </c>
      <c r="C65" s="63">
        <v>4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40</v>
      </c>
      <c r="B66" s="63">
        <v>264</v>
      </c>
      <c r="C66" s="63">
        <v>5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45</v>
      </c>
      <c r="B67" s="63">
        <v>318</v>
      </c>
      <c r="C67" s="63">
        <v>6</v>
      </c>
      <c r="D67" s="63">
        <v>53</v>
      </c>
      <c r="E67" s="54"/>
      <c r="F67" s="54"/>
      <c r="G67" s="54"/>
      <c r="H67" s="54"/>
      <c r="I67" s="52">
        <f t="shared" si="2"/>
        <v>19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50</v>
      </c>
      <c r="B68" s="63">
        <v>352</v>
      </c>
      <c r="C68" s="63">
        <v>7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>
        <v>58</v>
      </c>
      <c r="B69" s="53">
        <v>440</v>
      </c>
      <c r="C69" s="53">
        <v>8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>
        <v>66</v>
      </c>
      <c r="B70" s="53">
        <v>495</v>
      </c>
      <c r="C70" s="53">
        <v>9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>
        <v>74</v>
      </c>
      <c r="B71" s="53">
        <v>533</v>
      </c>
      <c r="C71" s="53">
        <v>10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>
        <v>82</v>
      </c>
      <c r="B72" s="53">
        <v>567</v>
      </c>
      <c r="C72" s="53"/>
      <c r="D72" s="53">
        <v>567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Mélèze hybride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12</v>
      </c>
      <c r="B88" s="63">
        <v>116</v>
      </c>
      <c r="C88" s="63">
        <v>1</v>
      </c>
      <c r="D88" s="63">
        <v>21</v>
      </c>
      <c r="E88" s="54"/>
      <c r="F88" s="54"/>
      <c r="G88" s="54"/>
      <c r="H88" s="93">
        <v>1</v>
      </c>
      <c r="I88" s="56">
        <f>IFERROR(B88/A88,"")</f>
        <v>9.6666666666666661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15</v>
      </c>
      <c r="B89" s="63">
        <v>168</v>
      </c>
      <c r="C89" s="63">
        <v>2</v>
      </c>
      <c r="D89" s="63">
        <v>47</v>
      </c>
      <c r="E89" s="54"/>
      <c r="F89" s="54">
        <v>0.2</v>
      </c>
      <c r="G89" s="54">
        <v>0.15</v>
      </c>
      <c r="H89" s="93">
        <v>0.65</v>
      </c>
      <c r="I89" s="56">
        <f t="shared" ref="I89:I107" si="3">IF(A89&lt;&gt;0,(B89-(B88-D88))/(A89-A88),"")</f>
        <v>24.333333333333332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18</v>
      </c>
      <c r="B90" s="63">
        <v>185</v>
      </c>
      <c r="C90" s="63">
        <v>3</v>
      </c>
      <c r="D90" s="63">
        <v>61</v>
      </c>
      <c r="E90" s="93"/>
      <c r="F90" s="93">
        <v>0.2</v>
      </c>
      <c r="G90" s="93">
        <v>0.15</v>
      </c>
      <c r="H90" s="93">
        <v>0.65</v>
      </c>
      <c r="I90" s="56">
        <f t="shared" si="3"/>
        <v>21.333333333333332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24</v>
      </c>
      <c r="B91" s="63">
        <v>239</v>
      </c>
      <c r="C91" s="63">
        <v>4</v>
      </c>
      <c r="D91" s="63">
        <v>84</v>
      </c>
      <c r="E91" s="93">
        <v>0.3</v>
      </c>
      <c r="F91" s="93">
        <v>0.2</v>
      </c>
      <c r="G91" s="93">
        <v>0.15</v>
      </c>
      <c r="H91" s="93">
        <v>0.35</v>
      </c>
      <c r="I91" s="56">
        <f t="shared" si="3"/>
        <v>19.166666666666668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30</v>
      </c>
      <c r="B92" s="63">
        <v>255</v>
      </c>
      <c r="C92" s="63">
        <v>5</v>
      </c>
      <c r="D92" s="63">
        <v>76</v>
      </c>
      <c r="E92" s="93">
        <v>0.4</v>
      </c>
      <c r="F92" s="93">
        <v>0.2</v>
      </c>
      <c r="G92" s="93">
        <v>0.15</v>
      </c>
      <c r="H92" s="93">
        <v>0.25</v>
      </c>
      <c r="I92" s="56">
        <f t="shared" si="3"/>
        <v>16.666666666666668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36</v>
      </c>
      <c r="B93" s="63">
        <v>269</v>
      </c>
      <c r="C93" s="63">
        <v>6</v>
      </c>
      <c r="D93" s="63">
        <v>75</v>
      </c>
      <c r="E93" s="93"/>
      <c r="F93" s="93"/>
      <c r="G93" s="93"/>
      <c r="H93" s="93"/>
      <c r="I93" s="56">
        <f t="shared" si="3"/>
        <v>15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>
        <v>42</v>
      </c>
      <c r="B94" s="63">
        <v>278</v>
      </c>
      <c r="C94" s="63"/>
      <c r="D94" s="63">
        <v>278</v>
      </c>
      <c r="E94" s="93"/>
      <c r="F94" s="93"/>
      <c r="G94" s="93"/>
      <c r="H94" s="93"/>
      <c r="I94" s="56">
        <f t="shared" si="3"/>
        <v>14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Mélèze hybride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210.566504119093</v>
      </c>
      <c r="T3" s="62">
        <f>IF('Données projet'!E9&gt;30,$R$33-$H$33,LOOKUP('Données projet'!$E$9,$A$3:$A$203,R3:R203)-LOOKUP('Données projet'!$E$9,$A$3:$A$203,$H$3:$H$203))</f>
        <v>365.95065044620048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295.01137243247126</v>
      </c>
      <c r="AO3" s="62">
        <f>IF('Données projet'!E10&gt;30,$AM$33-$H$33,LOOKUP('Données projet'!$E$10,$A$3:$A$203,AM3:AM203)-LOOKUP('Données projet'!$E$10,$A$3:$A$203,$H$3:$H$203))</f>
        <v>221.9773436301067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159.92263609041913</v>
      </c>
      <c r="BJ3" s="62">
        <f>IF('Données projet'!E11&gt;30,$BH$33-$H$33,LOOKUP('Données projet'!$E$11,$A$3:$A$203,BH3:BH203)-LOOKUP('Données projet'!$E$11,$A$3:$A$203,$H$3:$H$203))</f>
        <v>271.78119133009307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8.7200000000000006</v>
      </c>
      <c r="N4" s="14">
        <f>IF('Données projet'!$A$36&gt;35,N3+M4-V3,IF(A4&lt;'Données projet'!$A$36,$K$205^A4,IF(A4='Données projet'!$A$36,'Données projet'!$B$36,N3+M4-V3)))</f>
        <v>1.2403328890648508</v>
      </c>
      <c r="O4" s="14">
        <f>N4*VLOOKUP('Données projet'!$B$9,Paramètres!$A$1:$I$89,3,0)*VLOOKUP('Données projet'!$B$9,Paramètres!$A$1:$I$89,5,0)</f>
        <v>0.69334608498725159</v>
      </c>
      <c r="P4" s="14">
        <f>EXP(-1.0587+0.8836*LN(O4)+0.284)</f>
        <v>0.33343834725126315</v>
      </c>
      <c r="Q4" s="22">
        <f t="shared" ref="Q4:Q34" si="2">(O4+P4)*0.475*44/12</f>
        <v>1.7883162194820796</v>
      </c>
      <c r="R4" s="62">
        <f t="shared" si="0"/>
        <v>295.12164955281537</v>
      </c>
      <c r="S4" s="62">
        <f ca="1">AVERAGE(OFFSET($R$3,0,0,'Données projet'!$E$9+1,1))-AVERAGE(OFFSET($H$3,0,0,'Données projet'!$E$9+1,1))</f>
        <v>210.566504119093</v>
      </c>
      <c r="T4" s="62">
        <f>$T$3</f>
        <v>365.95065044620048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295.01137243247126</v>
      </c>
      <c r="AO4" s="62">
        <f>$AO$3</f>
        <v>221.9773436301067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9.6666666666666661</v>
      </c>
      <c r="BD4" s="13">
        <f>IF('Données projet'!$A$88&gt;35,BD3+BC4-BL3,IF(A4&lt;'Données projet'!$A$88,$BA$205^A4,IF(A4='Données projet'!$A$88,'Données projet'!$B$88,BD3+BC4-BL3)))</f>
        <v>1.4860662319460807</v>
      </c>
      <c r="BE4" s="14">
        <f>BD4*VLOOKUP('Données projet'!$B$11,Paramètres!$A$1:$I$89,3,0)*VLOOKUP('Données projet'!$B$11,Paramètres!$A$1:$I$89,5,0)</f>
        <v>0.81139216264255998</v>
      </c>
      <c r="BF4" s="14">
        <f>EXP(-1.0587+0.8836*LN(BE4)+0.284)</f>
        <v>0.38313198283208655</v>
      </c>
      <c r="BG4" s="22">
        <f t="shared" ref="BG4:BG67" si="7">(BE4+BF4)*0.475*44/12</f>
        <v>2.0804628867016759</v>
      </c>
      <c r="BH4" s="62">
        <f t="shared" ref="BH4:BH67" si="8">BG4+(AY4+AZ4)*44/12</f>
        <v>295.41379622003501</v>
      </c>
      <c r="BI4" s="62">
        <f ca="1">AVERAGE(OFFSET($BH$3,0,0,'Données projet'!$E$11+1,1))-AVERAGE(OFFSET($H$3,0,0,'Données projet'!$E$11+1,1))</f>
        <v>159.92263609041913</v>
      </c>
      <c r="BJ4" s="62">
        <f>$BJ$3</f>
        <v>271.78119133009307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8.7200000000000006</v>
      </c>
      <c r="N5" s="14">
        <f>IF('Données projet'!$A$36&gt;35,N4+M5-V4,IF(A5&lt;'Données projet'!$A$36,$K$205^A5,IF(A5='Données projet'!$A$36,'Données projet'!$B$36,N4+M5-V4)))</f>
        <v>1.5384256756959596</v>
      </c>
      <c r="O5" s="14">
        <f>N5*VLOOKUP('Données projet'!$B$9,Paramètres!$A$1:$I$89,3,0)*VLOOKUP('Données projet'!$B$9,Paramètres!$A$1:$I$89,5,0)</f>
        <v>0.85997995271404137</v>
      </c>
      <c r="P5" s="14">
        <f t="shared" ref="P5:P68" si="33">EXP(-1.0587+0.8836*LN(O5)+0.284)</f>
        <v>0.40333503783534846</v>
      </c>
      <c r="Q5" s="22">
        <f t="shared" si="2"/>
        <v>2.2002736085401873</v>
      </c>
      <c r="R5" s="62">
        <f t="shared" si="0"/>
        <v>295.53360694187353</v>
      </c>
      <c r="S5" s="62">
        <f ca="1">AVERAGE(OFFSET($R$3,0,0,'Données projet'!$E$9+1,1))-AVERAGE(OFFSET($H$3,0,0,'Données projet'!$E$9+1,1))</f>
        <v>210.566504119093</v>
      </c>
      <c r="T5" s="62">
        <f t="shared" ref="T5:T68" si="34">$T$3</f>
        <v>365.95065044620048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295.01137243247126</v>
      </c>
      <c r="AO5" s="62">
        <f t="shared" ref="AO5:AO68" si="36">$AO$3</f>
        <v>221.9773436301067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9.6666666666666661</v>
      </c>
      <c r="BD5" s="13">
        <f>IF('Données projet'!$A$88&gt;35,BD4+BC5-BL4,IF(A5&lt;'Données projet'!$A$88,$BA$205^A5,IF(A5='Données projet'!$A$88,'Données projet'!$B$88,BD4+BC5-BL4)))</f>
        <v>2.2083928457304225</v>
      </c>
      <c r="BE5" s="14">
        <f>BD5*VLOOKUP('Données projet'!$B$11,Paramètres!$A$1:$I$89,3,0)*VLOOKUP('Données projet'!$B$11,Paramètres!$A$1:$I$89,5,0)</f>
        <v>1.2057824937688106</v>
      </c>
      <c r="BF5" s="14">
        <f t="shared" ref="BF5:BF68" si="37">EXP(-1.0587+0.8836*LN(BE5)+0.284)</f>
        <v>0.54370250071771287</v>
      </c>
      <c r="BG5" s="22">
        <f t="shared" si="7"/>
        <v>3.0470196987306952</v>
      </c>
      <c r="BH5" s="62">
        <f t="shared" si="8"/>
        <v>296.38035303206402</v>
      </c>
      <c r="BI5" s="62">
        <f ca="1">AVERAGE(OFFSET($BH$3,0,0,'Données projet'!$E$11+1,1))-AVERAGE(OFFSET($H$3,0,0,'Données projet'!$E$11+1,1))</f>
        <v>159.92263609041913</v>
      </c>
      <c r="BJ5" s="62">
        <f t="shared" ref="BJ5:BJ68" si="38">$BJ$3</f>
        <v>271.78119133009307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8.7200000000000006</v>
      </c>
      <c r="N6" s="14">
        <f>IF('Données projet'!$A$36&gt;35,N5+M6-V5,IF(A6&lt;'Données projet'!$A$36,$K$205^A6,IF(A6='Données projet'!$A$36,'Données projet'!$B$36,N5+M6-V5)))</f>
        <v>1.9081599629475148</v>
      </c>
      <c r="O6" s="14">
        <f>N6*VLOOKUP('Données projet'!$B$9,Paramètres!$A$1:$I$89,3,0)*VLOOKUP('Données projet'!$B$9,Paramètres!$A$1:$I$89,5,0)</f>
        <v>1.0666614192876607</v>
      </c>
      <c r="P6" s="14">
        <f t="shared" si="33"/>
        <v>0.4878837544832681</v>
      </c>
      <c r="Q6" s="22">
        <f t="shared" si="2"/>
        <v>2.7074995109843676</v>
      </c>
      <c r="R6" s="62">
        <f t="shared" si="0"/>
        <v>296.04083284431766</v>
      </c>
      <c r="S6" s="62">
        <f ca="1">AVERAGE(OFFSET($R$3,0,0,'Données projet'!$E$9+1,1))-AVERAGE(OFFSET($H$3,0,0,'Données projet'!$E$9+1,1))</f>
        <v>210.566504119093</v>
      </c>
      <c r="T6" s="62">
        <f t="shared" si="34"/>
        <v>365.95065044620048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295.01137243247126</v>
      </c>
      <c r="AO6" s="62">
        <f t="shared" si="36"/>
        <v>221.9773436301067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9.6666666666666661</v>
      </c>
      <c r="BD6" s="13">
        <f>IF('Données projet'!$A$88&gt;35,BD5+BC6-BL5,IF(A6&lt;'Données projet'!$A$88,$BA$205^A6,IF(A6='Données projet'!$A$88,'Données projet'!$B$88,BD5+BC6-BL5)))</f>
        <v>3.2818180349112911</v>
      </c>
      <c r="BE6" s="14">
        <f>BD6*VLOOKUP('Données projet'!$B$11,Paramètres!$A$1:$I$89,3,0)*VLOOKUP('Données projet'!$B$11,Paramètres!$A$1:$I$89,5,0)</f>
        <v>1.7918726470615651</v>
      </c>
      <c r="BF6" s="14">
        <f t="shared" si="37"/>
        <v>0.77156808236563035</v>
      </c>
      <c r="BG6" s="22">
        <f t="shared" si="7"/>
        <v>4.4646592704190313</v>
      </c>
      <c r="BH6" s="62">
        <f t="shared" si="8"/>
        <v>297.79799260375233</v>
      </c>
      <c r="BI6" s="62">
        <f ca="1">AVERAGE(OFFSET($BH$3,0,0,'Données projet'!$E$11+1,1))-AVERAGE(OFFSET($H$3,0,0,'Données projet'!$E$11+1,1))</f>
        <v>159.92263609041913</v>
      </c>
      <c r="BJ6" s="62">
        <f t="shared" si="38"/>
        <v>271.78119133009307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8.7200000000000006</v>
      </c>
      <c r="N7" s="14">
        <f>IF('Données projet'!$A$36&gt;35,N6+M7-V6,IF(A7&lt;'Données projet'!$A$36,$K$205^A7,IF(A7='Données projet'!$A$36,'Données projet'!$B$36,N6+M7-V6)))</f>
        <v>2.3667535596405695</v>
      </c>
      <c r="O7" s="14">
        <f>N7*VLOOKUP('Données projet'!$B$9,Paramètres!$A$1:$I$89,3,0)*VLOOKUP('Données projet'!$B$9,Paramètres!$A$1:$I$89,5,0)</f>
        <v>1.3230152398390782</v>
      </c>
      <c r="P7" s="14">
        <f t="shared" si="33"/>
        <v>0.59015591396713685</v>
      </c>
      <c r="Q7" s="22">
        <f t="shared" si="2"/>
        <v>3.3321064262124911</v>
      </c>
      <c r="R7" s="62">
        <f t="shared" si="0"/>
        <v>296.66543975954579</v>
      </c>
      <c r="S7" s="62">
        <f ca="1">AVERAGE(OFFSET($R$3,0,0,'Données projet'!$E$9+1,1))-AVERAGE(OFFSET($H$3,0,0,'Données projet'!$E$9+1,1))</f>
        <v>210.566504119093</v>
      </c>
      <c r="T7" s="62">
        <f t="shared" si="34"/>
        <v>365.95065044620048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295.01137243247126</v>
      </c>
      <c r="AO7" s="62">
        <f t="shared" si="36"/>
        <v>221.9773436301067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9.6666666666666661</v>
      </c>
      <c r="BD7" s="13">
        <f>IF('Données projet'!$A$88&gt;35,BD6+BC7-BL6,IF(A7&lt;'Données projet'!$A$88,$BA$205^A7,IF(A7='Données projet'!$A$88,'Données projet'!$B$88,BD6+BC7-BL6)))</f>
        <v>4.8769989610733138</v>
      </c>
      <c r="BE7" s="14">
        <f>BD7*VLOOKUP('Données projet'!$B$11,Paramètres!$A$1:$I$89,3,0)*VLOOKUP('Données projet'!$B$11,Paramètres!$A$1:$I$89,5,0)</f>
        <v>2.6628414327460295</v>
      </c>
      <c r="BF7" s="14">
        <f t="shared" si="37"/>
        <v>1.0949320721157787</v>
      </c>
      <c r="BG7" s="22">
        <f t="shared" si="7"/>
        <v>6.5447888543009825</v>
      </c>
      <c r="BH7" s="62">
        <f t="shared" si="8"/>
        <v>299.87812218763429</v>
      </c>
      <c r="BI7" s="62">
        <f ca="1">AVERAGE(OFFSET($BH$3,0,0,'Données projet'!$E$11+1,1))-AVERAGE(OFFSET($H$3,0,0,'Données projet'!$E$11+1,1))</f>
        <v>159.92263609041913</v>
      </c>
      <c r="BJ7" s="62">
        <f t="shared" si="38"/>
        <v>271.78119133009307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8.7200000000000006</v>
      </c>
      <c r="N8" s="14">
        <f>IF('Données projet'!$A$36&gt;35,N7+M8-V7,IF(A8&lt;'Données projet'!$A$36,$K$205^A8,IF(A8='Données projet'!$A$36,'Données projet'!$B$36,N7+M8-V7)))</f>
        <v>2.9355622803335075</v>
      </c>
      <c r="O8" s="14">
        <f>N8*VLOOKUP('Données projet'!$B$9,Paramètres!$A$1:$I$89,3,0)*VLOOKUP('Données projet'!$B$9,Paramètres!$A$1:$I$89,5,0)</f>
        <v>1.6409793147064307</v>
      </c>
      <c r="P8" s="14">
        <f t="shared" si="33"/>
        <v>0.71386677582504143</v>
      </c>
      <c r="Q8" s="22">
        <f t="shared" si="2"/>
        <v>4.101356941008981</v>
      </c>
      <c r="R8" s="62">
        <f t="shared" si="0"/>
        <v>297.4346902743423</v>
      </c>
      <c r="S8" s="62">
        <f ca="1">AVERAGE(OFFSET($R$3,0,0,'Données projet'!$E$9+1,1))-AVERAGE(OFFSET($H$3,0,0,'Données projet'!$E$9+1,1))</f>
        <v>210.566504119093</v>
      </c>
      <c r="T8" s="62">
        <f t="shared" si="34"/>
        <v>365.95065044620048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295.01137243247126</v>
      </c>
      <c r="AO8" s="62">
        <f t="shared" si="36"/>
        <v>221.9773436301067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9.6666666666666661</v>
      </c>
      <c r="BD8" s="13">
        <f>IF('Données projet'!$A$88&gt;35,BD7+BC8-BL7,IF(A8&lt;'Données projet'!$A$88,$BA$205^A8,IF(A8='Données projet'!$A$88,'Données projet'!$B$88,BD7+BC8-BL7)))</f>
        <v>7.2475434692871694</v>
      </c>
      <c r="BE8" s="14">
        <f>BD8*VLOOKUP('Données projet'!$B$11,Paramètres!$A$1:$I$89,3,0)*VLOOKUP('Données projet'!$B$11,Paramètres!$A$1:$I$89,5,0)</f>
        <v>3.9571587342307946</v>
      </c>
      <c r="BF8" s="14">
        <f t="shared" si="37"/>
        <v>1.5538178288453746</v>
      </c>
      <c r="BG8" s="22">
        <f t="shared" si="7"/>
        <v>9.5982841806909942</v>
      </c>
      <c r="BH8" s="62">
        <f t="shared" si="8"/>
        <v>302.93161751402431</v>
      </c>
      <c r="BI8" s="62">
        <f ca="1">AVERAGE(OFFSET($BH$3,0,0,'Données projet'!$E$11+1,1))-AVERAGE(OFFSET($H$3,0,0,'Données projet'!$E$11+1,1))</f>
        <v>159.92263609041913</v>
      </c>
      <c r="BJ8" s="62">
        <f t="shared" si="38"/>
        <v>271.78119133009307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8.7200000000000006</v>
      </c>
      <c r="N9" s="14">
        <f>IF('Données projet'!$A$36&gt;35,N8+M9-V8,IF(A9&lt;'Données projet'!$A$36,$K$205^A9,IF(A9='Données projet'!$A$36,'Données projet'!$B$36,N8+M9-V8)))</f>
        <v>3.6410744441958607</v>
      </c>
      <c r="O9" s="14">
        <f>N9*VLOOKUP('Données projet'!$B$9,Paramètres!$A$1:$I$89,3,0)*VLOOKUP('Données projet'!$B$9,Paramètres!$A$1:$I$89,5,0)</f>
        <v>2.0353606143054863</v>
      </c>
      <c r="P9" s="14">
        <f t="shared" si="33"/>
        <v>0.86351040727724981</v>
      </c>
      <c r="Q9" s="22">
        <f t="shared" si="2"/>
        <v>5.0488670292565985</v>
      </c>
      <c r="R9" s="62">
        <f t="shared" si="0"/>
        <v>298.38220036258991</v>
      </c>
      <c r="S9" s="62">
        <f ca="1">AVERAGE(OFFSET($R$3,0,0,'Données projet'!$E$9+1,1))-AVERAGE(OFFSET($H$3,0,0,'Données projet'!$E$9+1,1))</f>
        <v>210.566504119093</v>
      </c>
      <c r="T9" s="62">
        <f t="shared" si="34"/>
        <v>365.95065044620048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295.01137243247126</v>
      </c>
      <c r="AO9" s="62">
        <f t="shared" si="36"/>
        <v>221.9773436301067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9.6666666666666661</v>
      </c>
      <c r="BD9" s="13">
        <f>IF('Données projet'!$A$88&gt;35,BD8+BC9-BL8,IF(A9&lt;'Données projet'!$A$88,$BA$205^A9,IF(A9='Données projet'!$A$88,'Données projet'!$B$88,BD8+BC9-BL8)))</f>
        <v>10.770329614269009</v>
      </c>
      <c r="BE9" s="14">
        <f>BD9*VLOOKUP('Données projet'!$B$11,Paramètres!$A$1:$I$89,3,0)*VLOOKUP('Données projet'!$B$11,Paramètres!$A$1:$I$89,5,0)</f>
        <v>5.8805999693908788</v>
      </c>
      <c r="BF9" s="14">
        <f t="shared" si="37"/>
        <v>2.2050224910961043</v>
      </c>
      <c r="BG9" s="22">
        <f t="shared" si="7"/>
        <v>14.082459118681493</v>
      </c>
      <c r="BH9" s="62">
        <f t="shared" si="8"/>
        <v>307.41579245201478</v>
      </c>
      <c r="BI9" s="62">
        <f ca="1">AVERAGE(OFFSET($BH$3,0,0,'Données projet'!$E$11+1,1))-AVERAGE(OFFSET($H$3,0,0,'Données projet'!$E$11+1,1))</f>
        <v>159.92263609041913</v>
      </c>
      <c r="BJ9" s="62">
        <f t="shared" si="38"/>
        <v>271.78119133009307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8.7200000000000006</v>
      </c>
      <c r="N10" s="14">
        <f>IF('Données projet'!$A$36&gt;35,N9+M10-V9,IF(A10&lt;'Données projet'!$A$36,$K$205^A10,IF(A10='Données projet'!$A$36,'Données projet'!$B$36,N9+M10-V9)))</f>
        <v>4.5161443846696478</v>
      </c>
      <c r="O10" s="14">
        <f>N10*VLOOKUP('Données projet'!$B$9,Paramètres!$A$1:$I$89,3,0)*VLOOKUP('Données projet'!$B$9,Paramètres!$A$1:$I$89,5,0)</f>
        <v>2.5245247110303333</v>
      </c>
      <c r="P10" s="14">
        <f t="shared" si="33"/>
        <v>1.0445229400322591</v>
      </c>
      <c r="Q10" s="22">
        <f t="shared" si="2"/>
        <v>6.216091325600682</v>
      </c>
      <c r="R10" s="62">
        <f t="shared" si="0"/>
        <v>299.54942465893402</v>
      </c>
      <c r="S10" s="62">
        <f ca="1">AVERAGE(OFFSET($R$3,0,0,'Données projet'!$E$9+1,1))-AVERAGE(OFFSET($H$3,0,0,'Données projet'!$E$9+1,1))</f>
        <v>210.566504119093</v>
      </c>
      <c r="T10" s="62">
        <f t="shared" si="34"/>
        <v>365.95065044620048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295.01137243247126</v>
      </c>
      <c r="AO10" s="62">
        <f t="shared" si="36"/>
        <v>221.9773436301067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9.6666666666666661</v>
      </c>
      <c r="BD10" s="13">
        <f>IF('Données projet'!$A$88&gt;35,BD9+BC10-BL9,IF(A10&lt;'Données projet'!$A$88,$BA$205^A10,IF(A10='Données projet'!$A$88,'Données projet'!$B$88,BD9+BC10-BL9)))</f>
        <v>16.005423146694032</v>
      </c>
      <c r="BE10" s="14">
        <f>BD10*VLOOKUP('Données projet'!$B$11,Paramètres!$A$1:$I$89,3,0)*VLOOKUP('Données projet'!$B$11,Paramètres!$A$1:$I$89,5,0)</f>
        <v>8.7389610380949421</v>
      </c>
      <c r="BF10" s="14">
        <f t="shared" si="37"/>
        <v>3.1291468639233355</v>
      </c>
      <c r="BG10" s="22">
        <f t="shared" si="7"/>
        <v>20.6702879293485</v>
      </c>
      <c r="BH10" s="62">
        <f t="shared" si="8"/>
        <v>314.0036212626818</v>
      </c>
      <c r="BI10" s="62">
        <f ca="1">AVERAGE(OFFSET($BH$3,0,0,'Données projet'!$E$11+1,1))-AVERAGE(OFFSET($H$3,0,0,'Données projet'!$E$11+1,1))</f>
        <v>159.92263609041913</v>
      </c>
      <c r="BJ10" s="62">
        <f t="shared" si="38"/>
        <v>271.78119133009307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8.7200000000000006</v>
      </c>
      <c r="N11" s="14">
        <f>IF('Données projet'!$A$36&gt;35,N10+M11-V10,IF(A11&lt;'Données projet'!$A$36,$K$205^A11,IF(A11='Données projet'!$A$36,'Données projet'!$B$36,N10+M11-V10)))</f>
        <v>5.601522412071307</v>
      </c>
      <c r="O11" s="14">
        <f>N11*VLOOKUP('Données projet'!$B$9,Paramètres!$A$1:$I$89,3,0)*VLOOKUP('Données projet'!$B$9,Paramètres!$A$1:$I$89,5,0)</f>
        <v>3.1312510283478607</v>
      </c>
      <c r="P11" s="14">
        <f t="shared" si="33"/>
        <v>1.2634800496426843</v>
      </c>
      <c r="Q11" s="22">
        <f t="shared" si="2"/>
        <v>7.6541566275001989</v>
      </c>
      <c r="R11" s="62">
        <f t="shared" si="0"/>
        <v>300.9874899608335</v>
      </c>
      <c r="S11" s="62">
        <f ca="1">AVERAGE(OFFSET($R$3,0,0,'Données projet'!$E$9+1,1))-AVERAGE(OFFSET($H$3,0,0,'Données projet'!$E$9+1,1))</f>
        <v>210.566504119093</v>
      </c>
      <c r="T11" s="62">
        <f t="shared" si="34"/>
        <v>365.95065044620048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295.01137243247126</v>
      </c>
      <c r="AO11" s="62">
        <f t="shared" si="36"/>
        <v>221.9773436301067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9.6666666666666661</v>
      </c>
      <c r="BD11" s="13">
        <f>IF('Données projet'!$A$88&gt;35,BD10+BC11-BL10,IF(A11&lt;'Données projet'!$A$88,$BA$205^A11,IF(A11='Données projet'!$A$88,'Données projet'!$B$88,BD10+BC11-BL10)))</f>
        <v>23.785118866310182</v>
      </c>
      <c r="BE11" s="14">
        <f>BD11*VLOOKUP('Données projet'!$B$11,Paramètres!$A$1:$I$89,3,0)*VLOOKUP('Données projet'!$B$11,Paramètres!$A$1:$I$89,5,0)</f>
        <v>12.98667490100536</v>
      </c>
      <c r="BF11" s="14">
        <f t="shared" si="37"/>
        <v>4.4405715295601897</v>
      </c>
      <c r="BG11" s="22">
        <f t="shared" si="7"/>
        <v>30.352454199901668</v>
      </c>
      <c r="BH11" s="62">
        <f t="shared" si="8"/>
        <v>323.68578753323499</v>
      </c>
      <c r="BI11" s="62">
        <f ca="1">AVERAGE(OFFSET($BH$3,0,0,'Données projet'!$E$11+1,1))-AVERAGE(OFFSET($H$3,0,0,'Données projet'!$E$11+1,1))</f>
        <v>159.92263609041913</v>
      </c>
      <c r="BJ11" s="62">
        <f t="shared" si="38"/>
        <v>271.78119133009307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8.7200000000000006</v>
      </c>
      <c r="N12" s="14">
        <f>IF('Données projet'!$A$36&gt;35,N11+M12-V11,IF(A12&lt;'Données projet'!$A$36,$K$205^A12,IF(A12='Données projet'!$A$36,'Données projet'!$B$36,N11+M12-V11)))</f>
        <v>6.947752476525916</v>
      </c>
      <c r="O12" s="14">
        <f>N12*VLOOKUP('Données projet'!$B$9,Paramètres!$A$1:$I$89,3,0)*VLOOKUP('Données projet'!$B$9,Paramètres!$A$1:$I$89,5,0)</f>
        <v>3.8837936343779869</v>
      </c>
      <c r="P12" s="14">
        <f t="shared" si="33"/>
        <v>1.5283358312798541</v>
      </c>
      <c r="Q12" s="22">
        <f t="shared" si="2"/>
        <v>9.4261254860207409</v>
      </c>
      <c r="R12" s="62">
        <f t="shared" si="0"/>
        <v>302.75945881935405</v>
      </c>
      <c r="S12" s="62">
        <f ca="1">AVERAGE(OFFSET($R$3,0,0,'Données projet'!$E$9+1,1))-AVERAGE(OFFSET($H$3,0,0,'Données projet'!$E$9+1,1))</f>
        <v>210.566504119093</v>
      </c>
      <c r="T12" s="62">
        <f t="shared" si="34"/>
        <v>365.95065044620048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295.01137243247126</v>
      </c>
      <c r="AO12" s="62">
        <f t="shared" si="36"/>
        <v>221.9773436301067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9.6666666666666661</v>
      </c>
      <c r="BD12" s="13">
        <f>IF('Données projet'!$A$88&gt;35,BD11+BC12-BL11,IF(A12&lt;'Données projet'!$A$88,$BA$205^A12,IF(A12='Données projet'!$A$88,'Données projet'!$B$88,BD11+BC12-BL11)))</f>
        <v>35.346261970047209</v>
      </c>
      <c r="BE12" s="14">
        <f>BD12*VLOOKUP('Données projet'!$B$11,Paramètres!$A$1:$I$89,3,0)*VLOOKUP('Données projet'!$B$11,Paramètres!$A$1:$I$89,5,0)</f>
        <v>19.299059035645776</v>
      </c>
      <c r="BF12" s="14">
        <f t="shared" si="37"/>
        <v>6.301613943558138</v>
      </c>
      <c r="BG12" s="22">
        <f t="shared" si="7"/>
        <v>44.587838772113486</v>
      </c>
      <c r="BH12" s="62">
        <f t="shared" si="8"/>
        <v>337.92117210544677</v>
      </c>
      <c r="BI12" s="62">
        <f ca="1">AVERAGE(OFFSET($BH$3,0,0,'Données projet'!$E$11+1,1))-AVERAGE(OFFSET($H$3,0,0,'Données projet'!$E$11+1,1))</f>
        <v>159.92263609041913</v>
      </c>
      <c r="BJ12" s="62">
        <f t="shared" si="38"/>
        <v>271.78119133009307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8.7200000000000006</v>
      </c>
      <c r="N13" s="14">
        <f>IF('Données projet'!$A$36&gt;35,N12+M13-V12,IF(A13&lt;'Données projet'!$A$36,$K$205^A13,IF(A13='Données projet'!$A$36,'Données projet'!$B$36,N12+M13-V12)))</f>
        <v>8.6175259017168617</v>
      </c>
      <c r="O13" s="14">
        <f>N13*VLOOKUP('Données projet'!$B$9,Paramètres!$A$1:$I$89,3,0)*VLOOKUP('Données projet'!$B$9,Paramètres!$A$1:$I$89,5,0)</f>
        <v>4.8171969790597258</v>
      </c>
      <c r="P13" s="14">
        <f t="shared" si="33"/>
        <v>1.8487117496112873</v>
      </c>
      <c r="Q13" s="22">
        <f t="shared" si="2"/>
        <v>11.60979103576868</v>
      </c>
      <c r="R13" s="62">
        <f t="shared" si="0"/>
        <v>304.94312436910201</v>
      </c>
      <c r="S13" s="62">
        <f ca="1">AVERAGE(OFFSET($R$3,0,0,'Données projet'!$E$9+1,1))-AVERAGE(OFFSET($H$3,0,0,'Données projet'!$E$9+1,1))</f>
        <v>210.566504119093</v>
      </c>
      <c r="T13" s="62">
        <f t="shared" si="34"/>
        <v>365.95065044620048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295.01137243247126</v>
      </c>
      <c r="AO13" s="62">
        <f t="shared" si="36"/>
        <v>221.9773436301067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9.6666666666666661</v>
      </c>
      <c r="BD13" s="13">
        <f>IF('Données projet'!$A$88&gt;35,BD12+BC13-BL12,IF(A13&lt;'Données projet'!$A$88,$BA$205^A13,IF(A13='Données projet'!$A$88,'Données projet'!$B$88,BD12+BC13-BL12)))</f>
        <v>52.526886339207103</v>
      </c>
      <c r="BE13" s="14">
        <f>BD13*VLOOKUP('Données projet'!$B$11,Paramètres!$A$1:$I$89,3,0)*VLOOKUP('Données projet'!$B$11,Paramètres!$A$1:$I$89,5,0)</f>
        <v>28.679679941207077</v>
      </c>
      <c r="BF13" s="14">
        <f t="shared" si="37"/>
        <v>8.9426187663684367</v>
      </c>
      <c r="BG13" s="22">
        <f t="shared" si="7"/>
        <v>65.525503582360685</v>
      </c>
      <c r="BH13" s="62">
        <f t="shared" si="8"/>
        <v>358.85883691569398</v>
      </c>
      <c r="BI13" s="62">
        <f ca="1">AVERAGE(OFFSET($BH$3,0,0,'Données projet'!$E$11+1,1))-AVERAGE(OFFSET($H$3,0,0,'Données projet'!$E$11+1,1))</f>
        <v>159.92263609041913</v>
      </c>
      <c r="BJ13" s="62">
        <f t="shared" si="38"/>
        <v>271.78119133009307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8.7200000000000006</v>
      </c>
      <c r="N14" s="14">
        <f>IF('Données projet'!$A$36&gt;35,N13+M14-V13,IF(A14&lt;'Données projet'!$A$36,$K$205^A14,IF(A14='Données projet'!$A$36,'Données projet'!$B$36,N13+M14-V13)))</f>
        <v>10.688600798267659</v>
      </c>
      <c r="O14" s="14">
        <f>N14*VLOOKUP('Données projet'!$B$9,Paramètres!$A$1:$I$89,3,0)*VLOOKUP('Données projet'!$B$9,Paramètres!$A$1:$I$89,5,0)</f>
        <v>5.9749278462316218</v>
      </c>
      <c r="P14" s="14">
        <f t="shared" si="33"/>
        <v>2.2362461595163663</v>
      </c>
      <c r="Q14" s="22">
        <f t="shared" si="2"/>
        <v>14.301128060011081</v>
      </c>
      <c r="R14" s="62">
        <f t="shared" si="0"/>
        <v>307.6344613933444</v>
      </c>
      <c r="S14" s="62">
        <f ca="1">AVERAGE(OFFSET($R$3,0,0,'Données projet'!$E$9+1,1))-AVERAGE(OFFSET($H$3,0,0,'Données projet'!$E$9+1,1))</f>
        <v>210.566504119093</v>
      </c>
      <c r="T14" s="62">
        <f t="shared" si="34"/>
        <v>365.95065044620048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295.01137243247126</v>
      </c>
      <c r="AO14" s="62">
        <f t="shared" si="36"/>
        <v>221.9773436301067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9.6666666666666661</v>
      </c>
      <c r="BD14" s="13">
        <f>IF('Données projet'!$A$88&gt;35,BD13+BC14-BL13,IF(A14&lt;'Données projet'!$A$88,$BA$205^A14,IF(A14='Données projet'!$A$88,'Données projet'!$B$88,BD13+BC14-BL13)))</f>
        <v>78.058432057965561</v>
      </c>
      <c r="BE14" s="14">
        <f>BD14*VLOOKUP('Données projet'!$B$11,Paramètres!$A$1:$I$89,3,0)*VLOOKUP('Données projet'!$B$11,Paramètres!$A$1:$I$89,5,0)</f>
        <v>42.619903903649202</v>
      </c>
      <c r="BF14" s="14">
        <f t="shared" si="37"/>
        <v>12.690468047849112</v>
      </c>
      <c r="BG14" s="22">
        <f t="shared" si="7"/>
        <v>96.332231148859549</v>
      </c>
      <c r="BH14" s="62">
        <f t="shared" si="8"/>
        <v>389.66556448219285</v>
      </c>
      <c r="BI14" s="62">
        <f ca="1">AVERAGE(OFFSET($BH$3,0,0,'Données projet'!$E$11+1,1))-AVERAGE(OFFSET($H$3,0,0,'Données projet'!$E$11+1,1))</f>
        <v>159.92263609041913</v>
      </c>
      <c r="BJ14" s="62">
        <f t="shared" si="38"/>
        <v>271.78119133009307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8.7200000000000006</v>
      </c>
      <c r="N15" s="14">
        <f>IF('Données projet'!$A$36&gt;35,N14+M15-V14,IF(A15&lt;'Données projet'!$A$36,$K$205^A15,IF(A15='Données projet'!$A$36,'Données projet'!$B$36,N14+M15-V14)))</f>
        <v>13.257423108176194</v>
      </c>
      <c r="O15" s="14">
        <f>N15*VLOOKUP('Données projet'!$B$9,Paramètres!$A$1:$I$89,3,0)*VLOOKUP('Données projet'!$B$9,Paramètres!$A$1:$I$89,5,0)</f>
        <v>7.4108995174704928</v>
      </c>
      <c r="P15" s="14">
        <f t="shared" si="33"/>
        <v>2.7050170947435004</v>
      </c>
      <c r="Q15" s="22">
        <f t="shared" si="2"/>
        <v>17.618554766272705</v>
      </c>
      <c r="R15" s="62">
        <f t="shared" si="0"/>
        <v>310.95188809960604</v>
      </c>
      <c r="S15" s="62">
        <f ca="1">AVERAGE(OFFSET($R$3,0,0,'Données projet'!$E$9+1,1))-AVERAGE(OFFSET($H$3,0,0,'Données projet'!$E$9+1,1))</f>
        <v>210.566504119093</v>
      </c>
      <c r="T15" s="62">
        <f t="shared" si="34"/>
        <v>365.95065044620048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295.01137243247126</v>
      </c>
      <c r="AO15" s="62">
        <f t="shared" si="36"/>
        <v>221.9773436301067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>
        <f>VLOOKUP(A15,'Données projet'!$A$87:$I$107,2,0)</f>
        <v>116</v>
      </c>
      <c r="BB15" s="13">
        <f>VLOOKUP(A15,'Données projet'!$A$87:$I$107,9,0)</f>
        <v>9.6666666666666661</v>
      </c>
      <c r="BC15" s="13">
        <f t="array" ref="BC15">INDEX(BB:BB,MIN(IF(ISNUMBER(BB15:BB211),ROW(BB15:BB211),"")))</f>
        <v>9.6666666666666661</v>
      </c>
      <c r="BD15" s="13">
        <f>IF('Données projet'!$A$88&gt;35,BD14+BC15-BL14,IF(A15&lt;'Données projet'!$A$88,$BA$205^A15,IF(A15='Données projet'!$A$88,'Données projet'!$B$88,BD14+BC15-BL14)))</f>
        <v>116</v>
      </c>
      <c r="BE15" s="14">
        <f>BD15*VLOOKUP('Données projet'!$B$11,Paramètres!$A$1:$I$89,3,0)*VLOOKUP('Données projet'!$B$11,Paramètres!$A$1:$I$89,5,0)</f>
        <v>63.335999999999999</v>
      </c>
      <c r="BF15" s="14">
        <f t="shared" si="37"/>
        <v>18.009040022946227</v>
      </c>
      <c r="BG15" s="22">
        <f t="shared" si="7"/>
        <v>141.67594470663133</v>
      </c>
      <c r="BH15" s="62">
        <f t="shared" si="8"/>
        <v>435.00927803996467</v>
      </c>
      <c r="BI15" s="62">
        <f ca="1">AVERAGE(OFFSET($BH$3,0,0,'Données projet'!$E$11+1,1))-AVERAGE(OFFSET($H$3,0,0,'Données projet'!$E$11+1,1))</f>
        <v>159.92263609041913</v>
      </c>
      <c r="BJ15" s="62">
        <f t="shared" si="38"/>
        <v>271.78119133009307</v>
      </c>
      <c r="BK15" s="16">
        <f>IF(ISNA(VLOOKUP(A15,'Données projet'!$A$87:$I$107,3,0)),0,VLOOKUP(A15,'Données projet'!$A$87:$I$107,3,0))</f>
        <v>1</v>
      </c>
      <c r="BL15" s="16">
        <f>IF(ISNA(VLOOKUP(A15,'Données projet'!$A$87:$I$107,4,0)),0,VLOOKUP(A15,'Données projet'!$A$87:$I$107,4,0))</f>
        <v>21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8.7200000000000006</v>
      </c>
      <c r="N16" s="14">
        <f>IF('Données projet'!$A$36&gt;35,N15+M16-V15,IF(A16&lt;'Données projet'!$A$36,$K$205^A16,IF(A16='Données projet'!$A$36,'Données projet'!$B$36,N15+M16-V15)))</f>
        <v>16.443617905319297</v>
      </c>
      <c r="O16" s="14">
        <f>N16*VLOOKUP('Données projet'!$B$9,Paramètres!$A$1:$I$89,3,0)*VLOOKUP('Données projet'!$B$9,Paramètres!$A$1:$I$89,5,0)</f>
        <v>9.1919824090734874</v>
      </c>
      <c r="P16" s="14">
        <f t="shared" si="33"/>
        <v>3.2720536832300451</v>
      </c>
      <c r="Q16" s="22">
        <f t="shared" si="2"/>
        <v>21.708196194095319</v>
      </c>
      <c r="R16" s="62">
        <f t="shared" si="0"/>
        <v>315.04152952742862</v>
      </c>
      <c r="S16" s="62">
        <f ca="1">AVERAGE(OFFSET($R$3,0,0,'Données projet'!$E$9+1,1))-AVERAGE(OFFSET($H$3,0,0,'Données projet'!$E$9+1,1))</f>
        <v>210.566504119093</v>
      </c>
      <c r="T16" s="62">
        <f t="shared" si="34"/>
        <v>365.95065044620048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295.01137243247126</v>
      </c>
      <c r="AO16" s="62">
        <f t="shared" si="36"/>
        <v>221.9773436301067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24.333333333333332</v>
      </c>
      <c r="BD16" s="13">
        <f>IF('Données projet'!$A$88&gt;35,BD15+BC16-BL15,IF(A16&lt;'Données projet'!$A$88,$BA$205^A16,IF(A16='Données projet'!$A$88,'Données projet'!$B$88,BD15+BC16-BL15)))</f>
        <v>119.33333333333334</v>
      </c>
      <c r="BE16" s="14">
        <f>BD16*VLOOKUP('Données projet'!$B$11,Paramètres!$A$1:$I$89,3,0)*VLOOKUP('Données projet'!$B$11,Paramètres!$A$1:$I$89,5,0)</f>
        <v>65.156000000000006</v>
      </c>
      <c r="BF16" s="14">
        <f t="shared" si="37"/>
        <v>18.465547360043153</v>
      </c>
      <c r="BG16" s="22">
        <f t="shared" si="7"/>
        <v>145.64086165207519</v>
      </c>
      <c r="BH16" s="62">
        <f t="shared" si="8"/>
        <v>438.97419498540853</v>
      </c>
      <c r="BI16" s="62">
        <f ca="1">AVERAGE(OFFSET($BH$3,0,0,'Données projet'!$E$11+1,1))-AVERAGE(OFFSET($H$3,0,0,'Données projet'!$E$11+1,1))</f>
        <v>159.92263609041913</v>
      </c>
      <c r="BJ16" s="62">
        <f t="shared" si="38"/>
        <v>271.78119133009307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8.7200000000000006</v>
      </c>
      <c r="N17" s="14">
        <f>IF('Données projet'!$A$36&gt;35,N16+M17-V16,IF(A17&lt;'Données projet'!$A$36,$K$205^A17,IF(A17='Données projet'!$A$36,'Données projet'!$B$36,N16+M17-V16)))</f>
        <v>20.39556010318319</v>
      </c>
      <c r="O17" s="14">
        <f>N17*VLOOKUP('Données projet'!$B$9,Paramètres!$A$1:$I$89,3,0)*VLOOKUP('Données projet'!$B$9,Paramètres!$A$1:$I$89,5,0)</f>
        <v>11.401118097679404</v>
      </c>
      <c r="P17" s="14">
        <f t="shared" si="33"/>
        <v>3.9579547673633133</v>
      </c>
      <c r="Q17" s="22">
        <f t="shared" si="2"/>
        <v>26.750385239949399</v>
      </c>
      <c r="R17" s="62">
        <f t="shared" si="0"/>
        <v>320.08371857328274</v>
      </c>
      <c r="S17" s="62">
        <f ca="1">AVERAGE(OFFSET($R$3,0,0,'Données projet'!$E$9+1,1))-AVERAGE(OFFSET($H$3,0,0,'Données projet'!$E$9+1,1))</f>
        <v>210.566504119093</v>
      </c>
      <c r="T17" s="62">
        <f t="shared" si="34"/>
        <v>365.95065044620048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295.01137243247126</v>
      </c>
      <c r="AO17" s="62">
        <f t="shared" si="36"/>
        <v>221.9773436301067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24.333333333333332</v>
      </c>
      <c r="BD17" s="13">
        <f>IF('Données projet'!$A$88&gt;35,BD16+BC17-BL16,IF(A17&lt;'Données projet'!$A$88,$BA$205^A17,IF(A17='Données projet'!$A$88,'Données projet'!$B$88,BD16+BC17-BL16)))</f>
        <v>143.66666666666669</v>
      </c>
      <c r="BE17" s="14">
        <f>BD17*VLOOKUP('Données projet'!$B$11,Paramètres!$A$1:$I$89,3,0)*VLOOKUP('Données projet'!$B$11,Paramètres!$A$1:$I$89,5,0)</f>
        <v>78.442000000000007</v>
      </c>
      <c r="BF17" s="14">
        <f t="shared" si="37"/>
        <v>21.755810093736013</v>
      </c>
      <c r="BG17" s="22">
        <f t="shared" si="7"/>
        <v>174.5111859132569</v>
      </c>
      <c r="BH17" s="62">
        <f t="shared" si="8"/>
        <v>467.84451924659021</v>
      </c>
      <c r="BI17" s="62">
        <f ca="1">AVERAGE(OFFSET($BH$3,0,0,'Données projet'!$E$11+1,1))-AVERAGE(OFFSET($H$3,0,0,'Données projet'!$E$11+1,1))</f>
        <v>159.92263609041913</v>
      </c>
      <c r="BJ17" s="62">
        <f t="shared" si="38"/>
        <v>271.78119133009307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8.7200000000000006</v>
      </c>
      <c r="N18" s="14">
        <f>IF('Données projet'!$A$36&gt;35,N17+M18-V17,IF(A18&lt;'Données projet'!$A$36,$K$205^A18,IF(A18='Données projet'!$A$36,'Données projet'!$B$36,N17+M18-V17)))</f>
        <v>25.297283986877016</v>
      </c>
      <c r="O18" s="14">
        <f>N18*VLOOKUP('Données projet'!$B$9,Paramètres!$A$1:$I$89,3,0)*VLOOKUP('Données projet'!$B$9,Paramètres!$A$1:$I$89,5,0)</f>
        <v>14.141181748664254</v>
      </c>
      <c r="P18" s="14">
        <f t="shared" si="33"/>
        <v>4.7876372019146416</v>
      </c>
      <c r="Q18" s="22">
        <f t="shared" si="2"/>
        <v>32.96769300559157</v>
      </c>
      <c r="R18" s="62">
        <f t="shared" si="0"/>
        <v>326.30102633892488</v>
      </c>
      <c r="S18" s="62">
        <f ca="1">AVERAGE(OFFSET($R$3,0,0,'Données projet'!$E$9+1,1))-AVERAGE(OFFSET($H$3,0,0,'Données projet'!$E$9+1,1))</f>
        <v>210.566504119093</v>
      </c>
      <c r="T18" s="62">
        <f t="shared" si="34"/>
        <v>365.95065044620048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295.01137243247126</v>
      </c>
      <c r="AO18" s="62">
        <f t="shared" si="36"/>
        <v>221.9773436301067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168</v>
      </c>
      <c r="BB18" s="13">
        <f>VLOOKUP(A18,'Données projet'!$A$87:$I$107,9,0)</f>
        <v>24.333333333333332</v>
      </c>
      <c r="BC18" s="13">
        <f t="array" ref="BC18">INDEX(BB:BB,MIN(IF(ISNUMBER(BB18:BB214),ROW(BB18:BB214),"")))</f>
        <v>24.333333333333332</v>
      </c>
      <c r="BD18" s="13">
        <f>IF('Données projet'!$A$88&gt;35,BD17+BC18-BL17,IF(A18&lt;'Données projet'!$A$88,$BA$205^A18,IF(A18='Données projet'!$A$88,'Données projet'!$B$88,BD17+BC18-BL17)))</f>
        <v>168.00000000000003</v>
      </c>
      <c r="BE18" s="14">
        <f>BD18*VLOOKUP('Données projet'!$B$11,Paramètres!$A$1:$I$89,3,0)*VLOOKUP('Données projet'!$B$11,Paramètres!$A$1:$I$89,5,0)</f>
        <v>91.728000000000009</v>
      </c>
      <c r="BF18" s="14">
        <f t="shared" si="37"/>
        <v>24.981514582386563</v>
      </c>
      <c r="BG18" s="22">
        <f t="shared" si="7"/>
        <v>203.26907123098991</v>
      </c>
      <c r="BH18" s="62">
        <f t="shared" si="8"/>
        <v>496.60240456432325</v>
      </c>
      <c r="BI18" s="62">
        <f ca="1">AVERAGE(OFFSET($BH$3,0,0,'Données projet'!$E$11+1,1))-AVERAGE(OFFSET($H$3,0,0,'Données projet'!$E$11+1,1))</f>
        <v>159.92263609041913</v>
      </c>
      <c r="BJ18" s="62">
        <f t="shared" si="38"/>
        <v>271.78119133009307</v>
      </c>
      <c r="BK18" s="16">
        <f>IF(ISNA(VLOOKUP(A18,'Données projet'!$A$87:$I$107,3,0)),0,VLOOKUP(A18,'Données projet'!$A$87:$I$107,3,0))</f>
        <v>2</v>
      </c>
      <c r="BL18" s="16">
        <f>IF(ISNA(VLOOKUP(A18,'Données projet'!$A$87:$I$107,4,0)),0,VLOOKUP(A18,'Données projet'!$A$87:$I$107,4,0))</f>
        <v>47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0.12</v>
      </c>
      <c r="BO18" s="17">
        <f>IF(ISNA(VLOOKUP(A18,'Données projet'!$A$87:$I$107,7,0)),0%,VLOOKUP(A18,'Données projet'!$A$87:$I$107,7,0))</f>
        <v>0.15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4.0689911473019906</v>
      </c>
      <c r="BR18" s="23">
        <f>EXP(-LN(2)/2)*BR17+(1-EXP(-LN(2)/2))/(LN(2)/2)*BL18*BO18*VLOOKUP('Données projet'!$B$11,Paramètres!$A$1:$I$89,3,0)*0.475*44/12</f>
        <v>4.3583017828686241</v>
      </c>
      <c r="BS18" s="24">
        <f t="shared" si="9"/>
        <v>8.4272929301706156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8.7200000000000006</v>
      </c>
      <c r="N19" s="14">
        <f>IF('Données projet'!$A$36&gt;35,N18+M19-V18,IF(A19&lt;'Données projet'!$A$36,$K$205^A19,IF(A19='Données projet'!$A$36,'Données projet'!$B$36,N18+M19-V18)))</f>
        <v>31.377053332937152</v>
      </c>
      <c r="O19" s="14">
        <f>N19*VLOOKUP('Données projet'!$B$9,Paramètres!$A$1:$I$89,3,0)*VLOOKUP('Données projet'!$B$9,Paramètres!$A$1:$I$89,5,0)</f>
        <v>17.539772813111867</v>
      </c>
      <c r="P19" s="14">
        <f t="shared" si="33"/>
        <v>5.7912410132030727</v>
      </c>
      <c r="Q19" s="22">
        <f t="shared" si="2"/>
        <v>40.634849080831849</v>
      </c>
      <c r="R19" s="62">
        <f t="shared" si="0"/>
        <v>333.96818241416514</v>
      </c>
      <c r="S19" s="62">
        <f ca="1">AVERAGE(OFFSET($R$3,0,0,'Données projet'!$E$9+1,1))-AVERAGE(OFFSET($H$3,0,0,'Données projet'!$E$9+1,1))</f>
        <v>210.566504119093</v>
      </c>
      <c r="T19" s="62">
        <f t="shared" si="34"/>
        <v>365.95065044620048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295.01137243247126</v>
      </c>
      <c r="AO19" s="62">
        <f t="shared" si="36"/>
        <v>221.9773436301067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21.333333333333332</v>
      </c>
      <c r="BD19" s="13">
        <f>IF('Données projet'!$A$88&gt;35,BD18+BC19-BL18,IF(A19&lt;'Données projet'!$A$88,$BA$205^A19,IF(A19='Données projet'!$A$88,'Données projet'!$B$88,BD18+BC19-BL18)))</f>
        <v>142.33333333333337</v>
      </c>
      <c r="BE19" s="14">
        <f>BD19*VLOOKUP('Données projet'!$B$11,Paramètres!$A$1:$I$89,3,0)*VLOOKUP('Données projet'!$B$11,Paramètres!$A$1:$I$89,5,0)</f>
        <v>77.714000000000027</v>
      </c>
      <c r="BF19" s="14">
        <f t="shared" si="37"/>
        <v>21.577305655991772</v>
      </c>
      <c r="BG19" s="22">
        <f t="shared" si="7"/>
        <v>172.93235735085239</v>
      </c>
      <c r="BH19" s="62">
        <f t="shared" si="8"/>
        <v>466.2656906841857</v>
      </c>
      <c r="BI19" s="62">
        <f ca="1">AVERAGE(OFFSET($BH$3,0,0,'Données projet'!$E$11+1,1))-AVERAGE(OFFSET($H$3,0,0,'Données projet'!$E$11+1,1))</f>
        <v>159.92263609041913</v>
      </c>
      <c r="BJ19" s="62">
        <f t="shared" si="38"/>
        <v>271.78119133009307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3.9577243704000731</v>
      </c>
      <c r="BR19" s="23">
        <f>EXP(-LN(2)/2)*BR18+(1-EXP(-LN(2)/2))/(LN(2)/2)*BL19*BO19*VLOOKUP('Données projet'!$B$11,Paramètres!$A$1:$I$89,3,0)*0.475*44/12</f>
        <v>3.0817847451238243</v>
      </c>
      <c r="BS19" s="24">
        <f t="shared" si="9"/>
        <v>7.0395091155238969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8.7200000000000006</v>
      </c>
      <c r="N20" s="14">
        <f>IF('Données projet'!$A$36&gt;35,N19+M20-V19,IF(A20&lt;'Données projet'!$A$36,$K$205^A20,IF(A20='Données projet'!$A$36,'Données projet'!$B$36,N19+M20-V19)))</f>
        <v>38.917991210783846</v>
      </c>
      <c r="O20" s="14">
        <f>N20*VLOOKUP('Données projet'!$B$9,Paramètres!$A$1:$I$89,3,0)*VLOOKUP('Données projet'!$B$9,Paramètres!$A$1:$I$89,5,0)</f>
        <v>21.75515708682817</v>
      </c>
      <c r="P20" s="14">
        <f t="shared" si="33"/>
        <v>7.0052243013720545</v>
      </c>
      <c r="Q20" s="22">
        <f t="shared" si="2"/>
        <v>50.090997584448722</v>
      </c>
      <c r="R20" s="62">
        <f t="shared" si="0"/>
        <v>343.42433091778202</v>
      </c>
      <c r="S20" s="62">
        <f ca="1">AVERAGE(OFFSET($R$3,0,0,'Données projet'!$E$9+1,1))-AVERAGE(OFFSET($H$3,0,0,'Données projet'!$E$9+1,1))</f>
        <v>210.566504119093</v>
      </c>
      <c r="T20" s="62">
        <f t="shared" si="34"/>
        <v>365.95065044620048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295.01137243247126</v>
      </c>
      <c r="AO20" s="62">
        <f t="shared" si="36"/>
        <v>221.9773436301067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21.333333333333332</v>
      </c>
      <c r="BD20" s="13">
        <f>IF('Données projet'!$A$88&gt;35,BD19+BC20-BL19,IF(A20&lt;'Données projet'!$A$88,$BA$205^A20,IF(A20='Données projet'!$A$88,'Données projet'!$B$88,BD19+BC20-BL19)))</f>
        <v>163.66666666666671</v>
      </c>
      <c r="BE20" s="14">
        <f>BD20*VLOOKUP('Données projet'!$B$11,Paramètres!$A$1:$I$89,3,0)*VLOOKUP('Données projet'!$B$11,Paramètres!$A$1:$I$89,5,0)</f>
        <v>89.362000000000037</v>
      </c>
      <c r="BF20" s="14">
        <f t="shared" si="37"/>
        <v>24.411291106060958</v>
      </c>
      <c r="BG20" s="22">
        <f t="shared" si="7"/>
        <v>198.15514867638956</v>
      </c>
      <c r="BH20" s="62">
        <f t="shared" si="8"/>
        <v>491.48848200972287</v>
      </c>
      <c r="BI20" s="62">
        <f ca="1">AVERAGE(OFFSET($BH$3,0,0,'Données projet'!$E$11+1,1))-AVERAGE(OFFSET($H$3,0,0,'Données projet'!$E$11+1,1))</f>
        <v>159.92263609041913</v>
      </c>
      <c r="BJ20" s="62">
        <f t="shared" si="38"/>
        <v>271.78119133009307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3.8495001893638041</v>
      </c>
      <c r="BR20" s="23">
        <f>EXP(-LN(2)/2)*BR19+(1-EXP(-LN(2)/2))/(LN(2)/2)*BL20*BO20*VLOOKUP('Données projet'!$B$11,Paramètres!$A$1:$I$89,3,0)*0.475*44/12</f>
        <v>2.1791508914343125</v>
      </c>
      <c r="BS20" s="24">
        <f t="shared" si="9"/>
        <v>6.0286510807981166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8.7200000000000006</v>
      </c>
      <c r="N21" s="14">
        <f>IF('Données projet'!$A$36&gt;35,N20+M21-V20,IF(A21&lt;'Données projet'!$A$36,$K$205^A21,IF(A21='Données projet'!$A$36,'Données projet'!$B$36,N20+M21-V20)))</f>
        <v>48.271264475071995</v>
      </c>
      <c r="O21" s="14">
        <f>N21*VLOOKUP('Données projet'!$B$9,Paramètres!$A$1:$I$89,3,0)*VLOOKUP('Données projet'!$B$9,Paramètres!$A$1:$I$89,5,0)</f>
        <v>26.983636841565243</v>
      </c>
      <c r="P21" s="14">
        <f t="shared" si="33"/>
        <v>8.4736876604953704</v>
      </c>
      <c r="Q21" s="22">
        <f t="shared" si="2"/>
        <v>61.754840174422242</v>
      </c>
      <c r="R21" s="62">
        <f t="shared" si="0"/>
        <v>355.08817350775553</v>
      </c>
      <c r="S21" s="62">
        <f ca="1">AVERAGE(OFFSET($R$3,0,0,'Données projet'!$E$9+1,1))-AVERAGE(OFFSET($H$3,0,0,'Données projet'!$E$9+1,1))</f>
        <v>210.566504119093</v>
      </c>
      <c r="T21" s="62">
        <f t="shared" si="34"/>
        <v>365.95065044620048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295.01137243247126</v>
      </c>
      <c r="AO21" s="62">
        <f t="shared" si="36"/>
        <v>221.9773436301067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185</v>
      </c>
      <c r="BB21" s="13">
        <f>VLOOKUP(A21,'Données projet'!$A$87:$I$107,9,0)</f>
        <v>21.333333333333332</v>
      </c>
      <c r="BC21" s="13">
        <f t="array" ref="BC21">INDEX(BB:BB,MIN(IF(ISNUMBER(BB21:BB217),ROW(BB21:BB217),"")))</f>
        <v>21.333333333333332</v>
      </c>
      <c r="BD21" s="13">
        <f>IF('Données projet'!$A$88&gt;35,BD20+BC21-BL20,IF(A21&lt;'Données projet'!$A$88,$BA$205^A21,IF(A21='Données projet'!$A$88,'Données projet'!$B$88,BD20+BC21-BL20)))</f>
        <v>185.00000000000006</v>
      </c>
      <c r="BE21" s="14">
        <f>BD21*VLOOKUP('Données projet'!$B$11,Paramètres!$A$1:$I$89,3,0)*VLOOKUP('Données projet'!$B$11,Paramètres!$A$1:$I$89,5,0)</f>
        <v>101.01000000000002</v>
      </c>
      <c r="BF21" s="14">
        <f t="shared" si="37"/>
        <v>27.202475209169602</v>
      </c>
      <c r="BG21" s="22">
        <f t="shared" si="7"/>
        <v>223.30339432263705</v>
      </c>
      <c r="BH21" s="62">
        <f t="shared" si="8"/>
        <v>516.63672765597039</v>
      </c>
      <c r="BI21" s="62">
        <f ca="1">AVERAGE(OFFSET($BH$3,0,0,'Données projet'!$E$11+1,1))-AVERAGE(OFFSET($H$3,0,0,'Données projet'!$E$11+1,1))</f>
        <v>159.92263609041913</v>
      </c>
      <c r="BJ21" s="62">
        <f t="shared" si="38"/>
        <v>271.78119133009307</v>
      </c>
      <c r="BK21" s="16">
        <f>IF(ISNA(VLOOKUP(A21,'Données projet'!$A$87:$I$107,3,0)),0,VLOOKUP(A21,'Données projet'!$A$87:$I$107,3,0))</f>
        <v>3</v>
      </c>
      <c r="BL21" s="16">
        <f>IF(ISNA(VLOOKUP(A21,'Données projet'!$A$87:$I$107,4,0)),0,VLOOKUP(A21,'Données projet'!$A$87:$I$107,4,0))</f>
        <v>61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0.12</v>
      </c>
      <c r="BO21" s="17">
        <f>IF(ISNA(VLOOKUP(A21,'Données projet'!$A$87:$I$107,7,0)),0%,VLOOKUP(A21,'Données projet'!$A$87:$I$107,7,0))</f>
        <v>0.15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9.025266467768839</v>
      </c>
      <c r="BR21" s="23">
        <f>EXP(-LN(2)/2)*BR20+(1-EXP(-LN(2)/2))/(LN(2)/2)*BL21*BO21*VLOOKUP('Données projet'!$B$11,Paramètres!$A$1:$I$89,3,0)*0.475*44/12</f>
        <v>7.1974117077743838</v>
      </c>
      <c r="BS21" s="24">
        <f t="shared" si="9"/>
        <v>16.222678175543223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8.7200000000000006</v>
      </c>
      <c r="N22" s="14">
        <f>IF('Données projet'!$A$36&gt;35,N21+M22-V21,IF(A22&lt;'Données projet'!$A$36,$K$205^A22,IF(A22='Données projet'!$A$36,'Données projet'!$B$36,N21+M22-V21)))</f>
        <v>59.872436925179549</v>
      </c>
      <c r="O22" s="14">
        <f>N22*VLOOKUP('Données projet'!$B$9,Paramètres!$A$1:$I$89,3,0)*VLOOKUP('Données projet'!$B$9,Paramètres!$A$1:$I$89,5,0)</f>
        <v>33.468692241175368</v>
      </c>
      <c r="P22" s="14">
        <f t="shared" si="33"/>
        <v>10.249976228965005</v>
      </c>
      <c r="Q22" s="22">
        <f t="shared" si="2"/>
        <v>76.143347585494482</v>
      </c>
      <c r="R22" s="62">
        <f t="shared" si="0"/>
        <v>369.47668091882781</v>
      </c>
      <c r="S22" s="62">
        <f ca="1">AVERAGE(OFFSET($R$3,0,0,'Données projet'!$E$9+1,1))-AVERAGE(OFFSET($H$3,0,0,'Données projet'!$E$9+1,1))</f>
        <v>210.566504119093</v>
      </c>
      <c r="T22" s="62">
        <f t="shared" si="34"/>
        <v>365.95065044620048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295.01137243247126</v>
      </c>
      <c r="AO22" s="62">
        <f t="shared" si="36"/>
        <v>221.9773436301067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19.166666666666668</v>
      </c>
      <c r="BD22" s="13">
        <f>IF('Données projet'!$A$88&gt;35,BD21+BC22-BL21,IF(A22&lt;'Données projet'!$A$88,$BA$205^A22,IF(A22='Données projet'!$A$88,'Données projet'!$B$88,BD21+BC22-BL21)))</f>
        <v>143.16666666666671</v>
      </c>
      <c r="BE22" s="14">
        <f>BD22*VLOOKUP('Données projet'!$B$11,Paramètres!$A$1:$I$89,3,0)*VLOOKUP('Données projet'!$B$11,Paramètres!$A$1:$I$89,5,0)</f>
        <v>78.169000000000025</v>
      </c>
      <c r="BF22" s="14">
        <f t="shared" si="37"/>
        <v>21.688893622970639</v>
      </c>
      <c r="BG22" s="22">
        <f t="shared" si="7"/>
        <v>173.9191647266739</v>
      </c>
      <c r="BH22" s="62">
        <f t="shared" si="8"/>
        <v>467.25249806000721</v>
      </c>
      <c r="BI22" s="62">
        <f ca="1">AVERAGE(OFFSET($BH$3,0,0,'Données projet'!$E$11+1,1))-AVERAGE(OFFSET($H$3,0,0,'Données projet'!$E$11+1,1))</f>
        <v>159.92263609041913</v>
      </c>
      <c r="BJ22" s="62">
        <f t="shared" si="38"/>
        <v>271.78119133009307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8.778470081589564</v>
      </c>
      <c r="BR22" s="23">
        <f>EXP(-LN(2)/2)*BR21+(1-EXP(-LN(2)/2))/(LN(2)/2)*BL22*BO22*VLOOKUP('Données projet'!$B$11,Paramètres!$A$1:$I$89,3,0)*0.475*44/12</f>
        <v>5.0893386255587165</v>
      </c>
      <c r="BS22" s="24">
        <f t="shared" si="9"/>
        <v>13.867808707148281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8.7200000000000006</v>
      </c>
      <c r="N23" s="14">
        <f>IF('Données projet'!$A$36&gt;35,N22+M23-V22,IF(A23&lt;'Données projet'!$A$36,$K$205^A23,IF(A23='Données projet'!$A$36,'Données projet'!$B$36,N22+M23-V22)))</f>
        <v>74.261752666760998</v>
      </c>
      <c r="O23" s="14">
        <f>N23*VLOOKUP('Données projet'!$B$9,Paramètres!$A$1:$I$89,3,0)*VLOOKUP('Données projet'!$B$9,Paramètres!$A$1:$I$89,5,0)</f>
        <v>41.512319740719398</v>
      </c>
      <c r="P23" s="14">
        <f t="shared" si="33"/>
        <v>12.398617568139834</v>
      </c>
      <c r="Q23" s="22">
        <f t="shared" si="2"/>
        <v>93.89488247959649</v>
      </c>
      <c r="R23" s="62">
        <f t="shared" si="0"/>
        <v>387.22821581292982</v>
      </c>
      <c r="S23" s="62">
        <f ca="1">AVERAGE(OFFSET($R$3,0,0,'Données projet'!$E$9+1,1))-AVERAGE(OFFSET($H$3,0,0,'Données projet'!$E$9+1,1))</f>
        <v>210.566504119093</v>
      </c>
      <c r="T23" s="62">
        <f t="shared" si="34"/>
        <v>365.95065044620048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295.01137243247126</v>
      </c>
      <c r="AO23" s="62">
        <f t="shared" si="36"/>
        <v>221.9773436301067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19.166666666666668</v>
      </c>
      <c r="BD23" s="13">
        <f>IF('Données projet'!$A$88&gt;35,BD22+BC23-BL22,IF(A23&lt;'Données projet'!$A$88,$BA$205^A23,IF(A23='Données projet'!$A$88,'Données projet'!$B$88,BD22+BC23-BL22)))</f>
        <v>162.33333333333337</v>
      </c>
      <c r="BE23" s="14">
        <f>BD23*VLOOKUP('Données projet'!$B$11,Paramètres!$A$1:$I$89,3,0)*VLOOKUP('Données projet'!$B$11,Paramètres!$A$1:$I$89,5,0)</f>
        <v>88.634000000000015</v>
      </c>
      <c r="BF23" s="14">
        <f t="shared" si="37"/>
        <v>24.235486014796273</v>
      </c>
      <c r="BG23" s="22">
        <f t="shared" si="7"/>
        <v>196.58102147577017</v>
      </c>
      <c r="BH23" s="62">
        <f t="shared" si="8"/>
        <v>489.91435480910349</v>
      </c>
      <c r="BI23" s="62">
        <f ca="1">AVERAGE(OFFSET($BH$3,0,0,'Données projet'!$E$11+1,1))-AVERAGE(OFFSET($H$3,0,0,'Données projet'!$E$11+1,1))</f>
        <v>159.92263609041913</v>
      </c>
      <c r="BJ23" s="62">
        <f t="shared" si="38"/>
        <v>271.78119133009307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8.5384223555688195</v>
      </c>
      <c r="BR23" s="23">
        <f>EXP(-LN(2)/2)*BR22+(1-EXP(-LN(2)/2))/(LN(2)/2)*BL23*BO23*VLOOKUP('Données projet'!$B$11,Paramètres!$A$1:$I$89,3,0)*0.475*44/12</f>
        <v>3.5987058538871923</v>
      </c>
      <c r="BS23" s="24">
        <f t="shared" si="9"/>
        <v>12.137128209456012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8.7200000000000006</v>
      </c>
      <c r="N24" s="14">
        <f>IF('Données projet'!$A$36&gt;35,N23+M24-V23,IF(A24&lt;'Données projet'!$A$36,$K$205^A24,IF(A24='Données projet'!$A$36,'Données projet'!$B$36,N23+M24-V23)))</f>
        <v>92.109294232183061</v>
      </c>
      <c r="O24" s="14">
        <f>N24*VLOOKUP('Données projet'!$B$9,Paramètres!$A$1:$I$89,3,0)*VLOOKUP('Données projet'!$B$9,Paramètres!$A$1:$I$89,5,0)</f>
        <v>51.489095475790336</v>
      </c>
      <c r="P24" s="14">
        <f t="shared" si="33"/>
        <v>14.997665766929122</v>
      </c>
      <c r="Q24" s="22">
        <f t="shared" si="2"/>
        <v>115.7977758310697</v>
      </c>
      <c r="R24" s="62">
        <f t="shared" si="0"/>
        <v>409.13110916440303</v>
      </c>
      <c r="S24" s="62">
        <f ca="1">AVERAGE(OFFSET($R$3,0,0,'Données projet'!$E$9+1,1))-AVERAGE(OFFSET($H$3,0,0,'Données projet'!$E$9+1,1))</f>
        <v>210.566504119093</v>
      </c>
      <c r="T24" s="62">
        <f t="shared" si="34"/>
        <v>365.95065044620048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295.01137243247126</v>
      </c>
      <c r="AO24" s="62">
        <f t="shared" si="36"/>
        <v>221.9773436301067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19.166666666666668</v>
      </c>
      <c r="BD24" s="13">
        <f>IF('Données projet'!$A$88&gt;35,BD23+BC24-BL23,IF(A24&lt;'Données projet'!$A$88,$BA$205^A24,IF(A24='Données projet'!$A$88,'Données projet'!$B$88,BD23+BC24-BL23)))</f>
        <v>181.50000000000003</v>
      </c>
      <c r="BE24" s="14">
        <f>BD24*VLOOKUP('Données projet'!$B$11,Paramètres!$A$1:$I$89,3,0)*VLOOKUP('Données projet'!$B$11,Paramètres!$A$1:$I$89,5,0)</f>
        <v>99.099000000000004</v>
      </c>
      <c r="BF24" s="14">
        <f t="shared" si="37"/>
        <v>26.747233784597075</v>
      </c>
      <c r="BG24" s="22">
        <f t="shared" si="7"/>
        <v>219.18219050817322</v>
      </c>
      <c r="BH24" s="62">
        <f t="shared" si="8"/>
        <v>512.51552384150659</v>
      </c>
      <c r="BI24" s="62">
        <f ca="1">AVERAGE(OFFSET($BH$3,0,0,'Données projet'!$E$11+1,1))-AVERAGE(OFFSET($H$3,0,0,'Données projet'!$E$11+1,1))</f>
        <v>159.92263609041913</v>
      </c>
      <c r="BJ24" s="62">
        <f t="shared" si="38"/>
        <v>271.78119133009307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8.3049387472396727</v>
      </c>
      <c r="BR24" s="23">
        <f>EXP(-LN(2)/2)*BR23+(1-EXP(-LN(2)/2))/(LN(2)/2)*BL24*BO24*VLOOKUP('Données projet'!$B$11,Paramètres!$A$1:$I$89,3,0)*0.475*44/12</f>
        <v>2.5446693127793587</v>
      </c>
      <c r="BS24" s="24">
        <f t="shared" si="9"/>
        <v>10.849608060019031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8.7200000000000006</v>
      </c>
      <c r="N25" s="14">
        <f>IF('Données projet'!$A$36&gt;35,N24+M25-V24,IF(A25&lt;'Données projet'!$A$36,$K$205^A25,IF(A25='Données projet'!$A$36,'Données projet'!$B$36,N24+M25-V24)))</f>
        <v>114.24618702472802</v>
      </c>
      <c r="O25" s="14">
        <f>N25*VLOOKUP('Données projet'!$B$9,Paramètres!$A$1:$I$89,3,0)*VLOOKUP('Données projet'!$B$9,Paramètres!$A$1:$I$89,5,0)</f>
        <v>63.863618546822963</v>
      </c>
      <c r="P25" s="14">
        <f t="shared" si="33"/>
        <v>18.141536927028881</v>
      </c>
      <c r="Q25" s="22">
        <f t="shared" si="2"/>
        <v>142.8256457836253</v>
      </c>
      <c r="R25" s="62">
        <f t="shared" si="0"/>
        <v>436.15897911695862</v>
      </c>
      <c r="S25" s="62">
        <f ca="1">AVERAGE(OFFSET($R$3,0,0,'Données projet'!$E$9+1,1))-AVERAGE(OFFSET($H$3,0,0,'Données projet'!$E$9+1,1))</f>
        <v>210.566504119093</v>
      </c>
      <c r="T25" s="62">
        <f t="shared" si="34"/>
        <v>365.95065044620048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295.01137243247126</v>
      </c>
      <c r="AO25" s="62">
        <f t="shared" si="36"/>
        <v>221.9773436301067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19.166666666666668</v>
      </c>
      <c r="BD25" s="13">
        <f>IF('Données projet'!$A$88&gt;35,BD24+BC25-BL24,IF(A25&lt;'Données projet'!$A$88,$BA$205^A25,IF(A25='Données projet'!$A$88,'Données projet'!$B$88,BD24+BC25-BL24)))</f>
        <v>200.66666666666669</v>
      </c>
      <c r="BE25" s="14">
        <f>BD25*VLOOKUP('Données projet'!$B$11,Paramètres!$A$1:$I$89,3,0)*VLOOKUP('Données projet'!$B$11,Paramètres!$A$1:$I$89,5,0)</f>
        <v>109.56400000000001</v>
      </c>
      <c r="BF25" s="14">
        <f t="shared" si="37"/>
        <v>29.228235839881371</v>
      </c>
      <c r="BG25" s="22">
        <f t="shared" si="7"/>
        <v>241.72981075446003</v>
      </c>
      <c r="BH25" s="62">
        <f t="shared" si="8"/>
        <v>535.06314408779338</v>
      </c>
      <c r="BI25" s="62">
        <f ca="1">AVERAGE(OFFSET($BH$3,0,0,'Données projet'!$E$11+1,1))-AVERAGE(OFFSET($H$3,0,0,'Données projet'!$E$11+1,1))</f>
        <v>159.92263609041913</v>
      </c>
      <c r="BJ25" s="62">
        <f t="shared" si="38"/>
        <v>271.78119133009307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8.0778397604586569</v>
      </c>
      <c r="BR25" s="23">
        <f>EXP(-LN(2)/2)*BR24+(1-EXP(-LN(2)/2))/(LN(2)/2)*BL25*BO25*VLOOKUP('Données projet'!$B$11,Paramètres!$A$1:$I$89,3,0)*0.475*44/12</f>
        <v>1.7993529269435964</v>
      </c>
      <c r="BS25" s="24">
        <f t="shared" si="9"/>
        <v>9.8771926874022533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8.7200000000000006</v>
      </c>
      <c r="N26" s="14">
        <f>IF('Données projet'!$A$36&gt;35,N25+M26-V25,IF(A26&lt;'Données projet'!$A$36,$K$205^A26,IF(A26='Données projet'!$A$36,'Données projet'!$B$36,N25+M26-V25)))</f>
        <v>141.70330321702417</v>
      </c>
      <c r="O26" s="14">
        <f>N26*VLOOKUP('Données projet'!$B$9,Paramètres!$A$1:$I$89,3,0)*VLOOKUP('Données projet'!$B$9,Paramètres!$A$1:$I$89,5,0)</f>
        <v>79.212146498316514</v>
      </c>
      <c r="P26" s="14">
        <f t="shared" si="33"/>
        <v>21.944439034004489</v>
      </c>
      <c r="Q26" s="22">
        <f t="shared" si="2"/>
        <v>176.18105313545905</v>
      </c>
      <c r="R26" s="62">
        <f t="shared" si="0"/>
        <v>469.5143864687924</v>
      </c>
      <c r="S26" s="62">
        <f ca="1">AVERAGE(OFFSET($R$3,0,0,'Données projet'!$E$9+1,1))-AVERAGE(OFFSET($H$3,0,0,'Données projet'!$E$9+1,1))</f>
        <v>210.566504119093</v>
      </c>
      <c r="T26" s="62">
        <f t="shared" si="34"/>
        <v>365.95065044620048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2">
        <f t="shared" si="5"/>
        <v>452.47373260408426</v>
      </c>
      <c r="AN26" s="62">
        <f ca="1">AVERAGE(OFFSET($AM$3,0,0,'Données projet'!$E$10+1,1))-AVERAGE(OFFSET($H$3,0,0,'Données projet'!$E$10+1,1))</f>
        <v>295.01137243247126</v>
      </c>
      <c r="AO26" s="62">
        <f t="shared" si="36"/>
        <v>221.9773436301067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19.166666666666668</v>
      </c>
      <c r="BD26" s="13">
        <f>IF('Données projet'!$A$88&gt;35,BD25+BC26-BL25,IF(A26&lt;'Données projet'!$A$88,$BA$205^A26,IF(A26='Données projet'!$A$88,'Données projet'!$B$88,BD25+BC26-BL25)))</f>
        <v>219.83333333333334</v>
      </c>
      <c r="BE26" s="14">
        <f>BD26*VLOOKUP('Données projet'!$B$11,Paramètres!$A$1:$I$89,3,0)*VLOOKUP('Données projet'!$B$11,Paramètres!$A$1:$I$89,5,0)</f>
        <v>120.029</v>
      </c>
      <c r="BF26" s="14">
        <f t="shared" si="37"/>
        <v>31.68176297276506</v>
      </c>
      <c r="BG26" s="22">
        <f t="shared" si="7"/>
        <v>264.22957884423249</v>
      </c>
      <c r="BH26" s="62">
        <f t="shared" si="8"/>
        <v>557.56291217756575</v>
      </c>
      <c r="BI26" s="62">
        <f ca="1">AVERAGE(OFFSET($BH$3,0,0,'Données projet'!$E$11+1,1))-AVERAGE(OFFSET($H$3,0,0,'Données projet'!$E$11+1,1))</f>
        <v>159.92263609041913</v>
      </c>
      <c r="BJ26" s="62">
        <f t="shared" si="38"/>
        <v>271.78119133009307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7.8569508074137842</v>
      </c>
      <c r="BR26" s="23">
        <f>EXP(-LN(2)/2)*BR25+(1-EXP(-LN(2)/2))/(LN(2)/2)*BL26*BO26*VLOOKUP('Données projet'!$B$11,Paramètres!$A$1:$I$89,3,0)*0.475*44/12</f>
        <v>1.2723346563896796</v>
      </c>
      <c r="BS26" s="24">
        <f t="shared" si="9"/>
        <v>9.1292854638034644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8.7200000000000006</v>
      </c>
      <c r="N27" s="14">
        <f>IF('Données projet'!$A$36&gt;35,N26+M27-V26,IF(A27&lt;'Données projet'!$A$36,$K$205^A27,IF(A27='Données projet'!$A$36,'Données projet'!$B$36,N26+M27-V26)))</f>
        <v>175.75926746920416</v>
      </c>
      <c r="O27" s="14">
        <f>N27*VLOOKUP('Données projet'!$B$9,Paramètres!$A$1:$I$89,3,0)*VLOOKUP('Données projet'!$B$9,Paramètres!$A$1:$I$89,5,0)</f>
        <v>98.249430515285127</v>
      </c>
      <c r="P27" s="14">
        <f t="shared" si="33"/>
        <v>26.544520811777058</v>
      </c>
      <c r="Q27" s="22">
        <f t="shared" si="2"/>
        <v>217.34946522796665</v>
      </c>
      <c r="R27" s="62">
        <f t="shared" si="0"/>
        <v>510.68279856129993</v>
      </c>
      <c r="S27" s="62">
        <f ca="1">AVERAGE(OFFSET($R$3,0,0,'Données projet'!$E$9+1,1))-AVERAGE(OFFSET($H$3,0,0,'Données projet'!$E$9+1,1))</f>
        <v>210.566504119093</v>
      </c>
      <c r="T27" s="62">
        <f t="shared" si="34"/>
        <v>365.95065044620048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2">
        <f t="shared" si="5"/>
        <v>468.48347327497567</v>
      </c>
      <c r="AN27" s="62">
        <f ca="1">AVERAGE(OFFSET($AM$3,0,0,'Données projet'!$E$10+1,1))-AVERAGE(OFFSET($H$3,0,0,'Données projet'!$E$10+1,1))</f>
        <v>295.01137243247126</v>
      </c>
      <c r="AO27" s="62">
        <f t="shared" si="36"/>
        <v>221.9773436301067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>
        <f>VLOOKUP(A27,'Données projet'!$A$87:$I$107,2,0)</f>
        <v>239</v>
      </c>
      <c r="BB27" s="13">
        <f>VLOOKUP(A27,'Données projet'!$A$87:$I$107,9,0)</f>
        <v>19.166666666666668</v>
      </c>
      <c r="BC27" s="13">
        <f t="array" ref="BC27">INDEX(BB:BB,MIN(IF(ISNUMBER(BB27:BB223),ROW(BB27:BB223),"")))</f>
        <v>19.166666666666668</v>
      </c>
      <c r="BD27" s="13">
        <f>IF('Données projet'!$A$88&gt;35,BD26+BC27-BL26,IF(A27&lt;'Données projet'!$A$88,$BA$205^A27,IF(A27='Données projet'!$A$88,'Données projet'!$B$88,BD26+BC27-BL26)))</f>
        <v>239</v>
      </c>
      <c r="BE27" s="14">
        <f>BD27*VLOOKUP('Données projet'!$B$11,Paramètres!$A$1:$I$89,3,0)*VLOOKUP('Données projet'!$B$11,Paramètres!$A$1:$I$89,5,0)</f>
        <v>130.494</v>
      </c>
      <c r="BF27" s="14">
        <f t="shared" si="37"/>
        <v>34.110483018610772</v>
      </c>
      <c r="BG27" s="22">
        <f t="shared" si="7"/>
        <v>286.68614125741374</v>
      </c>
      <c r="BH27" s="62">
        <f t="shared" si="8"/>
        <v>580.019474590747</v>
      </c>
      <c r="BI27" s="62">
        <f ca="1">AVERAGE(OFFSET($BH$3,0,0,'Données projet'!$E$11+1,1))-AVERAGE(OFFSET($H$3,0,0,'Données projet'!$E$11+1,1))</f>
        <v>159.92263609041913</v>
      </c>
      <c r="BJ27" s="62">
        <f t="shared" si="38"/>
        <v>271.78119133009307</v>
      </c>
      <c r="BK27" s="16">
        <f>IF(ISNA(VLOOKUP(A27,'Données projet'!$A$87:$I$107,3,0)),0,VLOOKUP(A27,'Données projet'!$A$87:$I$107,3,0))</f>
        <v>4</v>
      </c>
      <c r="BL27" s="16">
        <f>IF(ISNA(VLOOKUP(A27,'Données projet'!$A$87:$I$107,4,0)),0,VLOOKUP(A27,'Données projet'!$A$87:$I$107,4,0))</f>
        <v>84</v>
      </c>
      <c r="BM27" s="17">
        <f>IF(ISNA(VLOOKUP(A27,'Données projet'!$A$87:$I$107,5,0)),0%,VLOOKUP(A27,'Données projet'!$A$87:$I$107,5,0)*VLOOKUP('Données projet'!$B$11,Paramètres!$A$1:$I$89,7,0))</f>
        <v>0.18</v>
      </c>
      <c r="BN27" s="17">
        <f>IF(ISNA(VLOOKUP(A27,'Données projet'!$A$87:$I$107,6,0)),0%,VLOOKUP(A27,'Données projet'!$A$87:$I$107,6,0)*VLOOKUP('Données projet'!$B$11,Paramètres!$A$1:$I$89,7,0))</f>
        <v>0.12</v>
      </c>
      <c r="BO27" s="17">
        <f>IF(ISNA(VLOOKUP(A27,'Données projet'!$A$87:$I$107,7,0)),0%,VLOOKUP(A27,'Données projet'!$A$87:$I$107,7,0))</f>
        <v>0.15</v>
      </c>
      <c r="BP27" s="23">
        <f>EXP(-LN(2)/35)*BP26+(1-EXP(-LN(2)/35))/(LN(2)/35)*BL27*BM27*VLOOKUP('Données projet'!$B$11,Paramètres!$A$1:$I$89,3,0)*0.475*44/12</f>
        <v>10.951479393170233</v>
      </c>
      <c r="BQ27" s="23">
        <f>EXP(-LN(2)/25)*BQ26+(1-EXP(-LN(2)/25))/(LN(2)/25)*Calculateur!BL27*Calculateur!BN27*VLOOKUP('Données projet'!$B$11,Paramètres!$A$1:$I$89,3,0)*0.475*44/12</f>
        <v>14.914341571711653</v>
      </c>
      <c r="BR27" s="23">
        <f>EXP(-LN(2)/2)*BR26+(1-EXP(-LN(2)/2))/(LN(2)/2)*BL27*BO27*VLOOKUP('Données projet'!$B$11,Paramètres!$A$1:$I$89,3,0)*0.475*44/12</f>
        <v>8.6889817775348721</v>
      </c>
      <c r="BS27" s="24">
        <f t="shared" si="9"/>
        <v>34.554802742416754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218</v>
      </c>
      <c r="L28" s="13">
        <f>VLOOKUP(A28,'Données projet'!$A$35:$I$55,9,0)</f>
        <v>8.7200000000000006</v>
      </c>
      <c r="M28" s="13">
        <f t="array" ref="M28">INDEX(L:L,MIN(IF(ISNUMBER(L28:L224),ROW(L28:L224),"")))</f>
        <v>8.7200000000000006</v>
      </c>
      <c r="N28" s="14">
        <f>IF('Données projet'!$A$36&gt;35,N27+M28-V27,IF(A28&lt;'Données projet'!$A$36,$K$205^A28,IF(A28='Données projet'!$A$36,'Données projet'!$B$36,N27+M28-V27)))</f>
        <v>218</v>
      </c>
      <c r="O28" s="14">
        <f>N28*VLOOKUP('Données projet'!$B$9,Paramètres!$A$1:$I$89,3,0)*VLOOKUP('Données projet'!$B$9,Paramètres!$A$1:$I$89,5,0)</f>
        <v>121.86199999999999</v>
      </c>
      <c r="P28" s="14">
        <f t="shared" si="33"/>
        <v>32.108890276712884</v>
      </c>
      <c r="Q28" s="22">
        <f t="shared" si="2"/>
        <v>268.16596723194158</v>
      </c>
      <c r="R28" s="62">
        <f t="shared" si="0"/>
        <v>561.49930056527489</v>
      </c>
      <c r="S28" s="62">
        <f ca="1">AVERAGE(OFFSET($R$3,0,0,'Données projet'!$E$9+1,1))-AVERAGE(OFFSET($H$3,0,0,'Données projet'!$E$9+1,1))</f>
        <v>210.566504119093</v>
      </c>
      <c r="T28" s="62">
        <f t="shared" si="34"/>
        <v>365.95065044620048</v>
      </c>
      <c r="U28" s="16">
        <f>IF(ISNA(VLOOKUP(A28,'Données projet'!$A$35:$I$55,3,0)),0,VLOOKUP(A28,'Données projet'!$A$35:$I$55,3,0))</f>
        <v>1</v>
      </c>
      <c r="V28" s="16">
        <f>IF(ISNA(VLOOKUP(A28,'Données projet'!$A$35:$I$55,4,0)),0,VLOOKUP(A28,'Données projet'!$A$35:$I$55,4,0))</f>
        <v>14</v>
      </c>
      <c r="W28" s="17">
        <f>IF(ISNA(VLOOKUP(A28,'Données projet'!$A$35:$I$55,5,0)),0%,VLOOKUP(A28,'Données projet'!$A$35:$I$55,5,0)*VLOOKUP('Données projet'!$B$9,Paramètres!$A$1:$I$89,7,0))</f>
        <v>0.16500000000000001</v>
      </c>
      <c r="X28" s="17">
        <f>IF(ISNA(VLOOKUP(A28,'Données projet'!$A$35:$I$55,6,0)),0%,VLOOKUP(A28,'Données projet'!$A$35:$I$55,6,0)*VLOOKUP('Données projet'!$B$9,Paramètres!$A$1:$I$89,7,0))</f>
        <v>0.10780000000000001</v>
      </c>
      <c r="Y28" s="17">
        <f>IF(ISNA(VLOOKUP(A28,'Données projet'!$A$35:$I$55,7,0)),0%,VLOOKUP(A28,'Données projet'!$A$35:$I$55,7,0))</f>
        <v>0.154</v>
      </c>
      <c r="Z28" s="23">
        <f>EXP(-LN(2)/35)*Z27+(1-EXP(-LN(2)/35))/(LN(2)/35)*V28*W28*VLOOKUP('Données projet'!$B$9,Paramètres!$A$1:$I$89,3,0)*0.475*44/12</f>
        <v>1.7129794156645237</v>
      </c>
      <c r="AA28" s="23">
        <f>EXP(-LN(2)/25)*AA27+(1-EXP(-LN(2)/25))/(LN(2)/25)*Calculateur!V28*Calculateur!X28*VLOOKUP('Données projet'!$B$9,Paramètres!$A$1:$I$89,3,0)*0.475*44/12</f>
        <v>1.1147400451657001</v>
      </c>
      <c r="AB28" s="23">
        <f>EXP(-LN(2)/2)*AB27+(1-EXP(-LN(2)/2))/(LN(2)/2)*V28*Y28*VLOOKUP('Données projet'!$B$9,Paramètres!$A$1:$I$89,3,0)*0.475*44/12</f>
        <v>1.3645708939080867</v>
      </c>
      <c r="AC28" s="24">
        <f t="shared" si="3"/>
        <v>4.1922903547383106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2">
        <f t="shared" si="5"/>
        <v>484.4588463196344</v>
      </c>
      <c r="AN28" s="62">
        <f ca="1">AVERAGE(OFFSET($AM$3,0,0,'Données projet'!$E$10+1,1))-AVERAGE(OFFSET($H$3,0,0,'Données projet'!$E$10+1,1))</f>
        <v>295.01137243247126</v>
      </c>
      <c r="AO28" s="62">
        <f t="shared" si="36"/>
        <v>221.9773436301067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16.666666666666668</v>
      </c>
      <c r="BD28" s="13">
        <f>IF('Données projet'!$A$88&gt;35,BD27+BC28-BL27,IF(A28&lt;'Données projet'!$A$88,$BA$205^A28,IF(A28='Données projet'!$A$88,'Données projet'!$B$88,BD27+BC28-BL27)))</f>
        <v>171.66666666666666</v>
      </c>
      <c r="BE28" s="14">
        <f>BD28*VLOOKUP('Données projet'!$B$11,Paramètres!$A$1:$I$89,3,0)*VLOOKUP('Données projet'!$B$11,Paramètres!$A$1:$I$89,5,0)</f>
        <v>93.72999999999999</v>
      </c>
      <c r="BF28" s="14">
        <f t="shared" si="37"/>
        <v>25.462674063925309</v>
      </c>
      <c r="BG28" s="22">
        <f t="shared" si="7"/>
        <v>207.59390732800321</v>
      </c>
      <c r="BH28" s="62">
        <f t="shared" si="8"/>
        <v>500.92724066133655</v>
      </c>
      <c r="BI28" s="62">
        <f ca="1">AVERAGE(OFFSET($BH$3,0,0,'Données projet'!$E$11+1,1))-AVERAGE(OFFSET($H$3,0,0,'Données projet'!$E$11+1,1))</f>
        <v>159.92263609041913</v>
      </c>
      <c r="BJ28" s="62">
        <f t="shared" si="38"/>
        <v>271.78119133009307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10.736727562013025</v>
      </c>
      <c r="BQ28" s="23">
        <f>EXP(-LN(2)/25)*BQ27+(1-EXP(-LN(2)/25))/(LN(2)/25)*Calculateur!BL28*Calculateur!BN28*VLOOKUP('Données projet'!$B$11,Paramètres!$A$1:$I$89,3,0)*0.475*44/12</f>
        <v>14.506508117122062</v>
      </c>
      <c r="BR28" s="23">
        <f>EXP(-LN(2)/2)*BR27+(1-EXP(-LN(2)/2))/(LN(2)/2)*BL28*BO28*VLOOKUP('Données projet'!$B$11,Paramètres!$A$1:$I$89,3,0)*0.475*44/12</f>
        <v>6.1440379365012499</v>
      </c>
      <c r="BS28" s="24">
        <f t="shared" si="9"/>
        <v>31.387273615636335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24.8</v>
      </c>
      <c r="N29" s="14">
        <f>IF('Données projet'!$A$36&gt;35,N28+M29-V28,IF(A29&lt;'Données projet'!$A$36,$K$205^A29,IF(A29='Données projet'!$A$36,'Données projet'!$B$36,N28+M29-V28)))</f>
        <v>228.8</v>
      </c>
      <c r="O29" s="14">
        <f>N29*VLOOKUP('Données projet'!$B$9,Paramètres!$A$1:$I$89,3,0)*VLOOKUP('Données projet'!$B$9,Paramètres!$A$1:$I$89,5,0)</f>
        <v>127.89920000000001</v>
      </c>
      <c r="P29" s="14">
        <f t="shared" si="33"/>
        <v>33.510466808314675</v>
      </c>
      <c r="Q29" s="22">
        <f t="shared" si="2"/>
        <v>281.12183635781474</v>
      </c>
      <c r="R29" s="62">
        <f t="shared" si="0"/>
        <v>574.45516969114806</v>
      </c>
      <c r="S29" s="62">
        <f ca="1">AVERAGE(OFFSET($R$3,0,0,'Données projet'!$E$9+1,1))-AVERAGE(OFFSET($H$3,0,0,'Données projet'!$E$9+1,1))</f>
        <v>210.566504119093</v>
      </c>
      <c r="T29" s="62">
        <f t="shared" si="34"/>
        <v>365.95065044620048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1.6793889341376191</v>
      </c>
      <c r="AA29" s="23">
        <f>EXP(-LN(2)/25)*AA28+(1-EXP(-LN(2)/25))/(LN(2)/25)*Calculateur!V29*Calculateur!X29*VLOOKUP('Données projet'!$B$9,Paramètres!$A$1:$I$89,3,0)*0.475*44/12</f>
        <v>1.0842574200090129</v>
      </c>
      <c r="AB29" s="23">
        <f>EXP(-LN(2)/2)*AB28+(1-EXP(-LN(2)/2))/(LN(2)/2)*V29*Y29*VLOOKUP('Données projet'!$B$9,Paramètres!$A$1:$I$89,3,0)*0.475*44/12</f>
        <v>0.96489733249219711</v>
      </c>
      <c r="AC29" s="24">
        <f t="shared" si="3"/>
        <v>3.7285436866388291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295.01137243247126</v>
      </c>
      <c r="AO29" s="62">
        <f t="shared" si="36"/>
        <v>221.9773436301067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16.666666666666668</v>
      </c>
      <c r="BD29" s="13">
        <f>IF('Données projet'!$A$88&gt;35,BD28+BC29-BL28,IF(A29&lt;'Données projet'!$A$88,$BA$205^A29,IF(A29='Données projet'!$A$88,'Données projet'!$B$88,BD28+BC29-BL28)))</f>
        <v>188.33333333333331</v>
      </c>
      <c r="BE29" s="14">
        <f>BD29*VLOOKUP('Données projet'!$B$11,Paramètres!$A$1:$I$89,3,0)*VLOOKUP('Données projet'!$B$11,Paramètres!$A$1:$I$89,5,0)</f>
        <v>102.83</v>
      </c>
      <c r="BF29" s="14">
        <f t="shared" si="37"/>
        <v>27.635107084401234</v>
      </c>
      <c r="BG29" s="22">
        <f t="shared" si="7"/>
        <v>227.22672817199881</v>
      </c>
      <c r="BH29" s="62">
        <f t="shared" si="8"/>
        <v>520.5600615053321</v>
      </c>
      <c r="BI29" s="62">
        <f ca="1">AVERAGE(OFFSET($BH$3,0,0,'Données projet'!$E$11+1,1))-AVERAGE(OFFSET($H$3,0,0,'Données projet'!$E$11+1,1))</f>
        <v>159.92263609041913</v>
      </c>
      <c r="BJ29" s="62">
        <f t="shared" si="38"/>
        <v>271.78119133009307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10.526186883279125</v>
      </c>
      <c r="BQ29" s="23">
        <f>EXP(-LN(2)/25)*BQ28+(1-EXP(-LN(2)/25))/(LN(2)/25)*Calculateur!BL29*Calculateur!BN29*VLOOKUP('Données projet'!$B$11,Paramètres!$A$1:$I$89,3,0)*0.475*44/12</f>
        <v>14.109826889795253</v>
      </c>
      <c r="BR29" s="23">
        <f>EXP(-LN(2)/2)*BR28+(1-EXP(-LN(2)/2))/(LN(2)/2)*BL29*BO29*VLOOKUP('Données projet'!$B$11,Paramètres!$A$1:$I$89,3,0)*0.475*44/12</f>
        <v>4.3444908887674369</v>
      </c>
      <c r="BS29" s="24">
        <f t="shared" si="9"/>
        <v>28.980504661841813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24.8</v>
      </c>
      <c r="N30" s="14">
        <f>IF('Données projet'!$A$36&gt;35,N29+M30-V29,IF(A30&lt;'Données projet'!$A$36,$K$205^A30,IF(A30='Données projet'!$A$36,'Données projet'!$B$36,N29+M30-V29)))</f>
        <v>253.60000000000002</v>
      </c>
      <c r="O30" s="14">
        <f>N30*VLOOKUP('Données projet'!$B$9,Paramètres!$A$1:$I$89,3,0)*VLOOKUP('Données projet'!$B$9,Paramètres!$A$1:$I$89,5,0)</f>
        <v>141.76240000000001</v>
      </c>
      <c r="P30" s="14">
        <f t="shared" si="33"/>
        <v>36.70045216027021</v>
      </c>
      <c r="Q30" s="22">
        <f t="shared" si="2"/>
        <v>310.82280084580395</v>
      </c>
      <c r="R30" s="62">
        <f t="shared" si="0"/>
        <v>604.15613417913733</v>
      </c>
      <c r="S30" s="62">
        <f ca="1">AVERAGE(OFFSET($R$3,0,0,'Données projet'!$E$9+1,1))-AVERAGE(OFFSET($H$3,0,0,'Données projet'!$E$9+1,1))</f>
        <v>210.566504119093</v>
      </c>
      <c r="T30" s="62">
        <f t="shared" si="34"/>
        <v>365.95065044620048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1.6464571414652864</v>
      </c>
      <c r="AA30" s="23">
        <f>EXP(-LN(2)/25)*AA29+(1-EXP(-LN(2)/25))/(LN(2)/25)*Calculateur!V30*Calculateur!X30*VLOOKUP('Données projet'!$B$9,Paramètres!$A$1:$I$89,3,0)*0.475*44/12</f>
        <v>1.0546083438402469</v>
      </c>
      <c r="AB30" s="23">
        <f>EXP(-LN(2)/2)*AB29+(1-EXP(-LN(2)/2))/(LN(2)/2)*V30*Y30*VLOOKUP('Données projet'!$B$9,Paramètres!$A$1:$I$89,3,0)*0.475*44/12</f>
        <v>0.68228544695404347</v>
      </c>
      <c r="AC30" s="24">
        <f t="shared" si="3"/>
        <v>3.3833509322595767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295.01137243247126</v>
      </c>
      <c r="AO30" s="62">
        <f t="shared" si="36"/>
        <v>221.9773436301067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16.666666666666668</v>
      </c>
      <c r="BD30" s="13">
        <f>IF('Données projet'!$A$88&gt;35,BD29+BC30-BL29,IF(A30&lt;'Données projet'!$A$88,$BA$205^A30,IF(A30='Données projet'!$A$88,'Données projet'!$B$88,BD29+BC30-BL29)))</f>
        <v>204.99999999999997</v>
      </c>
      <c r="BE30" s="14">
        <f>BD30*VLOOKUP('Données projet'!$B$11,Paramètres!$A$1:$I$89,3,0)*VLOOKUP('Données projet'!$B$11,Paramètres!$A$1:$I$89,5,0)</f>
        <v>111.92999999999998</v>
      </c>
      <c r="BF30" s="14">
        <f t="shared" si="37"/>
        <v>29.785246291563833</v>
      </c>
      <c r="BG30" s="22">
        <f t="shared" si="7"/>
        <v>246.82072062447358</v>
      </c>
      <c r="BH30" s="62">
        <f t="shared" si="8"/>
        <v>540.15405395780692</v>
      </c>
      <c r="BI30" s="62">
        <f ca="1">AVERAGE(OFFSET($BH$3,0,0,'Données projet'!$E$11+1,1))-AVERAGE(OFFSET($H$3,0,0,'Données projet'!$E$11+1,1))</f>
        <v>159.92263609041913</v>
      </c>
      <c r="BJ30" s="62">
        <f t="shared" si="38"/>
        <v>271.78119133009307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10.319774778838065</v>
      </c>
      <c r="BQ30" s="23">
        <f>EXP(-LN(2)/25)*BQ29+(1-EXP(-LN(2)/25))/(LN(2)/25)*Calculateur!BL30*Calculateur!BN30*VLOOKUP('Données projet'!$B$11,Paramètres!$A$1:$I$89,3,0)*0.475*44/12</f>
        <v>13.723992931490253</v>
      </c>
      <c r="BR30" s="23">
        <f>EXP(-LN(2)/2)*BR29+(1-EXP(-LN(2)/2))/(LN(2)/2)*BL30*BO30*VLOOKUP('Données projet'!$B$11,Paramètres!$A$1:$I$89,3,0)*0.475*44/12</f>
        <v>3.0720189682506258</v>
      </c>
      <c r="BS30" s="24">
        <f t="shared" si="9"/>
        <v>27.115786678578942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24.8</v>
      </c>
      <c r="N31" s="14">
        <f>IF('Données projet'!$A$36&gt;35,N30+M31-V30,IF(A31&lt;'Données projet'!$A$36,$K$205^A31,IF(A31='Données projet'!$A$36,'Données projet'!$B$36,N30+M31-V30)))</f>
        <v>278.40000000000003</v>
      </c>
      <c r="O31" s="14">
        <f>N31*VLOOKUP('Données projet'!$B$9,Paramètres!$A$1:$I$89,3,0)*VLOOKUP('Données projet'!$B$9,Paramètres!$A$1:$I$89,5,0)</f>
        <v>155.62560000000002</v>
      </c>
      <c r="P31" s="14">
        <f t="shared" si="33"/>
        <v>39.854271109683154</v>
      </c>
      <c r="Q31" s="22">
        <f t="shared" si="2"/>
        <v>340.46077551603156</v>
      </c>
      <c r="R31" s="62">
        <f t="shared" si="0"/>
        <v>633.79410884936487</v>
      </c>
      <c r="S31" s="62">
        <f ca="1">AVERAGE(OFFSET($R$3,0,0,'Données projet'!$E$9+1,1))-AVERAGE(OFFSET($H$3,0,0,'Données projet'!$E$9+1,1))</f>
        <v>210.566504119093</v>
      </c>
      <c r="T31" s="62">
        <f t="shared" si="34"/>
        <v>365.95065044620048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1.614171121160848</v>
      </c>
      <c r="AA31" s="23">
        <f>EXP(-LN(2)/25)*AA30+(1-EXP(-LN(2)/25))/(LN(2)/25)*Calculateur!V31*Calculateur!X31*VLOOKUP('Données projet'!$B$9,Paramètres!$A$1:$I$89,3,0)*0.475*44/12</f>
        <v>1.025770023218493</v>
      </c>
      <c r="AB31" s="23">
        <f>EXP(-LN(2)/2)*AB30+(1-EXP(-LN(2)/2))/(LN(2)/2)*V31*Y31*VLOOKUP('Données projet'!$B$9,Paramètres!$A$1:$I$89,3,0)*0.475*44/12</f>
        <v>0.48244866624609861</v>
      </c>
      <c r="AC31" s="24">
        <f t="shared" si="3"/>
        <v>3.1223898106254393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295.01137243247126</v>
      </c>
      <c r="AO31" s="62">
        <f t="shared" si="36"/>
        <v>221.9773436301067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16.666666666666668</v>
      </c>
      <c r="BD31" s="13">
        <f>IF('Données projet'!$A$88&gt;35,BD30+BC31-BL30,IF(A31&lt;'Données projet'!$A$88,$BA$205^A31,IF(A31='Données projet'!$A$88,'Données projet'!$B$88,BD30+BC31-BL30)))</f>
        <v>221.66666666666663</v>
      </c>
      <c r="BE31" s="14">
        <f>BD31*VLOOKUP('Données projet'!$B$11,Paramètres!$A$1:$I$89,3,0)*VLOOKUP('Données projet'!$B$11,Paramètres!$A$1:$I$89,5,0)</f>
        <v>121.02999999999997</v>
      </c>
      <c r="BF31" s="14">
        <f t="shared" si="37"/>
        <v>31.915110254002617</v>
      </c>
      <c r="BG31" s="22">
        <f t="shared" si="7"/>
        <v>266.3794003590545</v>
      </c>
      <c r="BH31" s="62">
        <f t="shared" si="8"/>
        <v>559.71273369238781</v>
      </c>
      <c r="BI31" s="62">
        <f ca="1">AVERAGE(OFFSET($BH$3,0,0,'Données projet'!$E$11+1,1))-AVERAGE(OFFSET($H$3,0,0,'Données projet'!$E$11+1,1))</f>
        <v>159.92263609041913</v>
      </c>
      <c r="BJ31" s="62">
        <f t="shared" si="38"/>
        <v>271.78119133009307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10.117410289866141</v>
      </c>
      <c r="BQ31" s="23">
        <f>EXP(-LN(2)/25)*BQ30+(1-EXP(-LN(2)/25))/(LN(2)/25)*Calculateur!BL31*Calculateur!BN31*VLOOKUP('Données projet'!$B$11,Paramètres!$A$1:$I$89,3,0)*0.475*44/12</f>
        <v>13.348709623065231</v>
      </c>
      <c r="BR31" s="23">
        <f>EXP(-LN(2)/2)*BR30+(1-EXP(-LN(2)/2))/(LN(2)/2)*BL31*BO31*VLOOKUP('Données projet'!$B$11,Paramètres!$A$1:$I$89,3,0)*0.475*44/12</f>
        <v>2.1722454443837189</v>
      </c>
      <c r="BS31" s="24">
        <f t="shared" si="9"/>
        <v>25.638365357315092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24.8</v>
      </c>
      <c r="N32" s="14">
        <f>IF('Données projet'!$A$36&gt;35,N31+M32-V31,IF(A32&lt;'Données projet'!$A$36,$K$205^A32,IF(A32='Données projet'!$A$36,'Données projet'!$B$36,N31+M32-V31)))</f>
        <v>303.20000000000005</v>
      </c>
      <c r="O32" s="14">
        <f>N32*VLOOKUP('Données projet'!$B$9,Paramètres!$A$1:$I$89,3,0)*VLOOKUP('Données projet'!$B$9,Paramètres!$A$1:$I$89,5,0)</f>
        <v>169.48880000000003</v>
      </c>
      <c r="P32" s="14">
        <f t="shared" si="33"/>
        <v>42.975511730949684</v>
      </c>
      <c r="Q32" s="22">
        <f t="shared" si="2"/>
        <v>370.04200959807071</v>
      </c>
      <c r="R32" s="62">
        <f t="shared" si="0"/>
        <v>663.37534293140402</v>
      </c>
      <c r="S32" s="62">
        <f ca="1">AVERAGE(OFFSET($R$3,0,0,'Données projet'!$E$9+1,1))-AVERAGE(OFFSET($H$3,0,0,'Données projet'!$E$9+1,1))</f>
        <v>210.566504119093</v>
      </c>
      <c r="T32" s="62">
        <f t="shared" si="34"/>
        <v>365.95065044620048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1.5825182100220518</v>
      </c>
      <c r="AA32" s="23">
        <f>EXP(-LN(2)/25)*AA31+(1-EXP(-LN(2)/25))/(LN(2)/25)*Calculateur!V32*Calculateur!X32*VLOOKUP('Données projet'!$B$9,Paramètres!$A$1:$I$89,3,0)*0.475*44/12</f>
        <v>0.99772028799068224</v>
      </c>
      <c r="AB32" s="23">
        <f>EXP(-LN(2)/2)*AB31+(1-EXP(-LN(2)/2))/(LN(2)/2)*V32*Y32*VLOOKUP('Données projet'!$B$9,Paramètres!$A$1:$I$89,3,0)*0.475*44/12</f>
        <v>0.34114272347702179</v>
      </c>
      <c r="AC32" s="24">
        <f t="shared" si="3"/>
        <v>2.9213812214897561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295.01137243247126</v>
      </c>
      <c r="AO32" s="62">
        <f t="shared" si="36"/>
        <v>221.9773436301067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16.666666666666668</v>
      </c>
      <c r="BD32" s="13">
        <f>IF('Données projet'!$A$88&gt;35,BD31+BC32-BL31,IF(A32&lt;'Données projet'!$A$88,$BA$205^A32,IF(A32='Données projet'!$A$88,'Données projet'!$B$88,BD31+BC32-BL31)))</f>
        <v>238.33333333333329</v>
      </c>
      <c r="BE32" s="14">
        <f>BD32*VLOOKUP('Données projet'!$B$11,Paramètres!$A$1:$I$89,3,0)*VLOOKUP('Données projet'!$B$11,Paramètres!$A$1:$I$89,5,0)</f>
        <v>130.12999999999997</v>
      </c>
      <c r="BF32" s="14">
        <f t="shared" si="37"/>
        <v>34.026396767825609</v>
      </c>
      <c r="BG32" s="22">
        <f t="shared" si="7"/>
        <v>285.90572437062957</v>
      </c>
      <c r="BH32" s="62">
        <f t="shared" si="8"/>
        <v>579.23905770396289</v>
      </c>
      <c r="BI32" s="62">
        <f ca="1">AVERAGE(OFFSET($BH$3,0,0,'Données projet'!$E$11+1,1))-AVERAGE(OFFSET($H$3,0,0,'Données projet'!$E$11+1,1))</f>
        <v>159.92263609041913</v>
      </c>
      <c r="BJ32" s="62">
        <f t="shared" si="38"/>
        <v>271.78119133009307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9.9190140450928066</v>
      </c>
      <c r="BQ32" s="23">
        <f>EXP(-LN(2)/25)*BQ31+(1-EXP(-LN(2)/25))/(LN(2)/25)*Calculateur!BL32*Calculateur!BN32*VLOOKUP('Données projet'!$B$11,Paramètres!$A$1:$I$89,3,0)*0.475*44/12</f>
        <v>12.983688456444382</v>
      </c>
      <c r="BR32" s="23">
        <f>EXP(-LN(2)/2)*BR31+(1-EXP(-LN(2)/2))/(LN(2)/2)*BL32*BO32*VLOOKUP('Données projet'!$B$11,Paramètres!$A$1:$I$89,3,0)*0.475*44/12</f>
        <v>1.5360094841253131</v>
      </c>
      <c r="BS32" s="24">
        <f t="shared" si="9"/>
        <v>24.438711985662501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328</v>
      </c>
      <c r="L33" s="13">
        <f>VLOOKUP(A33,'Données projet'!$A$35:$I$55,9,0)</f>
        <v>24.8</v>
      </c>
      <c r="M33" s="13">
        <f t="array" ref="M33">INDEX(L:L,MIN(IF(ISNUMBER(L33:L229),ROW(L33:L229),"")))</f>
        <v>24.8</v>
      </c>
      <c r="N33" s="14">
        <f>IF('Données projet'!$A$36&gt;35,N32+M33-V32,IF(A33&lt;'Données projet'!$A$36,$K$205^A33,IF(A33='Données projet'!$A$36,'Données projet'!$B$36,N32+M33-V32)))</f>
        <v>328.00000000000006</v>
      </c>
      <c r="O33" s="14">
        <f>N33*VLOOKUP('Données projet'!$B$9,Paramètres!$A$1:$I$89,3,0)*VLOOKUP('Données projet'!$B$9,Paramètres!$A$1:$I$89,5,0)</f>
        <v>183.35200000000003</v>
      </c>
      <c r="P33" s="14">
        <f t="shared" si="33"/>
        <v>46.06714169356475</v>
      </c>
      <c r="Q33" s="22">
        <f t="shared" si="2"/>
        <v>399.57167178295862</v>
      </c>
      <c r="R33" s="62">
        <f t="shared" si="0"/>
        <v>692.90500511629193</v>
      </c>
      <c r="S33" s="62">
        <f ca="1">AVERAGE(OFFSET($R$3,0,0,'Données projet'!$E$9+1,1))-AVERAGE(OFFSET($H$3,0,0,'Données projet'!$E$9+1,1))</f>
        <v>210.566504119093</v>
      </c>
      <c r="T33" s="62">
        <f t="shared" si="34"/>
        <v>365.95065044620048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42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0.10780000000000001</v>
      </c>
      <c r="Y33" s="17">
        <f>IF(ISNA(VLOOKUP(A33,'Données projet'!$A$35:$I$55,7,0)),0%,VLOOKUP(A33,'Données projet'!$A$35:$I$55,7,0))</f>
        <v>0.154</v>
      </c>
      <c r="Z33" s="23">
        <f>EXP(-LN(2)/35)*Z32+(1-EXP(-LN(2)/35))/(LN(2)/35)*V33*W33*VLOOKUP('Données projet'!$B$9,Paramètres!$A$1:$I$89,3,0)*0.475*44/12</f>
        <v>8.4034036558224141</v>
      </c>
      <c r="AA33" s="23">
        <f>EXP(-LN(2)/25)*AA32+(1-EXP(-LN(2)/25))/(LN(2)/25)*Calculateur!V33*Calculateur!X33*VLOOKUP('Données projet'!$B$9,Paramètres!$A$1:$I$89,3,0)*0.475*44/12</f>
        <v>4.3146577097448473</v>
      </c>
      <c r="AB33" s="23">
        <f>EXP(-LN(2)/2)*AB32+(1-EXP(-LN(2)/2))/(LN(2)/2)*V33*Y33*VLOOKUP('Données projet'!$B$9,Paramètres!$A$1:$I$89,3,0)*0.475*44/12</f>
        <v>4.3349370148473092</v>
      </c>
      <c r="AC33" s="24">
        <f t="shared" si="3"/>
        <v>17.052998380414571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295.01137243247126</v>
      </c>
      <c r="AO33" s="62">
        <f t="shared" si="36"/>
        <v>221.9773436301067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0.13500000000000001</v>
      </c>
      <c r="AS33" s="17">
        <f>IF(ISNA(VLOOKUP(A33,'Données projet'!$A$61:$I$81,6,0)),0%,VLOOKUP(A33,'Données projet'!$A$61:$I$81,6,0)*VLOOKUP('Données projet'!$B$10,Paramètres!$A$1:$I$89,7,0))</f>
        <v>9.0000000000000011E-2</v>
      </c>
      <c r="AT33" s="17">
        <f>IF(ISNA(VLOOKUP(A33,'Données projet'!$A$61:$I$81,7,0)),0%,VLOOKUP(A33,'Données projet'!$A$61:$I$81,7,0))</f>
        <v>0.15</v>
      </c>
      <c r="AU33" s="23">
        <f>EXP(-LN(2)/35)*AU32+(1-EXP(-LN(2)/35))/(LN(2)/35)*AQ33*AR33*VLOOKUP('Données projet'!$B$10,Paramètres!$A$1:$I$89,3,0)*0.475*44/12</f>
        <v>3.6411806485795588</v>
      </c>
      <c r="AV33" s="23">
        <f>EXP(-LN(2)/25)*AV32+(1-EXP(-LN(2)/25))/(LN(2)/25)*Calculateur!AQ33*Calculateur!AS33*VLOOKUP('Données projet'!$B$10,Paramètres!$A$1:$I$89,3,0)*0.475*44/12</f>
        <v>2.4178959553116695</v>
      </c>
      <c r="AW33" s="23">
        <f>EXP(-LN(2)/2)*AW32+(1-EXP(-LN(2)/2))/(LN(2)/2)*AQ33*AT33*VLOOKUP('Données projet'!$B$10,Paramètres!$A$1:$I$89,3,0)*0.475*44/12</f>
        <v>3.4530820609962158</v>
      </c>
      <c r="AX33" s="23">
        <f t="shared" si="6"/>
        <v>9.5121586648874441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255</v>
      </c>
      <c r="BB33" s="13">
        <f>VLOOKUP(A33,'Données projet'!$A$87:$I$107,9,0)</f>
        <v>16.666666666666668</v>
      </c>
      <c r="BC33" s="13">
        <f t="array" ref="BC33">INDEX(BB:BB,MIN(IF(ISNUMBER(BB33:BB229),ROW(BB33:BB229),"")))</f>
        <v>16.666666666666668</v>
      </c>
      <c r="BD33" s="13">
        <f>IF('Données projet'!$A$88&gt;35,BD32+BC33-BL32,IF(A33&lt;'Données projet'!$A$88,$BA$205^A33,IF(A33='Données projet'!$A$88,'Données projet'!$B$88,BD32+BC33-BL32)))</f>
        <v>254.99999999999994</v>
      </c>
      <c r="BE33" s="14">
        <f>BD33*VLOOKUP('Données projet'!$B$11,Paramètres!$A$1:$I$89,3,0)*VLOOKUP('Données projet'!$B$11,Paramètres!$A$1:$I$89,5,0)</f>
        <v>139.22999999999996</v>
      </c>
      <c r="BF33" s="14">
        <f t="shared" si="37"/>
        <v>36.120552727378737</v>
      </c>
      <c r="BG33" s="22">
        <f t="shared" si="7"/>
        <v>305.4022126668512</v>
      </c>
      <c r="BH33" s="62">
        <f t="shared" si="8"/>
        <v>598.73554600018451</v>
      </c>
      <c r="BI33" s="62">
        <f ca="1">AVERAGE(OFFSET($BH$3,0,0,'Données projet'!$E$11+1,1))-AVERAGE(OFFSET($H$3,0,0,'Données projet'!$E$11+1,1))</f>
        <v>159.92263609041913</v>
      </c>
      <c r="BJ33" s="62">
        <f t="shared" si="38"/>
        <v>271.78119133009307</v>
      </c>
      <c r="BK33" s="16">
        <f>IF(ISNA(VLOOKUP(A33,'Données projet'!$A$87:$I$107,3,0)),0,VLOOKUP(A33,'Données projet'!$A$87:$I$107,3,0))</f>
        <v>5</v>
      </c>
      <c r="BL33" s="16">
        <f>IF(ISNA(VLOOKUP(A33,'Données projet'!$A$87:$I$107,4,0)),0,VLOOKUP(A33,'Données projet'!$A$87:$I$107,4,0))</f>
        <v>76</v>
      </c>
      <c r="BM33" s="17">
        <f>IF(ISNA(VLOOKUP(A33,'Données projet'!$A$87:$I$107,5,0)),0%,VLOOKUP(A33,'Données projet'!$A$87:$I$107,5,0)*VLOOKUP('Données projet'!$B$11,Paramètres!$A$1:$I$89,7,0))</f>
        <v>0.24</v>
      </c>
      <c r="BN33" s="17">
        <f>IF(ISNA(VLOOKUP(A33,'Données projet'!$A$87:$I$107,6,0)),0%,VLOOKUP(A33,'Données projet'!$A$87:$I$107,6,0)*VLOOKUP('Données projet'!$B$11,Paramètres!$A$1:$I$89,7,0))</f>
        <v>0.12</v>
      </c>
      <c r="BO33" s="17">
        <f>IF(ISNA(VLOOKUP(A33,'Données projet'!$A$87:$I$107,7,0)),0%,VLOOKUP(A33,'Données projet'!$A$87:$I$107,7,0))</f>
        <v>0.15</v>
      </c>
      <c r="BP33" s="23">
        <f>EXP(-LN(2)/35)*BP32+(1-EXP(-LN(2)/35))/(LN(2)/35)*BL33*BM33*VLOOKUP('Données projet'!$B$11,Paramètres!$A$1:$I$89,3,0)*0.475*44/12</f>
        <v>22.93581670397031</v>
      </c>
      <c r="BQ33" s="23">
        <f>EXP(-LN(2)/25)*BQ32+(1-EXP(-LN(2)/25))/(LN(2)/25)*Calculateur!BL33*Calculateur!BN33*VLOOKUP('Données projet'!$B$11,Paramètres!$A$1:$I$89,3,0)*0.475*44/12</f>
        <v>19.208294072287455</v>
      </c>
      <c r="BR33" s="23">
        <f>EXP(-LN(2)/2)*BR32+(1-EXP(-LN(2)/2))/(LN(2)/2)*BL33*BO33*VLOOKUP('Données projet'!$B$11,Paramètres!$A$1:$I$89,3,0)*0.475*44/12</f>
        <v>8.1335894349155922</v>
      </c>
      <c r="BS33" s="24">
        <f t="shared" si="9"/>
        <v>50.277700211173354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24.8</v>
      </c>
      <c r="N34" s="14">
        <f>IF('Données projet'!$A$36&gt;35,N33+M34-V33,IF(A34&lt;'Données projet'!$A$36,$K$205^A34,IF(A34='Données projet'!$A$36,'Données projet'!$B$36,N33+M34-V33)))</f>
        <v>310.80000000000007</v>
      </c>
      <c r="O34" s="14">
        <f>N34*VLOOKUP('Données projet'!$B$9,Paramètres!$A$1:$I$89,3,0)*VLOOKUP('Données projet'!$B$9,Paramètres!$A$1:$I$89,5,0)</f>
        <v>173.73720000000006</v>
      </c>
      <c r="P34" s="14">
        <f t="shared" si="33"/>
        <v>43.925969821948698</v>
      </c>
      <c r="Q34" s="22">
        <f t="shared" si="2"/>
        <v>379.09668743989408</v>
      </c>
      <c r="R34" s="62">
        <f t="shared" si="0"/>
        <v>672.4300207732274</v>
      </c>
      <c r="S34" s="62">
        <f ca="1">AVERAGE(OFFSET($R$3,0,0,'Données projet'!$E$9+1,1))-AVERAGE(OFFSET($H$3,0,0,'Données projet'!$E$9+1,1))</f>
        <v>210.566504119093</v>
      </c>
      <c r="T34" s="62">
        <f t="shared" si="34"/>
        <v>365.95065044620048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8.2386180357018581</v>
      </c>
      <c r="AA34" s="23">
        <f>EXP(-LN(2)/25)*AA33+(1-EXP(-LN(2)/25))/(LN(2)/25)*Calculateur!V34*Calculateur!X34*VLOOKUP('Données projet'!$B$9,Paramètres!$A$1:$I$89,3,0)*0.475*44/12</f>
        <v>4.1966731677738869</v>
      </c>
      <c r="AB34" s="23">
        <f>EXP(-LN(2)/2)*AB33+(1-EXP(-LN(2)/2))/(LN(2)/2)*V34*Y34*VLOOKUP('Données projet'!$B$9,Paramètres!$A$1:$I$89,3,0)*0.475*44/12</f>
        <v>3.065263359215102</v>
      </c>
      <c r="AC34" s="24">
        <f t="shared" si="3"/>
        <v>15.500554562690848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295.01137243247126</v>
      </c>
      <c r="AO34" s="62">
        <f t="shared" si="36"/>
        <v>221.9773436301067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3.5697793169618137</v>
      </c>
      <c r="AV34" s="23">
        <f>EXP(-LN(2)/25)*AV33+(1-EXP(-LN(2)/25))/(LN(2)/25)*Calculateur!AQ34*Calculateur!AS34*VLOOKUP('Données projet'!$B$10,Paramètres!$A$1:$I$89,3,0)*0.475*44/12</f>
        <v>2.3517784632620495</v>
      </c>
      <c r="AW34" s="23">
        <f>EXP(-LN(2)/2)*AW33+(1-EXP(-LN(2)/2))/(LN(2)/2)*AQ34*AT34*VLOOKUP('Données projet'!$B$10,Paramètres!$A$1:$I$89,3,0)*0.475*44/12</f>
        <v>2.4416977413240439</v>
      </c>
      <c r="AX34" s="23">
        <f t="shared" si="6"/>
        <v>8.3632555215479076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</v>
      </c>
      <c r="BD34" s="13">
        <f>IF('Données projet'!$A$88&gt;35,BD33+BC34-BL33,IF(A34&lt;'Données projet'!$A$88,$BA$205^A34,IF(A34='Données projet'!$A$88,'Données projet'!$B$88,BD33+BC34-BL33)))</f>
        <v>193.99999999999994</v>
      </c>
      <c r="BE34" s="14">
        <f>BD34*VLOOKUP('Données projet'!$B$11,Paramètres!$A$1:$I$89,3,0)*VLOOKUP('Données projet'!$B$11,Paramètres!$A$1:$I$89,5,0)</f>
        <v>105.92399999999998</v>
      </c>
      <c r="BF34" s="14">
        <f t="shared" si="37"/>
        <v>28.36854701055546</v>
      </c>
      <c r="BG34" s="22">
        <f t="shared" si="7"/>
        <v>233.89285271005073</v>
      </c>
      <c r="BH34" s="62">
        <f t="shared" si="8"/>
        <v>527.22618604338402</v>
      </c>
      <c r="BI34" s="62">
        <f ca="1">AVERAGE(OFFSET($BH$3,0,0,'Données projet'!$E$11+1,1))-AVERAGE(OFFSET($H$3,0,0,'Données projet'!$E$11+1,1))</f>
        <v>159.92263609041913</v>
      </c>
      <c r="BJ34" s="62">
        <f t="shared" si="38"/>
        <v>271.78119133009307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22.486059327872297</v>
      </c>
      <c r="BQ34" s="23">
        <f>EXP(-LN(2)/25)*BQ33+(1-EXP(-LN(2)/25))/(LN(2)/25)*Calculateur!BL34*Calculateur!BN34*VLOOKUP('Données projet'!$B$11,Paramètres!$A$1:$I$89,3,0)*0.475*44/12</f>
        <v>18.68304226076047</v>
      </c>
      <c r="BR34" s="23">
        <f>EXP(-LN(2)/2)*BR33+(1-EXP(-LN(2)/2))/(LN(2)/2)*BL34*BO34*VLOOKUP('Données projet'!$B$11,Paramètres!$A$1:$I$89,3,0)*0.475*44/12</f>
        <v>5.7513162448160751</v>
      </c>
      <c r="BS34" s="24">
        <f t="shared" si="9"/>
        <v>46.920417833448845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24.8</v>
      </c>
      <c r="N35" s="14">
        <f>IF('Données projet'!$A$36&gt;35,N34+M35-V34,IF(A35&lt;'Données projet'!$A$36,$K$205^A35,IF(A35='Données projet'!$A$36,'Données projet'!$B$36,N34+M35-V34)))</f>
        <v>335.60000000000008</v>
      </c>
      <c r="O35" s="14">
        <f>N35*VLOOKUP('Données projet'!$B$9,Paramètres!$A$1:$I$89,3,0)*VLOOKUP('Données projet'!$B$9,Paramètres!$A$1:$I$89,5,0)</f>
        <v>187.60040000000004</v>
      </c>
      <c r="P35" s="14">
        <f t="shared" si="33"/>
        <v>47.009043567098132</v>
      </c>
      <c r="Q35" s="22">
        <f t="shared" ref="Q35:Q66" si="53">(O35+P35)*0.475*44/12</f>
        <v>408.6114475460293</v>
      </c>
      <c r="R35" s="62">
        <f t="shared" si="0"/>
        <v>701.94478087936261</v>
      </c>
      <c r="S35" s="62">
        <f ca="1">AVERAGE(OFFSET($R$3,0,0,'Données projet'!$E$9+1,1))-AVERAGE(OFFSET($H$3,0,0,'Données projet'!$E$9+1,1))</f>
        <v>210.566504119093</v>
      </c>
      <c r="T35" s="62">
        <f t="shared" si="34"/>
        <v>365.95065044620048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8.0770637610825631</v>
      </c>
      <c r="AA35" s="23">
        <f>EXP(-LN(2)/25)*AA34+(1-EXP(-LN(2)/25))/(LN(2)/25)*Calculateur!V35*Calculateur!X35*VLOOKUP('Données projet'!$B$9,Paramètres!$A$1:$I$89,3,0)*0.475*44/12</f>
        <v>4.0819149193076596</v>
      </c>
      <c r="AB35" s="23">
        <f>EXP(-LN(2)/2)*AB34+(1-EXP(-LN(2)/2))/(LN(2)/2)*V35*Y35*VLOOKUP('Données projet'!$B$9,Paramètres!$A$1:$I$89,3,0)*0.475*44/12</f>
        <v>2.167468507423655</v>
      </c>
      <c r="AC35" s="24">
        <f t="shared" si="3"/>
        <v>14.326447187813878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295.01137243247126</v>
      </c>
      <c r="AO35" s="62">
        <f t="shared" si="36"/>
        <v>221.9773436301067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3.4997781219065804</v>
      </c>
      <c r="AV35" s="23">
        <f>EXP(-LN(2)/25)*AV34+(1-EXP(-LN(2)/25))/(LN(2)/25)*Calculateur!AQ35*Calculateur!AS35*VLOOKUP('Données projet'!$B$10,Paramètres!$A$1:$I$89,3,0)*0.475*44/12</f>
        <v>2.2874689575094944</v>
      </c>
      <c r="AW35" s="23">
        <f>EXP(-LN(2)/2)*AW34+(1-EXP(-LN(2)/2))/(LN(2)/2)*AQ35*AT35*VLOOKUP('Données projet'!$B$10,Paramètres!$A$1:$I$89,3,0)*0.475*44/12</f>
        <v>1.7265410304981081</v>
      </c>
      <c r="AX35" s="23">
        <f t="shared" si="6"/>
        <v>7.5137881099141826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15</v>
      </c>
      <c r="BD35" s="13">
        <f>IF('Données projet'!$A$88&gt;35,BD34+BC35-BL34,IF(A35&lt;'Données projet'!$A$88,$BA$205^A35,IF(A35='Données projet'!$A$88,'Données projet'!$B$88,BD34+BC35-BL34)))</f>
        <v>208.99999999999994</v>
      </c>
      <c r="BE35" s="14">
        <f>BD35*VLOOKUP('Données projet'!$B$11,Paramètres!$A$1:$I$89,3,0)*VLOOKUP('Données projet'!$B$11,Paramètres!$A$1:$I$89,5,0)</f>
        <v>114.11399999999996</v>
      </c>
      <c r="BF35" s="14">
        <f t="shared" si="37"/>
        <v>30.298194021728271</v>
      </c>
      <c r="BG35" s="22">
        <f t="shared" si="7"/>
        <v>251.5179045878433</v>
      </c>
      <c r="BH35" s="62">
        <f t="shared" si="8"/>
        <v>544.85123792117656</v>
      </c>
      <c r="BI35" s="62">
        <f ca="1">AVERAGE(OFFSET($BH$3,0,0,'Données projet'!$E$11+1,1))-AVERAGE(OFFSET($H$3,0,0,'Données projet'!$E$11+1,1))</f>
        <v>159.92263609041913</v>
      </c>
      <c r="BJ35" s="62">
        <f t="shared" si="38"/>
        <v>271.78119133009307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22.045121419594654</v>
      </c>
      <c r="BQ35" s="23">
        <f>EXP(-LN(2)/25)*BQ34+(1-EXP(-LN(2)/25))/(LN(2)/25)*Calculateur!BL35*Calculateur!BN35*VLOOKUP('Données projet'!$B$11,Paramètres!$A$1:$I$89,3,0)*0.475*44/12</f>
        <v>18.172153487641484</v>
      </c>
      <c r="BR35" s="23">
        <f>EXP(-LN(2)/2)*BR34+(1-EXP(-LN(2)/2))/(LN(2)/2)*BL35*BO35*VLOOKUP('Données projet'!$B$11,Paramètres!$A$1:$I$89,3,0)*0.475*44/12</f>
        <v>4.066794717457797</v>
      </c>
      <c r="BS35" s="24">
        <f t="shared" si="9"/>
        <v>44.284069624693934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24.8</v>
      </c>
      <c r="N36" s="14">
        <f>IF('Données projet'!$A$36&gt;35,N35+M36-V35,IF(A36&lt;'Données projet'!$A$36,$K$205^A36,IF(A36='Données projet'!$A$36,'Données projet'!$B$36,N35+M36-V35)))</f>
        <v>360.40000000000009</v>
      </c>
      <c r="O36" s="14">
        <f>N36*VLOOKUP('Données projet'!$B$9,Paramètres!$A$1:$I$89,3,0)*VLOOKUP('Données projet'!$B$9,Paramètres!$A$1:$I$89,5,0)</f>
        <v>201.46360000000004</v>
      </c>
      <c r="P36" s="14">
        <f t="shared" si="33"/>
        <v>50.065686082954073</v>
      </c>
      <c r="Q36" s="22">
        <f t="shared" si="53"/>
        <v>438.08017326114509</v>
      </c>
      <c r="R36" s="62">
        <f t="shared" si="0"/>
        <v>731.41350659447835</v>
      </c>
      <c r="S36" s="62">
        <f ca="1">AVERAGE(OFFSET($R$3,0,0,'Données projet'!$E$9+1,1))-AVERAGE(OFFSET($H$3,0,0,'Données projet'!$E$9+1,1))</f>
        <v>210.566504119093</v>
      </c>
      <c r="T36" s="62">
        <f t="shared" si="34"/>
        <v>365.95065044620048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7.9186774672501743</v>
      </c>
      <c r="AA36" s="23">
        <f>EXP(-LN(2)/25)*AA35+(1-EXP(-LN(2)/25))/(LN(2)/25)*Calculateur!V36*Calculateur!X36*VLOOKUP('Données projet'!$B$9,Paramètres!$A$1:$I$89,3,0)*0.475*44/12</f>
        <v>3.9702947411806155</v>
      </c>
      <c r="AB36" s="23">
        <f>EXP(-LN(2)/2)*AB35+(1-EXP(-LN(2)/2))/(LN(2)/2)*V36*Y36*VLOOKUP('Données projet'!$B$9,Paramètres!$A$1:$I$89,3,0)*0.475*44/12</f>
        <v>1.5326316796075512</v>
      </c>
      <c r="AC36" s="24">
        <f t="shared" si="3"/>
        <v>13.421603888038341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295.01137243247126</v>
      </c>
      <c r="AO36" s="62">
        <f t="shared" si="36"/>
        <v>221.9773436301067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3.4311496075898673</v>
      </c>
      <c r="AV36" s="23">
        <f>EXP(-LN(2)/25)*AV35+(1-EXP(-LN(2)/25))/(LN(2)/25)*Calculateur!AQ36*Calculateur!AS36*VLOOKUP('Données projet'!$B$10,Paramètres!$A$1:$I$89,3,0)*0.475*44/12</f>
        <v>2.2249179985736327</v>
      </c>
      <c r="AW36" s="23">
        <f>EXP(-LN(2)/2)*AW35+(1-EXP(-LN(2)/2))/(LN(2)/2)*AQ36*AT36*VLOOKUP('Données projet'!$B$10,Paramètres!$A$1:$I$89,3,0)*0.475*44/12</f>
        <v>1.2208488706620222</v>
      </c>
      <c r="AX36" s="23">
        <f t="shared" si="6"/>
        <v>6.8769164768255227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</v>
      </c>
      <c r="BD36" s="13">
        <f>IF('Données projet'!$A$88&gt;35,BD35+BC36-BL35,IF(A36&lt;'Données projet'!$A$88,$BA$205^A36,IF(A36='Données projet'!$A$88,'Données projet'!$B$88,BD35+BC36-BL35)))</f>
        <v>223.99999999999994</v>
      </c>
      <c r="BE36" s="14">
        <f>BD36*VLOOKUP('Données projet'!$B$11,Paramètres!$A$1:$I$89,3,0)*VLOOKUP('Données projet'!$B$11,Paramètres!$A$1:$I$89,5,0)</f>
        <v>122.30399999999996</v>
      </c>
      <c r="BF36" s="14">
        <f t="shared" si="37"/>
        <v>32.211773226559373</v>
      </c>
      <c r="BG36" s="22">
        <f t="shared" si="7"/>
        <v>269.11497170292415</v>
      </c>
      <c r="BH36" s="62">
        <f t="shared" si="8"/>
        <v>562.44830503625747</v>
      </c>
      <c r="BI36" s="62">
        <f ca="1">AVERAGE(OFFSET($BH$3,0,0,'Données projet'!$E$11+1,1))-AVERAGE(OFFSET($H$3,0,0,'Données projet'!$E$11+1,1))</f>
        <v>159.92263609041913</v>
      </c>
      <c r="BJ36" s="62">
        <f t="shared" si="38"/>
        <v>271.78119133009307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21.612830034752768</v>
      </c>
      <c r="BQ36" s="23">
        <f>EXP(-LN(2)/25)*BQ35+(1-EXP(-LN(2)/25))/(LN(2)/25)*Calculateur!BL36*Calculateur!BN36*VLOOKUP('Données projet'!$B$11,Paramètres!$A$1:$I$89,3,0)*0.475*44/12</f>
        <v>17.675234994889909</v>
      </c>
      <c r="BR36" s="23">
        <f>EXP(-LN(2)/2)*BR35+(1-EXP(-LN(2)/2))/(LN(2)/2)*BL36*BO36*VLOOKUP('Données projet'!$B$11,Paramètres!$A$1:$I$89,3,0)*0.475*44/12</f>
        <v>2.875658122408038</v>
      </c>
      <c r="BS36" s="24">
        <f t="shared" si="9"/>
        <v>42.163723152050721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24.8</v>
      </c>
      <c r="N37" s="14">
        <f>IF('Données projet'!$A$36&gt;35,N36+M37-V36,IF(A37&lt;'Données projet'!$A$36,$K$205^A37,IF(A37='Données projet'!$A$36,'Données projet'!$B$36,N36+M37-V36)))</f>
        <v>385.2000000000001</v>
      </c>
      <c r="O37" s="14">
        <f>N37*VLOOKUP('Données projet'!$B$9,Paramètres!$A$1:$I$89,3,0)*VLOOKUP('Données projet'!$B$9,Paramètres!$A$1:$I$89,5,0)</f>
        <v>215.32680000000008</v>
      </c>
      <c r="P37" s="14">
        <f t="shared" si="33"/>
        <v>53.097923071509783</v>
      </c>
      <c r="Q37" s="22">
        <f t="shared" si="53"/>
        <v>467.50639268287961</v>
      </c>
      <c r="R37" s="62">
        <f t="shared" si="0"/>
        <v>760.83972601621292</v>
      </c>
      <c r="S37" s="62">
        <f ca="1">AVERAGE(OFFSET($R$3,0,0,'Données projet'!$E$9+1,1))-AVERAGE(OFFSET($H$3,0,0,'Données projet'!$E$9+1,1))</f>
        <v>210.566504119093</v>
      </c>
      <c r="T37" s="62">
        <f t="shared" si="34"/>
        <v>365.95065044620048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7.7633970320337387</v>
      </c>
      <c r="AA37" s="23">
        <f>EXP(-LN(2)/25)*AA36+(1-EXP(-LN(2)/25))/(LN(2)/25)*Calculateur!V37*Calculateur!X37*VLOOKUP('Données projet'!$B$9,Paramètres!$A$1:$I$89,3,0)*0.475*44/12</f>
        <v>3.8617268226943056</v>
      </c>
      <c r="AB37" s="23">
        <f>EXP(-LN(2)/2)*AB36+(1-EXP(-LN(2)/2))/(LN(2)/2)*V37*Y37*VLOOKUP('Données projet'!$B$9,Paramètres!$A$1:$I$89,3,0)*0.475*44/12</f>
        <v>1.0837342537118275</v>
      </c>
      <c r="AC37" s="24">
        <f t="shared" si="3"/>
        <v>12.708858108439873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295.01137243247126</v>
      </c>
      <c r="AO37" s="62">
        <f t="shared" si="36"/>
        <v>221.9773436301067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3.3638668565796443</v>
      </c>
      <c r="AV37" s="23">
        <f>EXP(-LN(2)/25)*AV36+(1-EXP(-LN(2)/25))/(LN(2)/25)*Calculateur!AQ37*Calculateur!AS37*VLOOKUP('Données projet'!$B$10,Paramètres!$A$1:$I$89,3,0)*0.475*44/12</f>
        <v>2.1640774988992844</v>
      </c>
      <c r="AW37" s="23">
        <f>EXP(-LN(2)/2)*AW36+(1-EXP(-LN(2)/2))/(LN(2)/2)*AQ37*AT37*VLOOKUP('Données projet'!$B$10,Paramètres!$A$1:$I$89,3,0)*0.475*44/12</f>
        <v>0.86327051524905429</v>
      </c>
      <c r="AX37" s="23">
        <f t="shared" si="6"/>
        <v>6.3912148707279828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15</v>
      </c>
      <c r="BD37" s="13">
        <f>IF('Données projet'!$A$88&gt;35,BD36+BC37-BL36,IF(A37&lt;'Données projet'!$A$88,$BA$205^A37,IF(A37='Données projet'!$A$88,'Données projet'!$B$88,BD36+BC37-BL36)))</f>
        <v>238.99999999999994</v>
      </c>
      <c r="BE37" s="14">
        <f>BD37*VLOOKUP('Données projet'!$B$11,Paramètres!$A$1:$I$89,3,0)*VLOOKUP('Données projet'!$B$11,Paramètres!$A$1:$I$89,5,0)</f>
        <v>130.49399999999997</v>
      </c>
      <c r="BF37" s="14">
        <f t="shared" si="37"/>
        <v>34.110483018610772</v>
      </c>
      <c r="BG37" s="22">
        <f t="shared" si="7"/>
        <v>286.68614125741368</v>
      </c>
      <c r="BH37" s="62">
        <f t="shared" si="8"/>
        <v>580.019474590747</v>
      </c>
      <c r="BI37" s="62">
        <f ca="1">AVERAGE(OFFSET($BH$3,0,0,'Données projet'!$E$11+1,1))-AVERAGE(OFFSET($H$3,0,0,'Données projet'!$E$11+1,1))</f>
        <v>159.92263609041913</v>
      </c>
      <c r="BJ37" s="62">
        <f t="shared" si="38"/>
        <v>271.78119133009307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21.189015620295923</v>
      </c>
      <c r="BQ37" s="23">
        <f>EXP(-LN(2)/25)*BQ36+(1-EXP(-LN(2)/25))/(LN(2)/25)*Calculateur!BL37*Calculateur!BN37*VLOOKUP('Données projet'!$B$11,Paramètres!$A$1:$I$89,3,0)*0.475*44/12</f>
        <v>17.191904764454431</v>
      </c>
      <c r="BR37" s="23">
        <f>EXP(-LN(2)/2)*BR36+(1-EXP(-LN(2)/2))/(LN(2)/2)*BL37*BO37*VLOOKUP('Données projet'!$B$11,Paramètres!$A$1:$I$89,3,0)*0.475*44/12</f>
        <v>2.0333973587288989</v>
      </c>
      <c r="BS37" s="24">
        <f t="shared" si="9"/>
        <v>40.414317743479252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410</v>
      </c>
      <c r="L38" s="13">
        <f>VLOOKUP(A38,'Données projet'!$A$35:$I$55,9,0)</f>
        <v>24.8</v>
      </c>
      <c r="M38" s="13">
        <f t="array" ref="M38">INDEX(L:L,MIN(IF(ISNUMBER(L38:L234),ROW(L38:L234),"")))</f>
        <v>24.8</v>
      </c>
      <c r="N38" s="14">
        <f>IF('Données projet'!$A$36&gt;35,N37+M38-V37,IF(A38&lt;'Données projet'!$A$36,$K$205^A38,IF(A38='Données projet'!$A$36,'Données projet'!$B$36,N37+M38-V37)))</f>
        <v>410.00000000000011</v>
      </c>
      <c r="O38" s="14">
        <f>N38*VLOOKUP('Données projet'!$B$9,Paramètres!$A$1:$I$89,3,0)*VLOOKUP('Données projet'!$B$9,Paramètres!$A$1:$I$89,5,0)</f>
        <v>229.19000000000005</v>
      </c>
      <c r="P38" s="14">
        <f t="shared" si="33"/>
        <v>56.107504648403449</v>
      </c>
      <c r="Q38" s="22">
        <f t="shared" si="53"/>
        <v>496.89315392930274</v>
      </c>
      <c r="R38" s="62">
        <f t="shared" si="0"/>
        <v>790.22648726263606</v>
      </c>
      <c r="S38" s="62">
        <f ca="1">AVERAGE(OFFSET($R$3,0,0,'Données projet'!$E$9+1,1))-AVERAGE(OFFSET($H$3,0,0,'Données projet'!$E$9+1,1))</f>
        <v>210.566504119093</v>
      </c>
      <c r="T38" s="62">
        <f t="shared" si="34"/>
        <v>365.95065044620048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49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7.6111615514401842</v>
      </c>
      <c r="AA38" s="23">
        <f>EXP(-LN(2)/25)*AA37+(1-EXP(-LN(2)/25))/(LN(2)/25)*Calculateur!V38*Calculateur!X38*VLOOKUP('Données projet'!$B$9,Paramètres!$A$1:$I$89,3,0)*0.475*44/12</f>
        <v>3.7561276996483421</v>
      </c>
      <c r="AB38" s="23">
        <f>EXP(-LN(2)/2)*AB37+(1-EXP(-LN(2)/2))/(LN(2)/2)*V38*Y38*VLOOKUP('Données projet'!$B$9,Paramètres!$A$1:$I$89,3,0)*0.475*44/12</f>
        <v>0.7663158398037756</v>
      </c>
      <c r="AC38" s="24">
        <f t="shared" si="3"/>
        <v>12.133605090892301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295.01137243247126</v>
      </c>
      <c r="AO38" s="62">
        <f t="shared" si="36"/>
        <v>221.9773436301067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3.2979034792783057</v>
      </c>
      <c r="AV38" s="23">
        <f>EXP(-LN(2)/25)*AV37+(1-EXP(-LN(2)/25))/(LN(2)/25)*Calculateur!AQ38*Calculateur!AS38*VLOOKUP('Données projet'!$B$10,Paramètres!$A$1:$I$89,3,0)*0.475*44/12</f>
        <v>2.1049006858879937</v>
      </c>
      <c r="AW38" s="23">
        <f>EXP(-LN(2)/2)*AW37+(1-EXP(-LN(2)/2))/(LN(2)/2)*AQ38*AT38*VLOOKUP('Données projet'!$B$10,Paramètres!$A$1:$I$89,3,0)*0.475*44/12</f>
        <v>0.61042443533101121</v>
      </c>
      <c r="AX38" s="23">
        <f t="shared" si="6"/>
        <v>6.0132286004973112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15</v>
      </c>
      <c r="BD38" s="13">
        <f>IF('Données projet'!$A$88&gt;35,BD37+BC38-BL37,IF(A38&lt;'Données projet'!$A$88,$BA$205^A38,IF(A38='Données projet'!$A$88,'Données projet'!$B$88,BD37+BC38-BL37)))</f>
        <v>253.99999999999994</v>
      </c>
      <c r="BE38" s="14">
        <f>BD38*VLOOKUP('Données projet'!$B$11,Paramètres!$A$1:$I$89,3,0)*VLOOKUP('Données projet'!$B$11,Paramètres!$A$1:$I$89,5,0)</f>
        <v>138.68399999999997</v>
      </c>
      <c r="BF38" s="14">
        <f t="shared" si="37"/>
        <v>35.995362862956796</v>
      </c>
      <c r="BG38" s="22">
        <f t="shared" si="7"/>
        <v>304.23322365298299</v>
      </c>
      <c r="BH38" s="62">
        <f t="shared" si="8"/>
        <v>597.5665569863163</v>
      </c>
      <c r="BI38" s="62">
        <f ca="1">AVERAGE(OFFSET($BH$3,0,0,'Données projet'!$E$11+1,1))-AVERAGE(OFFSET($H$3,0,0,'Données projet'!$E$11+1,1))</f>
        <v>159.92263609041913</v>
      </c>
      <c r="BJ38" s="62">
        <f t="shared" si="38"/>
        <v>271.78119133009307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20.773511948005307</v>
      </c>
      <c r="BQ38" s="23">
        <f>EXP(-LN(2)/25)*BQ37+(1-EXP(-LN(2)/25))/(LN(2)/25)*Calculateur!BL38*Calculateur!BN38*VLOOKUP('Données projet'!$B$11,Paramètres!$A$1:$I$89,3,0)*0.475*44/12</f>
        <v>16.721791224587445</v>
      </c>
      <c r="BR38" s="23">
        <f>EXP(-LN(2)/2)*BR37+(1-EXP(-LN(2)/2))/(LN(2)/2)*BL38*BO38*VLOOKUP('Données projet'!$B$11,Paramètres!$A$1:$I$89,3,0)*0.475*44/12</f>
        <v>1.4378290612040192</v>
      </c>
      <c r="BS38" s="24">
        <f t="shared" si="9"/>
        <v>38.933132233796776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24</v>
      </c>
      <c r="N39" s="14">
        <f>IF('Données projet'!$A$36&gt;35,N38+M39-V38,IF(A39&lt;'Données projet'!$A$36,$K$205^A39,IF(A39='Données projet'!$A$36,'Données projet'!$B$36,N38+M39-V38)))</f>
        <v>385.00000000000011</v>
      </c>
      <c r="O39" s="14">
        <f>N39*VLOOKUP('Données projet'!$B$9,Paramètres!$A$1:$I$89,3,0)*VLOOKUP('Données projet'!$B$9,Paramètres!$A$1:$I$89,5,0)</f>
        <v>215.21500000000006</v>
      </c>
      <c r="P39" s="14">
        <f t="shared" si="33"/>
        <v>53.07356235351866</v>
      </c>
      <c r="Q39" s="22">
        <f t="shared" si="53"/>
        <v>467.26924609904512</v>
      </c>
      <c r="R39" s="62">
        <f t="shared" si="0"/>
        <v>760.60257943237843</v>
      </c>
      <c r="S39" s="62">
        <f ca="1">AVERAGE(OFFSET($R$3,0,0,'Données projet'!$E$9+1,1))-AVERAGE(OFFSET($H$3,0,0,'Données projet'!$E$9+1,1))</f>
        <v>210.566504119093</v>
      </c>
      <c r="T39" s="62">
        <f t="shared" si="34"/>
        <v>365.95065044620048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7.4619113157665948</v>
      </c>
      <c r="AA39" s="23">
        <f>EXP(-LN(2)/25)*AA38+(1-EXP(-LN(2)/25))/(LN(2)/25)*Calculateur!V39*Calculateur!X39*VLOOKUP('Données projet'!$B$9,Paramètres!$A$1:$I$89,3,0)*0.475*44/12</f>
        <v>3.6534161901752871</v>
      </c>
      <c r="AB39" s="23">
        <f>EXP(-LN(2)/2)*AB38+(1-EXP(-LN(2)/2))/(LN(2)/2)*V39*Y39*VLOOKUP('Données projet'!$B$9,Paramètres!$A$1:$I$89,3,0)*0.475*44/12</f>
        <v>0.54186712685591376</v>
      </c>
      <c r="AC39" s="24">
        <f t="shared" si="3"/>
        <v>11.657194632797795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295.01137243247126</v>
      </c>
      <c r="AO39" s="62">
        <f t="shared" si="36"/>
        <v>221.9773436301067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3.2332336035721592</v>
      </c>
      <c r="AV39" s="23">
        <f>EXP(-LN(2)/25)*AV38+(1-EXP(-LN(2)/25))/(LN(2)/25)*Calculateur!AQ39*Calculateur!AS39*VLOOKUP('Données projet'!$B$10,Paramètres!$A$1:$I$89,3,0)*0.475*44/12</f>
        <v>2.0473420659404704</v>
      </c>
      <c r="AW39" s="23">
        <f>EXP(-LN(2)/2)*AW38+(1-EXP(-LN(2)/2))/(LN(2)/2)*AQ39*AT39*VLOOKUP('Données projet'!$B$10,Paramètres!$A$1:$I$89,3,0)*0.475*44/12</f>
        <v>0.4316352576245272</v>
      </c>
      <c r="AX39" s="23">
        <f t="shared" si="6"/>
        <v>5.7122109271371562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269</v>
      </c>
      <c r="BB39" s="13">
        <f>VLOOKUP(A39,'Données projet'!$A$87:$I$107,9,0)</f>
        <v>15</v>
      </c>
      <c r="BC39" s="13">
        <f t="array" ref="BC39">INDEX(BB:BB,MIN(IF(ISNUMBER(BB39:BB235),ROW(BB39:BB235),"")))</f>
        <v>15</v>
      </c>
      <c r="BD39" s="13">
        <f>IF('Données projet'!$A$88&gt;35,BD38+BC39-BL38,IF(A39&lt;'Données projet'!$A$88,$BA$205^A39,IF(A39='Données projet'!$A$88,'Données projet'!$B$88,BD38+BC39-BL38)))</f>
        <v>268.99999999999994</v>
      </c>
      <c r="BE39" s="14">
        <f>BD39*VLOOKUP('Données projet'!$B$11,Paramètres!$A$1:$I$89,3,0)*VLOOKUP('Données projet'!$B$11,Paramètres!$A$1:$I$89,5,0)</f>
        <v>146.87399999999997</v>
      </c>
      <c r="BF39" s="14">
        <f t="shared" si="37"/>
        <v>37.867322517591383</v>
      </c>
      <c r="BG39" s="22">
        <f t="shared" si="7"/>
        <v>321.75780338480496</v>
      </c>
      <c r="BH39" s="62">
        <f t="shared" si="8"/>
        <v>615.09113671813827</v>
      </c>
      <c r="BI39" s="62">
        <f ca="1">AVERAGE(OFFSET($BH$3,0,0,'Données projet'!$E$11+1,1))-AVERAGE(OFFSET($H$3,0,0,'Données projet'!$E$11+1,1))</f>
        <v>159.92263609041913</v>
      </c>
      <c r="BJ39" s="62">
        <f t="shared" si="38"/>
        <v>271.78119133009307</v>
      </c>
      <c r="BK39" s="16">
        <f>IF(ISNA(VLOOKUP(A39,'Données projet'!$A$87:$I$107,3,0)),0,VLOOKUP(A39,'Données projet'!$A$87:$I$107,3,0))</f>
        <v>6</v>
      </c>
      <c r="BL39" s="16">
        <f>IF(ISNA(VLOOKUP(A39,'Données projet'!$A$87:$I$107,4,0)),0,VLOOKUP(A39,'Données projet'!$A$87:$I$107,4,0))</f>
        <v>75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20.366156049296094</v>
      </c>
      <c r="BQ39" s="23">
        <f>EXP(-LN(2)/25)*BQ38+(1-EXP(-LN(2)/25))/(LN(2)/25)*Calculateur!BL39*Calculateur!BN39*VLOOKUP('Données projet'!$B$11,Paramètres!$A$1:$I$89,3,0)*0.475*44/12</f>
        <v>16.26453296419032</v>
      </c>
      <c r="BR39" s="23">
        <f>EXP(-LN(2)/2)*BR38+(1-EXP(-LN(2)/2))/(LN(2)/2)*BL39*BO39*VLOOKUP('Données projet'!$B$11,Paramètres!$A$1:$I$89,3,0)*0.475*44/12</f>
        <v>1.0166986793644495</v>
      </c>
      <c r="BS39" s="24">
        <f t="shared" si="9"/>
        <v>37.64738769285087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24</v>
      </c>
      <c r="N40" s="14">
        <f>IF('Données projet'!$A$36&gt;35,N39+M40-V39,IF(A40&lt;'Données projet'!$A$36,$K$205^A40,IF(A40='Données projet'!$A$36,'Données projet'!$B$36,N39+M40-V39)))</f>
        <v>409.00000000000011</v>
      </c>
      <c r="O40" s="14">
        <f>N40*VLOOKUP('Données projet'!$B$9,Paramètres!$A$1:$I$89,3,0)*VLOOKUP('Données projet'!$B$9,Paramètres!$A$1:$I$89,5,0)</f>
        <v>228.63100000000006</v>
      </c>
      <c r="P40" s="14">
        <f t="shared" si="33"/>
        <v>55.986568953377507</v>
      </c>
      <c r="Q40" s="22">
        <f t="shared" si="53"/>
        <v>495.70893259379926</v>
      </c>
      <c r="R40" s="62">
        <f t="shared" si="0"/>
        <v>789.04226592713258</v>
      </c>
      <c r="S40" s="62">
        <f ca="1">AVERAGE(OFFSET($R$3,0,0,'Données projet'!$E$9+1,1))-AVERAGE(OFFSET($H$3,0,0,'Données projet'!$E$9+1,1))</f>
        <v>210.566504119093</v>
      </c>
      <c r="T40" s="62">
        <f t="shared" si="34"/>
        <v>365.95065044620048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7.3155877861809095</v>
      </c>
      <c r="AA40" s="23">
        <f>EXP(-LN(2)/25)*AA39+(1-EXP(-LN(2)/25))/(LN(2)/25)*Calculateur!V40*Calculateur!X40*VLOOKUP('Données projet'!$B$9,Paramètres!$A$1:$I$89,3,0)*0.475*44/12</f>
        <v>3.5535133323301364</v>
      </c>
      <c r="AB40" s="23">
        <f>EXP(-LN(2)/2)*AB39+(1-EXP(-LN(2)/2))/(LN(2)/2)*V40*Y40*VLOOKUP('Données projet'!$B$9,Paramètres!$A$1:$I$89,3,0)*0.475*44/12</f>
        <v>0.3831579199018878</v>
      </c>
      <c r="AC40" s="24">
        <f t="shared" si="3"/>
        <v>11.252259038412936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295.01137243247126</v>
      </c>
      <c r="AO40" s="62">
        <f t="shared" si="36"/>
        <v>221.9773436301067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3.1698318646838808</v>
      </c>
      <c r="AV40" s="23">
        <f>EXP(-LN(2)/25)*AV39+(1-EXP(-LN(2)/25))/(LN(2)/25)*Calculateur!AQ40*Calculateur!AS40*VLOOKUP('Données projet'!$B$10,Paramètres!$A$1:$I$89,3,0)*0.475*44/12</f>
        <v>1.9913573894822882</v>
      </c>
      <c r="AW40" s="23">
        <f>EXP(-LN(2)/2)*AW39+(1-EXP(-LN(2)/2))/(LN(2)/2)*AQ40*AT40*VLOOKUP('Données projet'!$B$10,Paramètres!$A$1:$I$89,3,0)*0.475*44/12</f>
        <v>0.30521221766550566</v>
      </c>
      <c r="AX40" s="23">
        <f t="shared" si="6"/>
        <v>5.4664014718316754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14</v>
      </c>
      <c r="BD40" s="13">
        <f>IF('Données projet'!$A$88&gt;35,BD39+BC40-BL39,IF(A40&lt;'Données projet'!$A$88,$BA$205^A40,IF(A40='Données projet'!$A$88,'Données projet'!$B$88,BD39+BC40-BL39)))</f>
        <v>207.99999999999994</v>
      </c>
      <c r="BE40" s="14">
        <f>BD40*VLOOKUP('Données projet'!$B$11,Paramètres!$A$1:$I$89,3,0)*VLOOKUP('Données projet'!$B$11,Paramètres!$A$1:$I$89,5,0)</f>
        <v>113.56799999999997</v>
      </c>
      <c r="BF40" s="14">
        <f t="shared" si="37"/>
        <v>30.170065062058185</v>
      </c>
      <c r="BG40" s="22">
        <f t="shared" si="7"/>
        <v>250.34379664975128</v>
      </c>
      <c r="BH40" s="62">
        <f t="shared" si="8"/>
        <v>543.67712998308457</v>
      </c>
      <c r="BI40" s="62">
        <f ca="1">AVERAGE(OFFSET($BH$3,0,0,'Données projet'!$E$11+1,1))-AVERAGE(OFFSET($H$3,0,0,'Données projet'!$E$11+1,1))</f>
        <v>159.92263609041913</v>
      </c>
      <c r="BJ40" s="62">
        <f t="shared" si="38"/>
        <v>271.78119133009307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19.966788151298005</v>
      </c>
      <c r="BQ40" s="23">
        <f>EXP(-LN(2)/25)*BQ39+(1-EXP(-LN(2)/25))/(LN(2)/25)*Calculateur!BL40*Calculateur!BN40*VLOOKUP('Données projet'!$B$11,Paramètres!$A$1:$I$89,3,0)*0.475*44/12</f>
        <v>15.819778454969919</v>
      </c>
      <c r="BR40" s="23">
        <f>EXP(-LN(2)/2)*BR39+(1-EXP(-LN(2)/2))/(LN(2)/2)*BL40*BO40*VLOOKUP('Données projet'!$B$11,Paramètres!$A$1:$I$89,3,0)*0.475*44/12</f>
        <v>0.7189145306020096</v>
      </c>
      <c r="BS40" s="24">
        <f t="shared" si="9"/>
        <v>36.505481136869932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24</v>
      </c>
      <c r="N41" s="14">
        <f>IF('Données projet'!$A$36&gt;35,N40+M41-V40,IF(A41&lt;'Données projet'!$A$36,$K$205^A41,IF(A41='Données projet'!$A$36,'Données projet'!$B$36,N40+M41-V40)))</f>
        <v>433.00000000000011</v>
      </c>
      <c r="O41" s="14">
        <f>N41*VLOOKUP('Données projet'!$B$9,Paramètres!$A$1:$I$89,3,0)*VLOOKUP('Données projet'!$B$9,Paramètres!$A$1:$I$89,5,0)</f>
        <v>242.04700000000008</v>
      </c>
      <c r="P41" s="14">
        <f t="shared" si="33"/>
        <v>58.879734570359574</v>
      </c>
      <c r="Q41" s="22">
        <f t="shared" si="53"/>
        <v>524.11406271004307</v>
      </c>
      <c r="R41" s="62">
        <f t="shared" si="0"/>
        <v>817.44739604337633</v>
      </c>
      <c r="S41" s="62">
        <f ca="1">AVERAGE(OFFSET($R$3,0,0,'Données projet'!$E$9+1,1))-AVERAGE(OFFSET($H$3,0,0,'Données projet'!$E$9+1,1))</f>
        <v>210.566504119093</v>
      </c>
      <c r="T41" s="62">
        <f t="shared" si="34"/>
        <v>365.95065044620048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7.1721335717618588</v>
      </c>
      <c r="AA41" s="23">
        <f>EXP(-LN(2)/25)*AA40+(1-EXP(-LN(2)/25))/(LN(2)/25)*Calculateur!V41*Calculateur!X41*VLOOKUP('Données projet'!$B$9,Paramètres!$A$1:$I$89,3,0)*0.475*44/12</f>
        <v>3.4563423233864246</v>
      </c>
      <c r="AB41" s="23">
        <f>EXP(-LN(2)/2)*AB40+(1-EXP(-LN(2)/2))/(LN(2)/2)*V41*Y41*VLOOKUP('Données projet'!$B$9,Paramètres!$A$1:$I$89,3,0)*0.475*44/12</f>
        <v>0.27093356342795688</v>
      </c>
      <c r="AC41" s="24">
        <f t="shared" si="3"/>
        <v>10.89940945857624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295.01137243247126</v>
      </c>
      <c r="AO41" s="62">
        <f t="shared" si="36"/>
        <v>221.9773436301067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3.1076733952239595</v>
      </c>
      <c r="AV41" s="23">
        <f>EXP(-LN(2)/25)*AV40+(1-EXP(-LN(2)/25))/(LN(2)/25)*Calculateur!AQ41*Calculateur!AS41*VLOOKUP('Données projet'!$B$10,Paramètres!$A$1:$I$89,3,0)*0.475*44/12</f>
        <v>1.9369036169459612</v>
      </c>
      <c r="AW41" s="23">
        <f>EXP(-LN(2)/2)*AW40+(1-EXP(-LN(2)/2))/(LN(2)/2)*AQ41*AT41*VLOOKUP('Données projet'!$B$10,Paramètres!$A$1:$I$89,3,0)*0.475*44/12</f>
        <v>0.21581762881226363</v>
      </c>
      <c r="AX41" s="23">
        <f t="shared" si="6"/>
        <v>5.2603946409821845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14</v>
      </c>
      <c r="BD41" s="13">
        <f>IF('Données projet'!$A$88&gt;35,BD40+BC41-BL40,IF(A41&lt;'Données projet'!$A$88,$BA$205^A41,IF(A41='Données projet'!$A$88,'Données projet'!$B$88,BD40+BC41-BL40)))</f>
        <v>221.99999999999994</v>
      </c>
      <c r="BE41" s="14">
        <f>BD41*VLOOKUP('Données projet'!$B$11,Paramètres!$A$1:$I$89,3,0)*VLOOKUP('Données projet'!$B$11,Paramètres!$A$1:$I$89,5,0)</f>
        <v>121.21199999999996</v>
      </c>
      <c r="BF41" s="14">
        <f t="shared" si="37"/>
        <v>31.95751284761706</v>
      </c>
      <c r="BG41" s="22">
        <f t="shared" si="7"/>
        <v>266.77023487626633</v>
      </c>
      <c r="BH41" s="62">
        <f t="shared" si="8"/>
        <v>560.10356820959964</v>
      </c>
      <c r="BI41" s="62">
        <f ca="1">AVERAGE(OFFSET($BH$3,0,0,'Données projet'!$E$11+1,1))-AVERAGE(OFFSET($H$3,0,0,'Données projet'!$E$11+1,1))</f>
        <v>159.92263609041913</v>
      </c>
      <c r="BJ41" s="62">
        <f t="shared" si="38"/>
        <v>271.78119133009307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19.575251614189291</v>
      </c>
      <c r="BQ41" s="23">
        <f>EXP(-LN(2)/25)*BQ40+(1-EXP(-LN(2)/25))/(LN(2)/25)*Calculateur!BL41*Calculateur!BN41*VLOOKUP('Données projet'!$B$11,Paramètres!$A$1:$I$89,3,0)*0.475*44/12</f>
        <v>15.387185781192775</v>
      </c>
      <c r="BR41" s="23">
        <f>EXP(-LN(2)/2)*BR40+(1-EXP(-LN(2)/2))/(LN(2)/2)*BL41*BO41*VLOOKUP('Données projet'!$B$11,Paramètres!$A$1:$I$89,3,0)*0.475*44/12</f>
        <v>0.50834933968222473</v>
      </c>
      <c r="BS41" s="24">
        <f t="shared" si="9"/>
        <v>35.470786735064294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24</v>
      </c>
      <c r="N42" s="14">
        <f>IF('Données projet'!$A$36&gt;35,N41+M42-V41,IF(A42&lt;'Données projet'!$A$36,$K$205^A42,IF(A42='Données projet'!$A$36,'Données projet'!$B$36,N41+M42-V41)))</f>
        <v>457.00000000000011</v>
      </c>
      <c r="O42" s="14">
        <f>N42*VLOOKUP('Données projet'!$B$9,Paramètres!$A$1:$I$89,3,0)*VLOOKUP('Données projet'!$B$9,Paramètres!$A$1:$I$89,5,0)</f>
        <v>255.46300000000008</v>
      </c>
      <c r="P42" s="14">
        <f t="shared" si="33"/>
        <v>61.754284280703082</v>
      </c>
      <c r="Q42" s="22">
        <f t="shared" si="53"/>
        <v>552.48677012222458</v>
      </c>
      <c r="R42" s="62">
        <f t="shared" si="0"/>
        <v>845.82010345555796</v>
      </c>
      <c r="S42" s="62">
        <f ca="1">AVERAGE(OFFSET($R$3,0,0,'Données projet'!$E$9+1,1))-AVERAGE(OFFSET($H$3,0,0,'Données projet'!$E$9+1,1))</f>
        <v>210.566504119093</v>
      </c>
      <c r="T42" s="62">
        <f t="shared" si="34"/>
        <v>365.95065044620048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7.0314924069891349</v>
      </c>
      <c r="AA42" s="23">
        <f>EXP(-LN(2)/25)*AA41+(1-EXP(-LN(2)/25))/(LN(2)/25)*Calculateur!V42*Calculateur!X42*VLOOKUP('Données projet'!$B$9,Paramètres!$A$1:$I$89,3,0)*0.475*44/12</f>
        <v>3.3618284607922795</v>
      </c>
      <c r="AB42" s="23">
        <f>EXP(-LN(2)/2)*AB41+(1-EXP(-LN(2)/2))/(LN(2)/2)*V42*Y42*VLOOKUP('Données projet'!$B$9,Paramètres!$A$1:$I$89,3,0)*0.475*44/12</f>
        <v>0.1915789599509439</v>
      </c>
      <c r="AC42" s="24">
        <f t="shared" si="3"/>
        <v>10.584899827732357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295.01137243247126</v>
      </c>
      <c r="AO42" s="62">
        <f t="shared" si="36"/>
        <v>221.9773436301067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3.0467338154372241</v>
      </c>
      <c r="AV42" s="23">
        <f>EXP(-LN(2)/25)*AV41+(1-EXP(-LN(2)/25))/(LN(2)/25)*Calculateur!AQ42*Calculateur!AS42*VLOOKUP('Données projet'!$B$10,Paramètres!$A$1:$I$89,3,0)*0.475*44/12</f>
        <v>1.8839388856832395</v>
      </c>
      <c r="AW42" s="23">
        <f>EXP(-LN(2)/2)*AW41+(1-EXP(-LN(2)/2))/(LN(2)/2)*AQ42*AT42*VLOOKUP('Données projet'!$B$10,Paramètres!$A$1:$I$89,3,0)*0.475*44/12</f>
        <v>0.15260610883275283</v>
      </c>
      <c r="AX42" s="23">
        <f t="shared" si="6"/>
        <v>5.0832788099532165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14</v>
      </c>
      <c r="BD42" s="13">
        <f>IF('Données projet'!$A$88&gt;35,BD41+BC42-BL41,IF(A42&lt;'Données projet'!$A$88,$BA$205^A42,IF(A42='Données projet'!$A$88,'Données projet'!$B$88,BD41+BC42-BL41)))</f>
        <v>235.99999999999994</v>
      </c>
      <c r="BE42" s="14">
        <f>BD42*VLOOKUP('Données projet'!$B$11,Paramètres!$A$1:$I$89,3,0)*VLOOKUP('Données projet'!$B$11,Paramètres!$A$1:$I$89,5,0)</f>
        <v>128.85599999999997</v>
      </c>
      <c r="BF42" s="14">
        <f t="shared" si="37"/>
        <v>33.731878688740906</v>
      </c>
      <c r="BG42" s="22">
        <f t="shared" si="7"/>
        <v>283.1738887162237</v>
      </c>
      <c r="BH42" s="62">
        <f t="shared" si="8"/>
        <v>576.50722204955696</v>
      </c>
      <c r="BI42" s="62">
        <f ca="1">AVERAGE(OFFSET($BH$3,0,0,'Données projet'!$E$11+1,1))-AVERAGE(OFFSET($H$3,0,0,'Données projet'!$E$11+1,1))</f>
        <v>159.92263609041913</v>
      </c>
      <c r="BJ42" s="62">
        <f t="shared" si="38"/>
        <v>271.78119133009307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19.191392869759575</v>
      </c>
      <c r="BQ42" s="23">
        <f>EXP(-LN(2)/25)*BQ41+(1-EXP(-LN(2)/25))/(LN(2)/25)*Calculateur!BL42*Calculateur!BN42*VLOOKUP('Données projet'!$B$11,Paramètres!$A$1:$I$89,3,0)*0.475*44/12</f>
        <v>14.966422376829126</v>
      </c>
      <c r="BR42" s="23">
        <f>EXP(-LN(2)/2)*BR41+(1-EXP(-LN(2)/2))/(LN(2)/2)*BL42*BO42*VLOOKUP('Données projet'!$B$11,Paramètres!$A$1:$I$89,3,0)*0.475*44/12</f>
        <v>0.3594572653010048</v>
      </c>
      <c r="BS42" s="24">
        <f t="shared" si="9"/>
        <v>34.517272511889701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481</v>
      </c>
      <c r="L43" s="13">
        <f>VLOOKUP(A43,'Données projet'!$A$35:$I$55,9,0)</f>
        <v>24</v>
      </c>
      <c r="M43" s="13">
        <f t="array" ref="M43">INDEX(L:L,MIN(IF(ISNUMBER(L43:L239),ROW(L43:L239),"")))</f>
        <v>24</v>
      </c>
      <c r="N43" s="14">
        <f>IF('Données projet'!$A$36&gt;35,N42+M43-V42,IF(A43&lt;'Données projet'!$A$36,$K$205^A43,IF(A43='Données projet'!$A$36,'Données projet'!$B$36,N42+M43-V42)))</f>
        <v>481.00000000000011</v>
      </c>
      <c r="O43" s="14">
        <f>N43*VLOOKUP('Données projet'!$B$9,Paramètres!$A$1:$I$89,3,0)*VLOOKUP('Données projet'!$B$9,Paramètres!$A$1:$I$89,5,0)</f>
        <v>268.87900000000008</v>
      </c>
      <c r="P43" s="14">
        <f t="shared" si="33"/>
        <v>64.611307219969405</v>
      </c>
      <c r="Q43" s="22">
        <f t="shared" si="53"/>
        <v>580.82895174144687</v>
      </c>
      <c r="R43" s="62">
        <f t="shared" si="0"/>
        <v>874.16228507478013</v>
      </c>
      <c r="S43" s="62">
        <f ca="1">AVERAGE(OFFSET($R$3,0,0,'Données projet'!$E$9+1,1))-AVERAGE(OFFSET($H$3,0,0,'Données projet'!$E$9+1,1))</f>
        <v>210.566504119093</v>
      </c>
      <c r="T43" s="62">
        <f t="shared" si="34"/>
        <v>365.95065044620048</v>
      </c>
      <c r="U43" s="16">
        <f>IF(ISNA(VLOOKUP(A43,'Données projet'!$A$35:$I$55,3,0)),0,VLOOKUP(A43,'Données projet'!$A$35:$I$55,3,0))</f>
        <v>4</v>
      </c>
      <c r="V43" s="16">
        <f>IF(ISNA(VLOOKUP(A43,'Données projet'!$A$35:$I$55,4,0)),0,VLOOKUP(A43,'Données projet'!$A$35:$I$55,4,0))</f>
        <v>58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6.8936091296749638</v>
      </c>
      <c r="AA43" s="23">
        <f>EXP(-LN(2)/25)*AA42+(1-EXP(-LN(2)/25))/(LN(2)/25)*Calculateur!V43*Calculateur!X43*VLOOKUP('Données projet'!$B$9,Paramètres!$A$1:$I$89,3,0)*0.475*44/12</f>
        <v>3.2698990847410396</v>
      </c>
      <c r="AB43" s="23">
        <f>EXP(-LN(2)/2)*AB42+(1-EXP(-LN(2)/2))/(LN(2)/2)*V43*Y43*VLOOKUP('Données projet'!$B$9,Paramètres!$A$1:$I$89,3,0)*0.475*44/12</f>
        <v>0.13546678171397844</v>
      </c>
      <c r="AC43" s="24">
        <f t="shared" si="3"/>
        <v>10.298974996129981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295.01137243247126</v>
      </c>
      <c r="AO43" s="62">
        <f t="shared" si="36"/>
        <v>221.9773436301067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2.9869892236406335</v>
      </c>
      <c r="AV43" s="23">
        <f>EXP(-LN(2)/25)*AV42+(1-EXP(-LN(2)/25))/(LN(2)/25)*Calculateur!AQ43*Calculateur!AS43*VLOOKUP('Données projet'!$B$10,Paramètres!$A$1:$I$89,3,0)*0.475*44/12</f>
        <v>1.8324224777821911</v>
      </c>
      <c r="AW43" s="23">
        <f>EXP(-LN(2)/2)*AW42+(1-EXP(-LN(2)/2))/(LN(2)/2)*AQ43*AT43*VLOOKUP('Données projet'!$B$10,Paramètres!$A$1:$I$89,3,0)*0.475*44/12</f>
        <v>0.10790881440613181</v>
      </c>
      <c r="AX43" s="23">
        <f t="shared" si="6"/>
        <v>4.9273205158289564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14</v>
      </c>
      <c r="BD43" s="13">
        <f>IF('Données projet'!$A$88&gt;35,BD42+BC43-BL42,IF(A43&lt;'Données projet'!$A$88,$BA$205^A43,IF(A43='Données projet'!$A$88,'Données projet'!$B$88,BD42+BC43-BL42)))</f>
        <v>249.99999999999994</v>
      </c>
      <c r="BE43" s="14">
        <f>BD43*VLOOKUP('Données projet'!$B$11,Paramètres!$A$1:$I$89,3,0)*VLOOKUP('Données projet'!$B$11,Paramètres!$A$1:$I$89,5,0)</f>
        <v>136.49999999999997</v>
      </c>
      <c r="BF43" s="14">
        <f t="shared" si="37"/>
        <v>35.494027024087352</v>
      </c>
      <c r="BG43" s="22">
        <f t="shared" si="7"/>
        <v>299.55626373361878</v>
      </c>
      <c r="BH43" s="62">
        <f t="shared" si="8"/>
        <v>592.88959706695209</v>
      </c>
      <c r="BI43" s="62">
        <f ca="1">AVERAGE(OFFSET($BH$3,0,0,'Données projet'!$E$11+1,1))-AVERAGE(OFFSET($H$3,0,0,'Données projet'!$E$11+1,1))</f>
        <v>159.92263609041913</v>
      </c>
      <c r="BJ43" s="62">
        <f t="shared" si="38"/>
        <v>271.78119133009307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18.81506136117741</v>
      </c>
      <c r="BQ43" s="23">
        <f>EXP(-LN(2)/25)*BQ42+(1-EXP(-LN(2)/25))/(LN(2)/25)*Calculateur!BL43*Calculateur!BN43*VLOOKUP('Données projet'!$B$11,Paramètres!$A$1:$I$89,3,0)*0.475*44/12</f>
        <v>14.557164769884787</v>
      </c>
      <c r="BR43" s="23">
        <f>EXP(-LN(2)/2)*BR42+(1-EXP(-LN(2)/2))/(LN(2)/2)*BL43*BO43*VLOOKUP('Données projet'!$B$11,Paramètres!$A$1:$I$89,3,0)*0.475*44/12</f>
        <v>0.25417466984111237</v>
      </c>
      <c r="BS43" s="24">
        <f t="shared" si="9"/>
        <v>33.626400800903312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20.6</v>
      </c>
      <c r="N44" s="14">
        <f>IF('Données projet'!$A$36&gt;35,N43+M44-V43,IF(A44&lt;'Données projet'!$A$36,$K$205^A44,IF(A44='Données projet'!$A$36,'Données projet'!$B$36,N43+M44-V43)))</f>
        <v>443.60000000000014</v>
      </c>
      <c r="O44" s="14">
        <f>N44*VLOOKUP('Données projet'!$B$9,Paramètres!$A$1:$I$89,3,0)*VLOOKUP('Données projet'!$B$9,Paramètres!$A$1:$I$89,5,0)</f>
        <v>247.97240000000008</v>
      </c>
      <c r="P44" s="14">
        <f t="shared" si="33"/>
        <v>60.151555263879217</v>
      </c>
      <c r="Q44" s="22">
        <f t="shared" si="53"/>
        <v>536.64922208458972</v>
      </c>
      <c r="R44" s="62">
        <f t="shared" si="0"/>
        <v>829.98255541792309</v>
      </c>
      <c r="S44" s="62">
        <f ca="1">AVERAGE(OFFSET($R$3,0,0,'Données projet'!$E$9+1,1))-AVERAGE(OFFSET($H$3,0,0,'Données projet'!$E$9+1,1))</f>
        <v>210.566504119093</v>
      </c>
      <c r="T44" s="62">
        <f t="shared" si="34"/>
        <v>365.95065044620048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6.7584296593284288</v>
      </c>
      <c r="AA44" s="23">
        <f>EXP(-LN(2)/25)*AA43+(1-EXP(-LN(2)/25))/(LN(2)/25)*Calculateur!V44*Calculateur!X44*VLOOKUP('Données projet'!$B$9,Paramètres!$A$1:$I$89,3,0)*0.475*44/12</f>
        <v>3.1804835223122767</v>
      </c>
      <c r="AB44" s="23">
        <f>EXP(-LN(2)/2)*AB43+(1-EXP(-LN(2)/2))/(LN(2)/2)*V44*Y44*VLOOKUP('Données projet'!$B$9,Paramètres!$A$1:$I$89,3,0)*0.475*44/12</f>
        <v>9.578947997547195E-2</v>
      </c>
      <c r="AC44" s="24">
        <f t="shared" si="3"/>
        <v>10.034702661616178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</v>
      </c>
      <c r="AI44" s="14">
        <f>IF('Données projet'!$A$62&gt;35,AI43+AH44-AQ43,IF(A44&lt;'Données projet'!$A$62,$AF$205^A44,IF(A44='Données projet'!$A$62,'Données projet'!$B$62,AI43+AH44-AQ43)))</f>
        <v>242.00000000000006</v>
      </c>
      <c r="AJ44" s="14">
        <f>AI44*VLOOKUP('Données projet'!$B$10,Paramètres!$A$1:$I$89,3,0)*VLOOKUP('Données projet'!$B$10,Paramètres!$A$1:$I$89,5,0)</f>
        <v>144.71600000000007</v>
      </c>
      <c r="AK44" s="14">
        <f t="shared" si="35"/>
        <v>37.375282885096105</v>
      </c>
      <c r="AL44" s="22">
        <f t="shared" si="4"/>
        <v>317.14231769154247</v>
      </c>
      <c r="AM44" s="62">
        <f t="shared" si="5"/>
        <v>610.47565102487579</v>
      </c>
      <c r="AN44" s="62">
        <f ca="1">AVERAGE(OFFSET($AM$3,0,0,'Données projet'!$E$10+1,1))-AVERAGE(OFFSET($H$3,0,0,'Données projet'!$E$10+1,1))</f>
        <v>295.01137243247126</v>
      </c>
      <c r="AO44" s="62">
        <f t="shared" si="36"/>
        <v>221.9773436301067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2.9284161868485712</v>
      </c>
      <c r="AV44" s="23">
        <f>EXP(-LN(2)/25)*AV43+(1-EXP(-LN(2)/25))/(LN(2)/25)*Calculateur!AQ44*Calculateur!AS44*VLOOKUP('Données projet'!$B$10,Paramètres!$A$1:$I$89,3,0)*0.475*44/12</f>
        <v>1.7823147887643271</v>
      </c>
      <c r="AW44" s="23">
        <f>EXP(-LN(2)/2)*AW43+(1-EXP(-LN(2)/2))/(LN(2)/2)*AQ44*AT44*VLOOKUP('Données projet'!$B$10,Paramètres!$A$1:$I$89,3,0)*0.475*44/12</f>
        <v>7.6303054416376415E-2</v>
      </c>
      <c r="AX44" s="23">
        <f t="shared" si="6"/>
        <v>4.7870340300292753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14</v>
      </c>
      <c r="BD44" s="13">
        <f>IF('Données projet'!$A$88&gt;35,BD43+BC44-BL43,IF(A44&lt;'Données projet'!$A$88,$BA$205^A44,IF(A44='Données projet'!$A$88,'Données projet'!$B$88,BD43+BC44-BL43)))</f>
        <v>263.99999999999994</v>
      </c>
      <c r="BE44" s="14">
        <f>BD44*VLOOKUP('Données projet'!$B$11,Paramètres!$A$1:$I$89,3,0)*VLOOKUP('Données projet'!$B$11,Paramètres!$A$1:$I$89,5,0)</f>
        <v>144.14399999999995</v>
      </c>
      <c r="BF44" s="14">
        <f t="shared" si="37"/>
        <v>37.244720006976216</v>
      </c>
      <c r="BG44" s="22">
        <f t="shared" si="7"/>
        <v>315.91868734548348</v>
      </c>
      <c r="BH44" s="62">
        <f t="shared" si="8"/>
        <v>609.25202067881673</v>
      </c>
      <c r="BI44" s="62">
        <f ca="1">AVERAGE(OFFSET($BH$3,0,0,'Données projet'!$E$11+1,1))-AVERAGE(OFFSET($H$3,0,0,'Données projet'!$E$11+1,1))</f>
        <v>159.92263609041913</v>
      </c>
      <c r="BJ44" s="62">
        <f t="shared" si="38"/>
        <v>271.78119133009307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18.446109483938987</v>
      </c>
      <c r="BQ44" s="23">
        <f>EXP(-LN(2)/25)*BQ43+(1-EXP(-LN(2)/25))/(LN(2)/25)*Calculateur!BL44*Calculateur!BN44*VLOOKUP('Données projet'!$B$11,Paramètres!$A$1:$I$89,3,0)*0.475*44/12</f>
        <v>14.159098333724263</v>
      </c>
      <c r="BR44" s="23">
        <f>EXP(-LN(2)/2)*BR43+(1-EXP(-LN(2)/2))/(LN(2)/2)*BL44*BO44*VLOOKUP('Données projet'!$B$11,Paramètres!$A$1:$I$89,3,0)*0.475*44/12</f>
        <v>0.1797286326505024</v>
      </c>
      <c r="BS44" s="24">
        <f t="shared" si="9"/>
        <v>32.784936450313751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20.6</v>
      </c>
      <c r="N45" s="14">
        <f>IF('Données projet'!$A$36&gt;35,N44+M45-V44,IF(A45&lt;'Données projet'!$A$36,$K$205^A45,IF(A45='Données projet'!$A$36,'Données projet'!$B$36,N44+M45-V44)))</f>
        <v>464.20000000000016</v>
      </c>
      <c r="O45" s="14">
        <f>N45*VLOOKUP('Données projet'!$B$9,Paramètres!$A$1:$I$89,3,0)*VLOOKUP('Données projet'!$B$9,Paramètres!$A$1:$I$89,5,0)</f>
        <v>259.48780000000005</v>
      </c>
      <c r="P45" s="14">
        <f t="shared" si="33"/>
        <v>62.613185087484013</v>
      </c>
      <c r="Q45" s="22">
        <f t="shared" si="53"/>
        <v>560.992549027368</v>
      </c>
      <c r="R45" s="62">
        <f t="shared" si="0"/>
        <v>854.32588236070137</v>
      </c>
      <c r="S45" s="62">
        <f ca="1">AVERAGE(OFFSET($R$3,0,0,'Données projet'!$E$9+1,1))-AVERAGE(OFFSET($H$3,0,0,'Données projet'!$E$9+1,1))</f>
        <v>210.566504119093</v>
      </c>
      <c r="T45" s="62">
        <f t="shared" si="34"/>
        <v>365.95065044620048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6.6259009759440533</v>
      </c>
      <c r="AA45" s="23">
        <f>EXP(-LN(2)/25)*AA44+(1-EXP(-LN(2)/25))/(LN(2)/25)*Calculateur!V45*Calculateur!X45*VLOOKUP('Données projet'!$B$9,Paramètres!$A$1:$I$89,3,0)*0.475*44/12</f>
        <v>3.093513033140288</v>
      </c>
      <c r="AB45" s="23">
        <f>EXP(-LN(2)/2)*AB44+(1-EXP(-LN(2)/2))/(LN(2)/2)*V45*Y45*VLOOKUP('Données projet'!$B$9,Paramètres!$A$1:$I$89,3,0)*0.475*44/12</f>
        <v>6.773339085698922E-2</v>
      </c>
      <c r="AC45" s="24">
        <f t="shared" si="3"/>
        <v>9.7871473999413308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</v>
      </c>
      <c r="AI45" s="14">
        <f>IF('Données projet'!$A$62&gt;35,AI44+AH45-AQ44,IF(A45&lt;'Données projet'!$A$62,$AF$205^A45,IF(A45='Données projet'!$A$62,'Données projet'!$B$62,AI44+AH45-AQ44)))</f>
        <v>261.00000000000006</v>
      </c>
      <c r="AJ45" s="14">
        <f>AI45*VLOOKUP('Données projet'!$B$10,Paramètres!$A$1:$I$89,3,0)*VLOOKUP('Données projet'!$B$10,Paramètres!$A$1:$I$89,5,0)</f>
        <v>156.07800000000003</v>
      </c>
      <c r="AK45" s="14">
        <f t="shared" si="35"/>
        <v>39.956623674978466</v>
      </c>
      <c r="AL45" s="22">
        <f t="shared" si="4"/>
        <v>341.42696956725422</v>
      </c>
      <c r="AM45" s="62">
        <f t="shared" si="5"/>
        <v>634.76030290058748</v>
      </c>
      <c r="AN45" s="62">
        <f ca="1">AVERAGE(OFFSET($AM$3,0,0,'Données projet'!$E$10+1,1))-AVERAGE(OFFSET($H$3,0,0,'Données projet'!$E$10+1,1))</f>
        <v>295.01137243247126</v>
      </c>
      <c r="AO45" s="62">
        <f t="shared" si="36"/>
        <v>221.9773436301067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2.8709917315819764</v>
      </c>
      <c r="AV45" s="23">
        <f>EXP(-LN(2)/25)*AV44+(1-EXP(-LN(2)/25))/(LN(2)/25)*Calculateur!AQ45*Calculateur!AS45*VLOOKUP('Données projet'!$B$10,Paramètres!$A$1:$I$89,3,0)*0.475*44/12</f>
        <v>1.7335772971377055</v>
      </c>
      <c r="AW45" s="23">
        <f>EXP(-LN(2)/2)*AW44+(1-EXP(-LN(2)/2))/(LN(2)/2)*AQ45*AT45*VLOOKUP('Données projet'!$B$10,Paramètres!$A$1:$I$89,3,0)*0.475*44/12</f>
        <v>5.3954407203065907E-2</v>
      </c>
      <c r="AX45" s="23">
        <f t="shared" si="6"/>
        <v>4.6585234359227483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278</v>
      </c>
      <c r="BB45" s="13">
        <f>VLOOKUP(A45,'Données projet'!$A$87:$I$107,9,0)</f>
        <v>14</v>
      </c>
      <c r="BC45" s="13">
        <f t="array" ref="BC45">INDEX(BB:BB,MIN(IF(ISNUMBER(BB45:BB241),ROW(BB45:BB241),"")))</f>
        <v>14</v>
      </c>
      <c r="BD45" s="13">
        <f>IF('Données projet'!$A$88&gt;35,BD44+BC45-BL44,IF(A45&lt;'Données projet'!$A$88,$BA$205^A45,IF(A45='Données projet'!$A$88,'Données projet'!$B$88,BD44+BC45-BL44)))</f>
        <v>277.99999999999994</v>
      </c>
      <c r="BE45" s="14">
        <f>BD45*VLOOKUP('Données projet'!$B$11,Paramètres!$A$1:$I$89,3,0)*VLOOKUP('Données projet'!$B$11,Paramètres!$A$1:$I$89,5,0)</f>
        <v>151.78799999999998</v>
      </c>
      <c r="BF45" s="14">
        <f t="shared" si="37"/>
        <v>38.984634390835623</v>
      </c>
      <c r="BG45" s="22">
        <f t="shared" si="7"/>
        <v>332.26233823070532</v>
      </c>
      <c r="BH45" s="62">
        <f t="shared" si="8"/>
        <v>625.59567156403864</v>
      </c>
      <c r="BI45" s="62">
        <f ca="1">AVERAGE(OFFSET($BH$3,0,0,'Données projet'!$E$11+1,1))-AVERAGE(OFFSET($H$3,0,0,'Données projet'!$E$11+1,1))</f>
        <v>159.92263609041913</v>
      </c>
      <c r="BJ45" s="62">
        <f t="shared" si="38"/>
        <v>271.78119133009307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278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18.084392527974781</v>
      </c>
      <c r="BQ45" s="23">
        <f>EXP(-LN(2)/25)*BQ44+(1-EXP(-LN(2)/25))/(LN(2)/25)*Calculateur!BL45*Calculateur!BN45*VLOOKUP('Données projet'!$B$11,Paramètres!$A$1:$I$89,3,0)*0.475*44/12</f>
        <v>13.771917045193952</v>
      </c>
      <c r="BR45" s="23">
        <f>EXP(-LN(2)/2)*BR44+(1-EXP(-LN(2)/2))/(LN(2)/2)*BL45*BO45*VLOOKUP('Données projet'!$B$11,Paramètres!$A$1:$I$89,3,0)*0.475*44/12</f>
        <v>0.12708733492055618</v>
      </c>
      <c r="BS45" s="24">
        <f t="shared" si="9"/>
        <v>31.98339690808929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20.6</v>
      </c>
      <c r="N46" s="14">
        <f>IF('Données projet'!$A$36&gt;35,N45+M46-V45,IF(A46&lt;'Données projet'!$A$36,$K$205^A46,IF(A46='Données projet'!$A$36,'Données projet'!$B$36,N45+M46-V45)))</f>
        <v>484.80000000000018</v>
      </c>
      <c r="O46" s="14">
        <f>N46*VLOOKUP('Données projet'!$B$9,Paramètres!$A$1:$I$89,3,0)*VLOOKUP('Données projet'!$B$9,Paramètres!$A$1:$I$89,5,0)</f>
        <v>271.00320000000011</v>
      </c>
      <c r="P46" s="14">
        <f t="shared" si="33"/>
        <v>65.062127670866857</v>
      </c>
      <c r="Q46" s="22">
        <f t="shared" si="53"/>
        <v>585.31377902676002</v>
      </c>
      <c r="R46" s="62">
        <f t="shared" si="0"/>
        <v>878.64711236009339</v>
      </c>
      <c r="S46" s="62">
        <f ca="1">AVERAGE(OFFSET($R$3,0,0,'Données projet'!$E$9+1,1))-AVERAGE(OFFSET($H$3,0,0,'Données projet'!$E$9+1,1))</f>
        <v>210.566504119093</v>
      </c>
      <c r="T46" s="62">
        <f t="shared" si="34"/>
        <v>365.95065044620048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6.4959710992063302</v>
      </c>
      <c r="AA46" s="23">
        <f>EXP(-LN(2)/25)*AA45+(1-EXP(-LN(2)/25))/(LN(2)/25)*Calculateur!V46*Calculateur!X46*VLOOKUP('Données projet'!$B$9,Paramètres!$A$1:$I$89,3,0)*0.475*44/12</f>
        <v>3.0089207565682869</v>
      </c>
      <c r="AB46" s="23">
        <f>EXP(-LN(2)/2)*AB45+(1-EXP(-LN(2)/2))/(LN(2)/2)*V46*Y46*VLOOKUP('Données projet'!$B$9,Paramètres!$A$1:$I$89,3,0)*0.475*44/12</f>
        <v>4.7894739987735975E-2</v>
      </c>
      <c r="AC46" s="24">
        <f t="shared" si="3"/>
        <v>9.5527865957623526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</v>
      </c>
      <c r="AI46" s="14">
        <f>IF('Données projet'!$A$62&gt;35,AI45+AH46-AQ45,IF(A46&lt;'Données projet'!$A$62,$AF$205^A46,IF(A46='Données projet'!$A$62,'Données projet'!$B$62,AI45+AH46-AQ45)))</f>
        <v>280.00000000000006</v>
      </c>
      <c r="AJ46" s="14">
        <f>AI46*VLOOKUP('Données projet'!$B$10,Paramètres!$A$1:$I$89,3,0)*VLOOKUP('Données projet'!$B$10,Paramètres!$A$1:$I$89,5,0)</f>
        <v>167.44000000000005</v>
      </c>
      <c r="AK46" s="14">
        <f t="shared" si="35"/>
        <v>42.516163405082935</v>
      </c>
      <c r="AL46" s="22">
        <f t="shared" si="4"/>
        <v>365.67365126385283</v>
      </c>
      <c r="AM46" s="62">
        <f t="shared" si="5"/>
        <v>659.00698459718615</v>
      </c>
      <c r="AN46" s="62">
        <f ca="1">AVERAGE(OFFSET($AM$3,0,0,'Données projet'!$E$10+1,1))-AVERAGE(OFFSET($H$3,0,0,'Données projet'!$E$10+1,1))</f>
        <v>295.01137243247126</v>
      </c>
      <c r="AO46" s="62">
        <f t="shared" si="36"/>
        <v>221.9773436301067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2.8146933348577003</v>
      </c>
      <c r="AV46" s="23">
        <f>EXP(-LN(2)/25)*AV45+(1-EXP(-LN(2)/25))/(LN(2)/25)*Calculateur!AQ46*Calculateur!AS46*VLOOKUP('Données projet'!$B$10,Paramètres!$A$1:$I$89,3,0)*0.475*44/12</f>
        <v>1.6861725347826071</v>
      </c>
      <c r="AW46" s="23">
        <f>EXP(-LN(2)/2)*AW45+(1-EXP(-LN(2)/2))/(LN(2)/2)*AQ46*AT46*VLOOKUP('Données projet'!$B$10,Paramètres!$A$1:$I$89,3,0)*0.475*44/12</f>
        <v>3.8151527208188207E-2</v>
      </c>
      <c r="AX46" s="23">
        <f t="shared" si="6"/>
        <v>4.5390173968484957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-5.6843418860808015E-14</v>
      </c>
      <c r="BE46" s="14">
        <f>BD46*VLOOKUP('Données projet'!$B$11,Paramètres!$A$1:$I$89,3,0)*VLOOKUP('Données projet'!$B$11,Paramètres!$A$1:$I$89,5,0)</f>
        <v>-3.1036506698001178E-14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159.92263609041913</v>
      </c>
      <c r="BJ46" s="62">
        <f t="shared" si="38"/>
        <v>271.78119133009307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17.729768620891477</v>
      </c>
      <c r="BQ46" s="23">
        <f>EXP(-LN(2)/25)*BQ45+(1-EXP(-LN(2)/25))/(LN(2)/25)*Calculateur!BL46*Calculateur!BN46*VLOOKUP('Données projet'!$B$11,Paramètres!$A$1:$I$89,3,0)*0.475*44/12</f>
        <v>13.395323249359482</v>
      </c>
      <c r="BR46" s="23">
        <f>EXP(-LN(2)/2)*BR45+(1-EXP(-LN(2)/2))/(LN(2)/2)*BL46*BO46*VLOOKUP('Données projet'!$B$11,Paramètres!$A$1:$I$89,3,0)*0.475*44/12</f>
        <v>8.9864316325251201E-2</v>
      </c>
      <c r="BS46" s="24">
        <f t="shared" si="9"/>
        <v>31.21495618657621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20.6</v>
      </c>
      <c r="N47" s="14">
        <f>IF('Données projet'!$A$36&gt;35,N46+M47-V46,IF(A47&lt;'Données projet'!$A$36,$K$205^A47,IF(A47='Données projet'!$A$36,'Données projet'!$B$36,N46+M47-V46)))</f>
        <v>505.4000000000002</v>
      </c>
      <c r="O47" s="14">
        <f>N47*VLOOKUP('Données projet'!$B$9,Paramètres!$A$1:$I$89,3,0)*VLOOKUP('Données projet'!$B$9,Paramètres!$A$1:$I$89,5,0)</f>
        <v>282.51860000000011</v>
      </c>
      <c r="P47" s="14">
        <f t="shared" si="33"/>
        <v>67.498983751557503</v>
      </c>
      <c r="Q47" s="22">
        <f t="shared" si="53"/>
        <v>609.61395836729616</v>
      </c>
      <c r="R47" s="62">
        <f t="shared" si="0"/>
        <v>902.94729170062942</v>
      </c>
      <c r="S47" s="62">
        <f ca="1">AVERAGE(OFFSET($R$3,0,0,'Données projet'!$E$9+1,1))-AVERAGE(OFFSET($H$3,0,0,'Données projet'!$E$9+1,1))</f>
        <v>210.566504119093</v>
      </c>
      <c r="T47" s="62">
        <f t="shared" si="34"/>
        <v>365.95065044620048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6.3685890681020343</v>
      </c>
      <c r="AA47" s="23">
        <f>EXP(-LN(2)/25)*AA46+(1-EXP(-LN(2)/25))/(LN(2)/25)*Calculateur!V47*Calculateur!X47*VLOOKUP('Données projet'!$B$9,Paramètres!$A$1:$I$89,3,0)*0.475*44/12</f>
        <v>2.9266416602476615</v>
      </c>
      <c r="AB47" s="23">
        <f>EXP(-LN(2)/2)*AB46+(1-EXP(-LN(2)/2))/(LN(2)/2)*V47*Y47*VLOOKUP('Données projet'!$B$9,Paramètres!$A$1:$I$89,3,0)*0.475*44/12</f>
        <v>3.386669542849461E-2</v>
      </c>
      <c r="AC47" s="24">
        <f t="shared" si="3"/>
        <v>9.3290974237781903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</v>
      </c>
      <c r="AI47" s="14">
        <f>IF('Données projet'!$A$62&gt;35,AI46+AH47-AQ46,IF(A47&lt;'Données projet'!$A$62,$AF$205^A47,IF(A47='Données projet'!$A$62,'Données projet'!$B$62,AI46+AH47-AQ46)))</f>
        <v>299.00000000000006</v>
      </c>
      <c r="AJ47" s="14">
        <f>AI47*VLOOKUP('Données projet'!$B$10,Paramètres!$A$1:$I$89,3,0)*VLOOKUP('Données projet'!$B$10,Paramètres!$A$1:$I$89,5,0)</f>
        <v>178.80200000000002</v>
      </c>
      <c r="AK47" s="14">
        <f t="shared" si="35"/>
        <v>45.055549739375941</v>
      </c>
      <c r="AL47" s="22">
        <f t="shared" si="4"/>
        <v>389.88523246274644</v>
      </c>
      <c r="AM47" s="62">
        <f t="shared" si="5"/>
        <v>683.2185657960797</v>
      </c>
      <c r="AN47" s="62">
        <f ca="1">AVERAGE(OFFSET($AM$3,0,0,'Données projet'!$E$10+1,1))-AVERAGE(OFFSET($H$3,0,0,'Données projet'!$E$10+1,1))</f>
        <v>295.01137243247126</v>
      </c>
      <c r="AO47" s="62">
        <f t="shared" si="36"/>
        <v>221.9773436301067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2.7594989153545559</v>
      </c>
      <c r="AV47" s="23">
        <f>EXP(-LN(2)/25)*AV46+(1-EXP(-LN(2)/25))/(LN(2)/25)*Calculateur!AQ47*Calculateur!AS47*VLOOKUP('Données projet'!$B$10,Paramètres!$A$1:$I$89,3,0)*0.475*44/12</f>
        <v>1.6400640581470169</v>
      </c>
      <c r="AW47" s="23">
        <f>EXP(-LN(2)/2)*AW46+(1-EXP(-LN(2)/2))/(LN(2)/2)*AQ47*AT47*VLOOKUP('Données projet'!$B$10,Paramètres!$A$1:$I$89,3,0)*0.475*44/12</f>
        <v>2.6977203601532954E-2</v>
      </c>
      <c r="AX47" s="23">
        <f t="shared" si="6"/>
        <v>4.4265401771031057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-5.6843418860808015E-14</v>
      </c>
      <c r="BE47" s="14">
        <f>BD47*VLOOKUP('Données projet'!$B$11,Paramètres!$A$1:$I$89,3,0)*VLOOKUP('Données projet'!$B$11,Paramètres!$A$1:$I$89,5,0)</f>
        <v>-3.1036506698001178E-14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159.92263609041913</v>
      </c>
      <c r="BJ47" s="62">
        <f t="shared" si="38"/>
        <v>271.78119133009307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17.382098672326851</v>
      </c>
      <c r="BQ47" s="23">
        <f>EXP(-LN(2)/25)*BQ46+(1-EXP(-LN(2)/25))/(LN(2)/25)*Calculateur!BL47*Calculateur!BN47*VLOOKUP('Données projet'!$B$11,Paramètres!$A$1:$I$89,3,0)*0.475*44/12</f>
        <v>13.029027430676313</v>
      </c>
      <c r="BR47" s="23">
        <f>EXP(-LN(2)/2)*BR46+(1-EXP(-LN(2)/2))/(LN(2)/2)*BL47*BO47*VLOOKUP('Données projet'!$B$11,Paramètres!$A$1:$I$89,3,0)*0.475*44/12</f>
        <v>6.3543667460278092E-2</v>
      </c>
      <c r="BS47" s="24">
        <f t="shared" si="9"/>
        <v>30.474669770463439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526</v>
      </c>
      <c r="L48" s="13">
        <f>VLOOKUP(A48,'Données projet'!$A$35:$I$55,9,0)</f>
        <v>20.6</v>
      </c>
      <c r="M48" s="13">
        <f t="array" ref="M48">INDEX(L:L,MIN(IF(ISNUMBER(L48:L244),ROW(L48:L244),"")))</f>
        <v>20.6</v>
      </c>
      <c r="N48" s="14">
        <f>IF('Données projet'!$A$36&gt;35,N47+M48-V47,IF(A48&lt;'Données projet'!$A$36,$K$205^A48,IF(A48='Données projet'!$A$36,'Données projet'!$B$36,N47+M48-V47)))</f>
        <v>526.00000000000023</v>
      </c>
      <c r="O48" s="14">
        <f>N48*VLOOKUP('Données projet'!$B$9,Paramètres!$A$1:$I$89,3,0)*VLOOKUP('Données projet'!$B$9,Paramètres!$A$1:$I$89,5,0)</f>
        <v>294.03400000000011</v>
      </c>
      <c r="P48" s="14">
        <f t="shared" si="33"/>
        <v>69.924302323873434</v>
      </c>
      <c r="Q48" s="22">
        <f t="shared" si="53"/>
        <v>633.89404321407972</v>
      </c>
      <c r="R48" s="62">
        <f t="shared" si="0"/>
        <v>927.22737654741309</v>
      </c>
      <c r="S48" s="62">
        <f ca="1">AVERAGE(OFFSET($R$3,0,0,'Données projet'!$E$9+1,1))-AVERAGE(OFFSET($H$3,0,0,'Données projet'!$E$9+1,1))</f>
        <v>210.566504119093</v>
      </c>
      <c r="T48" s="62">
        <f t="shared" si="34"/>
        <v>365.95065044620048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526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6.243704920932327</v>
      </c>
      <c r="AA48" s="23">
        <f>EXP(-LN(2)/25)*AA47+(1-EXP(-LN(2)/25))/(LN(2)/25)*Calculateur!V48*Calculateur!X48*VLOOKUP('Données projet'!$B$9,Paramètres!$A$1:$I$89,3,0)*0.475*44/12</f>
        <v>2.8466124901427934</v>
      </c>
      <c r="AB48" s="23">
        <f>EXP(-LN(2)/2)*AB47+(1-EXP(-LN(2)/2))/(LN(2)/2)*V48*Y48*VLOOKUP('Données projet'!$B$9,Paramètres!$A$1:$I$89,3,0)*0.475*44/12</f>
        <v>2.3947369993867988E-2</v>
      </c>
      <c r="AC48" s="24">
        <f t="shared" si="3"/>
        <v>9.1142647810689876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318</v>
      </c>
      <c r="AG48" s="13">
        <f>VLOOKUP(A48,'Données projet'!$A$61:$I$81,9,0)</f>
        <v>19</v>
      </c>
      <c r="AH48" s="13">
        <f t="array" ref="AH48">INDEX(AG:AG,MIN(IF(ISNUMBER(AG48:AG244),ROW(AG48:AG244),"")))</f>
        <v>19</v>
      </c>
      <c r="AI48" s="14">
        <f>IF('Données projet'!$A$62&gt;35,AI47+AH48-AQ47,IF(A48&lt;'Données projet'!$A$62,$AF$205^A48,IF(A48='Données projet'!$A$62,'Données projet'!$B$62,AI47+AH48-AQ47)))</f>
        <v>318.00000000000006</v>
      </c>
      <c r="AJ48" s="14">
        <f>AI48*VLOOKUP('Données projet'!$B$10,Paramètres!$A$1:$I$89,3,0)*VLOOKUP('Données projet'!$B$10,Paramètres!$A$1:$I$89,5,0)</f>
        <v>190.16400000000004</v>
      </c>
      <c r="AK48" s="14">
        <f t="shared" si="35"/>
        <v>47.576209101852911</v>
      </c>
      <c r="AL48" s="22">
        <f t="shared" si="4"/>
        <v>414.06419751906054</v>
      </c>
      <c r="AM48" s="62">
        <f t="shared" si="5"/>
        <v>707.39753085239386</v>
      </c>
      <c r="AN48" s="62">
        <f ca="1">AVERAGE(OFFSET($AM$3,0,0,'Données projet'!$E$10+1,1))-AVERAGE(OFFSET($H$3,0,0,'Données projet'!$E$10+1,1))</f>
        <v>295.01137243247126</v>
      </c>
      <c r="AO48" s="62">
        <f t="shared" si="36"/>
        <v>221.9773436301067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2.7053868247525963</v>
      </c>
      <c r="AV48" s="23">
        <f>EXP(-LN(2)/25)*AV47+(1-EXP(-LN(2)/25))/(LN(2)/25)*Calculateur!AQ48*Calculateur!AS48*VLOOKUP('Données projet'!$B$10,Paramètres!$A$1:$I$89,3,0)*0.475*44/12</f>
        <v>1.5952164202297663</v>
      </c>
      <c r="AW48" s="23">
        <f>EXP(-LN(2)/2)*AW47+(1-EXP(-LN(2)/2))/(LN(2)/2)*AQ48*AT48*VLOOKUP('Données projet'!$B$10,Paramètres!$A$1:$I$89,3,0)*0.475*44/12</f>
        <v>1.9075763604094104E-2</v>
      </c>
      <c r="AX48" s="23">
        <f t="shared" si="6"/>
        <v>4.3196790085864558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-5.6843418860808015E-14</v>
      </c>
      <c r="BE48" s="14">
        <f>BD48*VLOOKUP('Données projet'!$B$11,Paramètres!$A$1:$I$89,3,0)*VLOOKUP('Données projet'!$B$11,Paramètres!$A$1:$I$89,5,0)</f>
        <v>-3.1036506698001178E-14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159.92263609041913</v>
      </c>
      <c r="BJ48" s="62">
        <f t="shared" si="38"/>
        <v>271.78119133009307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17.041246319395849</v>
      </c>
      <c r="BQ48" s="23">
        <f>EXP(-LN(2)/25)*BQ47+(1-EXP(-LN(2)/25))/(LN(2)/25)*Calculateur!BL48*Calculateur!BN48*VLOOKUP('Données projet'!$B$11,Paramètres!$A$1:$I$89,3,0)*0.475*44/12</f>
        <v>12.672747990417696</v>
      </c>
      <c r="BR48" s="23">
        <f>EXP(-LN(2)/2)*BR47+(1-EXP(-LN(2)/2))/(LN(2)/2)*BL48*BO48*VLOOKUP('Données projet'!$B$11,Paramètres!$A$1:$I$89,3,0)*0.475*44/12</f>
        <v>4.49321581626256E-2</v>
      </c>
      <c r="BS48" s="24">
        <f t="shared" si="9"/>
        <v>29.75892646797617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2.2737367544323206E-13</v>
      </c>
      <c r="O49" s="14">
        <f>N49*VLOOKUP('Données projet'!$B$9,Paramètres!$A$1:$I$89,3,0)*VLOOKUP('Données projet'!$B$9,Paramètres!$A$1:$I$89,5,0)</f>
        <v>1.2710188457276673E-13</v>
      </c>
      <c r="P49" s="14">
        <f t="shared" si="33"/>
        <v>1.856866851063998E-12</v>
      </c>
      <c r="Q49" s="22">
        <f t="shared" si="53"/>
        <v>3.4554122145673649E-12</v>
      </c>
      <c r="R49" s="62">
        <f t="shared" si="0"/>
        <v>293.33333333333678</v>
      </c>
      <c r="S49" s="62">
        <f ca="1">AVERAGE(OFFSET($R$3,0,0,'Données projet'!$E$9+1,1))-AVERAGE(OFFSET($H$3,0,0,'Données projet'!$E$9+1,1))</f>
        <v>210.566504119093</v>
      </c>
      <c r="T49" s="62">
        <f t="shared" si="34"/>
        <v>365.95065044620048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6.1212696757168086</v>
      </c>
      <c r="AA49" s="23">
        <f>EXP(-LN(2)/25)*AA48+(1-EXP(-LN(2)/25))/(LN(2)/25)*Calculateur!V49*Calculateur!X49*VLOOKUP('Données projet'!$B$9,Paramètres!$A$1:$I$89,3,0)*0.475*44/12</f>
        <v>2.7687717219029939</v>
      </c>
      <c r="AB49" s="23">
        <f>EXP(-LN(2)/2)*AB48+(1-EXP(-LN(2)/2))/(LN(2)/2)*V49*Y49*VLOOKUP('Données projet'!$B$9,Paramètres!$A$1:$I$89,3,0)*0.475*44/12</f>
        <v>1.6933347714247305E-2</v>
      </c>
      <c r="AC49" s="24">
        <f t="shared" si="3"/>
        <v>8.9069747453340486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282.40000000000003</v>
      </c>
      <c r="AJ49" s="14">
        <f>AI49*VLOOKUP('Données projet'!$B$10,Paramètres!$A$1:$I$89,3,0)*VLOOKUP('Données projet'!$B$10,Paramètres!$A$1:$I$89,5,0)</f>
        <v>168.87520000000004</v>
      </c>
      <c r="AK49" s="14">
        <f t="shared" si="35"/>
        <v>42.838008554673955</v>
      </c>
      <c r="AL49" s="22">
        <f t="shared" si="4"/>
        <v>368.73383823272388</v>
      </c>
      <c r="AM49" s="62">
        <f t="shared" si="5"/>
        <v>662.06717156605714</v>
      </c>
      <c r="AN49" s="62">
        <f ca="1">AVERAGE(OFFSET($AM$3,0,0,'Données projet'!$E$10+1,1))-AVERAGE(OFFSET($H$3,0,0,'Données projet'!$E$10+1,1))</f>
        <v>295.01137243247126</v>
      </c>
      <c r="AO49" s="62">
        <f t="shared" si="36"/>
        <v>221.9773436301067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2.6523358392422249</v>
      </c>
      <c r="AV49" s="23">
        <f>EXP(-LN(2)/25)*AV48+(1-EXP(-LN(2)/25))/(LN(2)/25)*Calculateur!AQ49*Calculateur!AS49*VLOOKUP('Données projet'!$B$10,Paramètres!$A$1:$I$89,3,0)*0.475*44/12</f>
        <v>1.5515951433297976</v>
      </c>
      <c r="AW49" s="23">
        <f>EXP(-LN(2)/2)*AW48+(1-EXP(-LN(2)/2))/(LN(2)/2)*AQ49*AT49*VLOOKUP('Données projet'!$B$10,Paramètres!$A$1:$I$89,3,0)*0.475*44/12</f>
        <v>1.3488601800766477E-2</v>
      </c>
      <c r="AX49" s="23">
        <f t="shared" si="6"/>
        <v>4.2174195843727889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-5.6843418860808015E-14</v>
      </c>
      <c r="BE49" s="14">
        <f>BD49*VLOOKUP('Données projet'!$B$11,Paramètres!$A$1:$I$89,3,0)*VLOOKUP('Données projet'!$B$11,Paramètres!$A$1:$I$89,5,0)</f>
        <v>-3.1036506698001178E-14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159.92263609041913</v>
      </c>
      <c r="BJ49" s="62">
        <f t="shared" si="38"/>
        <v>271.78119133009307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16.707077873206416</v>
      </c>
      <c r="BQ49" s="23">
        <f>EXP(-LN(2)/25)*BQ48+(1-EXP(-LN(2)/25))/(LN(2)/25)*Calculateur!BL49*Calculateur!BN49*VLOOKUP('Données projet'!$B$11,Paramètres!$A$1:$I$89,3,0)*0.475*44/12</f>
        <v>12.326211030188871</v>
      </c>
      <c r="BR49" s="23">
        <f>EXP(-LN(2)/2)*BR48+(1-EXP(-LN(2)/2))/(LN(2)/2)*BL49*BO49*VLOOKUP('Données projet'!$B$11,Paramètres!$A$1:$I$89,3,0)*0.475*44/12</f>
        <v>3.1771833730139046E-2</v>
      </c>
      <c r="BS49" s="24">
        <f t="shared" si="9"/>
        <v>29.065060737125428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2.2737367544323206E-13</v>
      </c>
      <c r="O50" s="14">
        <f>N50*VLOOKUP('Données projet'!$B$9,Paramètres!$A$1:$I$89,3,0)*VLOOKUP('Données projet'!$B$9,Paramètres!$A$1:$I$89,5,0)</f>
        <v>1.2710188457276673E-13</v>
      </c>
      <c r="P50" s="14">
        <f t="shared" si="33"/>
        <v>1.856866851063998E-12</v>
      </c>
      <c r="Q50" s="22">
        <f t="shared" si="53"/>
        <v>3.4554122145673649E-12</v>
      </c>
      <c r="R50" s="62">
        <f t="shared" si="0"/>
        <v>293.33333333333678</v>
      </c>
      <c r="S50" s="62">
        <f ca="1">AVERAGE(OFFSET($R$3,0,0,'Données projet'!$E$9+1,1))-AVERAGE(OFFSET($H$3,0,0,'Données projet'!$E$9+1,1))</f>
        <v>210.566504119093</v>
      </c>
      <c r="T50" s="62">
        <f t="shared" si="34"/>
        <v>365.95065044620048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6.0012353109818415</v>
      </c>
      <c r="AA50" s="23">
        <f>EXP(-LN(2)/25)*AA49+(1-EXP(-LN(2)/25))/(LN(2)/25)*Calculateur!V50*Calculateur!X50*VLOOKUP('Données projet'!$B$9,Paramètres!$A$1:$I$89,3,0)*0.475*44/12</f>
        <v>2.6930595135641799</v>
      </c>
      <c r="AB50" s="23">
        <f>EXP(-LN(2)/2)*AB49+(1-EXP(-LN(2)/2))/(LN(2)/2)*V50*Y50*VLOOKUP('Données projet'!$B$9,Paramètres!$A$1:$I$89,3,0)*0.475*44/12</f>
        <v>1.1973684996933994E-2</v>
      </c>
      <c r="AC50" s="24">
        <f t="shared" si="3"/>
        <v>8.7062685095429551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299.8</v>
      </c>
      <c r="AJ50" s="14">
        <f>AI50*VLOOKUP('Données projet'!$B$10,Paramètres!$A$1:$I$89,3,0)*VLOOKUP('Données projet'!$B$10,Paramètres!$A$1:$I$89,5,0)</f>
        <v>179.28040000000001</v>
      </c>
      <c r="AK50" s="14">
        <f t="shared" si="35"/>
        <v>45.162051118824294</v>
      </c>
      <c r="AL50" s="22">
        <f t="shared" si="4"/>
        <v>390.90393569861902</v>
      </c>
      <c r="AM50" s="62">
        <f t="shared" si="5"/>
        <v>684.23726903195234</v>
      </c>
      <c r="AN50" s="62">
        <f ca="1">AVERAGE(OFFSET($AM$3,0,0,'Données projet'!$E$10+1,1))-AVERAGE(OFFSET($H$3,0,0,'Données projet'!$E$10+1,1))</f>
        <v>295.01137243247126</v>
      </c>
      <c r="AO50" s="62">
        <f t="shared" si="36"/>
        <v>221.9773436301067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2.6003251511998058</v>
      </c>
      <c r="AV50" s="23">
        <f>EXP(-LN(2)/25)*AV49+(1-EXP(-LN(2)/25))/(LN(2)/25)*Calculateur!AQ50*Calculateur!AS50*VLOOKUP('Données projet'!$B$10,Paramètres!$A$1:$I$89,3,0)*0.475*44/12</f>
        <v>1.509166692540602</v>
      </c>
      <c r="AW50" s="23">
        <f>EXP(-LN(2)/2)*AW49+(1-EXP(-LN(2)/2))/(LN(2)/2)*AQ50*AT50*VLOOKUP('Données projet'!$B$10,Paramètres!$A$1:$I$89,3,0)*0.475*44/12</f>
        <v>9.5378818020470518E-3</v>
      </c>
      <c r="AX50" s="23">
        <f t="shared" si="6"/>
        <v>4.1190297255424548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-5.6843418860808015E-14</v>
      </c>
      <c r="BE50" s="14">
        <f>BD50*VLOOKUP('Données projet'!$B$11,Paramètres!$A$1:$I$89,3,0)*VLOOKUP('Données projet'!$B$11,Paramètres!$A$1:$I$89,5,0)</f>
        <v>-3.1036506698001178E-14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159.92263609041913</v>
      </c>
      <c r="BJ50" s="62">
        <f t="shared" si="38"/>
        <v>271.78119133009307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16.379462266424131</v>
      </c>
      <c r="BQ50" s="23">
        <f>EXP(-LN(2)/25)*BQ49+(1-EXP(-LN(2)/25))/(LN(2)/25)*Calculateur!BL50*Calculateur!BN50*VLOOKUP('Données projet'!$B$11,Paramètres!$A$1:$I$89,3,0)*0.475*44/12</f>
        <v>11.98915014136109</v>
      </c>
      <c r="BR50" s="23">
        <f>EXP(-LN(2)/2)*BR49+(1-EXP(-LN(2)/2))/(LN(2)/2)*BL50*BO50*VLOOKUP('Données projet'!$B$11,Paramètres!$A$1:$I$89,3,0)*0.475*44/12</f>
        <v>2.24660790813128E-2</v>
      </c>
      <c r="BS50" s="24">
        <f t="shared" si="9"/>
        <v>28.391078486866533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2.2737367544323206E-13</v>
      </c>
      <c r="O51" s="14">
        <f>N51*VLOOKUP('Données projet'!$B$9,Paramètres!$A$1:$I$89,3,0)*VLOOKUP('Données projet'!$B$9,Paramètres!$A$1:$I$89,5,0)</f>
        <v>1.2710188457276673E-13</v>
      </c>
      <c r="P51" s="14">
        <f t="shared" si="33"/>
        <v>1.856866851063998E-12</v>
      </c>
      <c r="Q51" s="22">
        <f t="shared" si="53"/>
        <v>3.4554122145673649E-12</v>
      </c>
      <c r="R51" s="62">
        <f t="shared" si="0"/>
        <v>293.33333333333678</v>
      </c>
      <c r="S51" s="62">
        <f ca="1">AVERAGE(OFFSET($R$3,0,0,'Données projet'!$E$9+1,1))-AVERAGE(OFFSET($H$3,0,0,'Données projet'!$E$9+1,1))</f>
        <v>210.566504119093</v>
      </c>
      <c r="T51" s="62">
        <f t="shared" si="34"/>
        <v>365.95065044620048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5.8835547469255935</v>
      </c>
      <c r="AA51" s="23">
        <f>EXP(-LN(2)/25)*AA50+(1-EXP(-LN(2)/25))/(LN(2)/25)*Calculateur!V51*Calculateur!X51*VLOOKUP('Données projet'!$B$9,Paramètres!$A$1:$I$89,3,0)*0.475*44/12</f>
        <v>2.6194176595439225</v>
      </c>
      <c r="AB51" s="23">
        <f>EXP(-LN(2)/2)*AB50+(1-EXP(-LN(2)/2))/(LN(2)/2)*V51*Y51*VLOOKUP('Données projet'!$B$9,Paramètres!$A$1:$I$89,3,0)*0.475*44/12</f>
        <v>8.4666738571236525E-3</v>
      </c>
      <c r="AC51" s="24">
        <f t="shared" si="3"/>
        <v>8.5114390803266389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317.2</v>
      </c>
      <c r="AJ51" s="14">
        <f>AI51*VLOOKUP('Données projet'!$B$10,Paramètres!$A$1:$I$89,3,0)*VLOOKUP('Données projet'!$B$10,Paramètres!$A$1:$I$89,5,0)</f>
        <v>189.68560000000002</v>
      </c>
      <c r="AK51" s="14">
        <f t="shared" si="35"/>
        <v>47.470436776872745</v>
      </c>
      <c r="AL51" s="22">
        <f t="shared" si="4"/>
        <v>413.04676405305344</v>
      </c>
      <c r="AM51" s="62">
        <f t="shared" si="5"/>
        <v>706.38009738638675</v>
      </c>
      <c r="AN51" s="62">
        <f ca="1">AVERAGE(OFFSET($AM$3,0,0,'Données projet'!$E$10+1,1))-AVERAGE(OFFSET($H$3,0,0,'Données projet'!$E$10+1,1))</f>
        <v>295.01137243247126</v>
      </c>
      <c r="AO51" s="62">
        <f t="shared" si="36"/>
        <v>221.9773436301067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2.5493343610265113</v>
      </c>
      <c r="AV51" s="23">
        <f>EXP(-LN(2)/25)*AV50+(1-EXP(-LN(2)/25))/(LN(2)/25)*Calculateur!AQ51*Calculateur!AS51*VLOOKUP('Données projet'!$B$10,Paramètres!$A$1:$I$89,3,0)*0.475*44/12</f>
        <v>1.4678984499694521</v>
      </c>
      <c r="AW51" s="23">
        <f>EXP(-LN(2)/2)*AW50+(1-EXP(-LN(2)/2))/(LN(2)/2)*AQ51*AT51*VLOOKUP('Données projet'!$B$10,Paramètres!$A$1:$I$89,3,0)*0.475*44/12</f>
        <v>6.7443009003832384E-3</v>
      </c>
      <c r="AX51" s="23">
        <f t="shared" si="6"/>
        <v>4.0239771118963468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-5.6843418860808015E-14</v>
      </c>
      <c r="BE51" s="14">
        <f>BD51*VLOOKUP('Données projet'!$B$11,Paramètres!$A$1:$I$89,3,0)*VLOOKUP('Données projet'!$B$11,Paramètres!$A$1:$I$89,5,0)</f>
        <v>-3.1036506698001178E-14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159.92263609041913</v>
      </c>
      <c r="BJ51" s="62">
        <f t="shared" si="38"/>
        <v>271.78119133009307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16.058271001865059</v>
      </c>
      <c r="BQ51" s="23">
        <f>EXP(-LN(2)/25)*BQ50+(1-EXP(-LN(2)/25))/(LN(2)/25)*Calculateur!BL51*Calculateur!BN51*VLOOKUP('Données projet'!$B$11,Paramètres!$A$1:$I$89,3,0)*0.475*44/12</f>
        <v>11.661306200263567</v>
      </c>
      <c r="BR51" s="23">
        <f>EXP(-LN(2)/2)*BR50+(1-EXP(-LN(2)/2))/(LN(2)/2)*BL51*BO51*VLOOKUP('Données projet'!$B$11,Paramètres!$A$1:$I$89,3,0)*0.475*44/12</f>
        <v>1.5885916865069523E-2</v>
      </c>
      <c r="BS51" s="24">
        <f t="shared" si="9"/>
        <v>27.735463118993696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2.2737367544323206E-13</v>
      </c>
      <c r="O52" s="14">
        <f>N52*VLOOKUP('Données projet'!$B$9,Paramètres!$A$1:$I$89,3,0)*VLOOKUP('Données projet'!$B$9,Paramètres!$A$1:$I$89,5,0)</f>
        <v>1.2710188457276673E-13</v>
      </c>
      <c r="P52" s="14">
        <f t="shared" si="33"/>
        <v>1.856866851063998E-12</v>
      </c>
      <c r="Q52" s="22">
        <f t="shared" si="53"/>
        <v>3.4554122145673649E-12</v>
      </c>
      <c r="R52" s="62">
        <f t="shared" si="0"/>
        <v>293.33333333333678</v>
      </c>
      <c r="S52" s="62">
        <f ca="1">AVERAGE(OFFSET($R$3,0,0,'Données projet'!$E$9+1,1))-AVERAGE(OFFSET($H$3,0,0,'Données projet'!$E$9+1,1))</f>
        <v>210.566504119093</v>
      </c>
      <c r="T52" s="62">
        <f t="shared" si="34"/>
        <v>365.95065044620048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5.7681818269524321</v>
      </c>
      <c r="AA52" s="23">
        <f>EXP(-LN(2)/25)*AA51+(1-EXP(-LN(2)/25))/(LN(2)/25)*Calculateur!V52*Calculateur!X52*VLOOKUP('Données projet'!$B$9,Paramètres!$A$1:$I$89,3,0)*0.475*44/12</f>
        <v>2.5477895458945059</v>
      </c>
      <c r="AB52" s="23">
        <f>EXP(-LN(2)/2)*AB51+(1-EXP(-LN(2)/2))/(LN(2)/2)*V52*Y52*VLOOKUP('Données projet'!$B$9,Paramètres!$A$1:$I$89,3,0)*0.475*44/12</f>
        <v>5.9868424984669969E-3</v>
      </c>
      <c r="AC52" s="24">
        <f t="shared" si="3"/>
        <v>8.3219582153454059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334.59999999999997</v>
      </c>
      <c r="AJ52" s="14">
        <f>AI52*VLOOKUP('Données projet'!$B$10,Paramètres!$A$1:$I$89,3,0)*VLOOKUP('Données projet'!$B$10,Paramètres!$A$1:$I$89,5,0)</f>
        <v>200.0908</v>
      </c>
      <c r="AK52" s="14">
        <f t="shared" si="35"/>
        <v>49.764122289960234</v>
      </c>
      <c r="AL52" s="22">
        <f t="shared" si="4"/>
        <v>435.16398965501406</v>
      </c>
      <c r="AM52" s="62">
        <f t="shared" si="5"/>
        <v>728.49732298834738</v>
      </c>
      <c r="AN52" s="62">
        <f ca="1">AVERAGE(OFFSET($AM$3,0,0,'Données projet'!$E$10+1,1))-AVERAGE(OFFSET($H$3,0,0,'Données projet'!$E$10+1,1))</f>
        <v>295.01137243247126</v>
      </c>
      <c r="AO52" s="62">
        <f t="shared" si="36"/>
        <v>221.9773436301067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2.4993434691472043</v>
      </c>
      <c r="AV52" s="23">
        <f>EXP(-LN(2)/25)*AV51+(1-EXP(-LN(2)/25))/(LN(2)/25)*Calculateur!AQ52*Calculateur!AS52*VLOOKUP('Données projet'!$B$10,Paramètres!$A$1:$I$89,3,0)*0.475*44/12</f>
        <v>1.4277586896616128</v>
      </c>
      <c r="AW52" s="23">
        <f>EXP(-LN(2)/2)*AW51+(1-EXP(-LN(2)/2))/(LN(2)/2)*AQ52*AT52*VLOOKUP('Données projet'!$B$10,Paramètres!$A$1:$I$89,3,0)*0.475*44/12</f>
        <v>4.7689409010235259E-3</v>
      </c>
      <c r="AX52" s="23">
        <f t="shared" si="6"/>
        <v>3.9318710997098409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-5.6843418860808015E-14</v>
      </c>
      <c r="BE52" s="14">
        <f>BD52*VLOOKUP('Données projet'!$B$11,Paramètres!$A$1:$I$89,3,0)*VLOOKUP('Données projet'!$B$11,Paramètres!$A$1:$I$89,5,0)</f>
        <v>-3.1036506698001178E-14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159.92263609041913</v>
      </c>
      <c r="BJ52" s="62">
        <f t="shared" si="38"/>
        <v>271.78119133009307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15.743378102096662</v>
      </c>
      <c r="BQ52" s="23">
        <f>EXP(-LN(2)/25)*BQ51+(1-EXP(-LN(2)/25))/(LN(2)/25)*Calculateur!BL52*Calculateur!BN52*VLOOKUP('Données projet'!$B$11,Paramètres!$A$1:$I$89,3,0)*0.475*44/12</f>
        <v>11.342427168975918</v>
      </c>
      <c r="BR52" s="23">
        <f>EXP(-LN(2)/2)*BR51+(1-EXP(-LN(2)/2))/(LN(2)/2)*BL52*BO52*VLOOKUP('Données projet'!$B$11,Paramètres!$A$1:$I$89,3,0)*0.475*44/12</f>
        <v>1.12330395406564E-2</v>
      </c>
      <c r="BS52" s="24">
        <f t="shared" si="9"/>
        <v>27.097038310613236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2.2737367544323206E-13</v>
      </c>
      <c r="O53" s="14">
        <f>N53*VLOOKUP('Données projet'!$B$9,Paramètres!$A$1:$I$89,3,0)*VLOOKUP('Données projet'!$B$9,Paramètres!$A$1:$I$89,5,0)</f>
        <v>1.2710188457276673E-13</v>
      </c>
      <c r="P53" s="14">
        <f t="shared" si="33"/>
        <v>1.856866851063998E-12</v>
      </c>
      <c r="Q53" s="22">
        <f t="shared" si="53"/>
        <v>3.4554122145673649E-12</v>
      </c>
      <c r="R53" s="62">
        <f t="shared" si="0"/>
        <v>293.33333333333678</v>
      </c>
      <c r="S53" s="62">
        <f ca="1">AVERAGE(OFFSET($R$3,0,0,'Données projet'!$E$9+1,1))-AVERAGE(OFFSET($H$3,0,0,'Données projet'!$E$9+1,1))</f>
        <v>210.566504119093</v>
      </c>
      <c r="T53" s="62">
        <f t="shared" si="34"/>
        <v>365.95065044620048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5.6550712995694115</v>
      </c>
      <c r="AA53" s="23">
        <f>EXP(-LN(2)/25)*AA52+(1-EXP(-LN(2)/25))/(LN(2)/25)*Calculateur!V53*Calculateur!X53*VLOOKUP('Données projet'!$B$9,Paramètres!$A$1:$I$89,3,0)*0.475*44/12</f>
        <v>2.4781201067795915</v>
      </c>
      <c r="AB53" s="23">
        <f>EXP(-LN(2)/2)*AB52+(1-EXP(-LN(2)/2))/(LN(2)/2)*V53*Y53*VLOOKUP('Données projet'!$B$9,Paramètres!$A$1:$I$89,3,0)*0.475*44/12</f>
        <v>4.2333369285618263E-3</v>
      </c>
      <c r="AC53" s="24">
        <f t="shared" si="3"/>
        <v>8.137424743277565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352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351.99999999999994</v>
      </c>
      <c r="AJ53" s="14">
        <f>AI53*VLOOKUP('Données projet'!$B$10,Paramètres!$A$1:$I$89,3,0)*VLOOKUP('Données projet'!$B$10,Paramètres!$A$1:$I$89,5,0)</f>
        <v>210.49599999999998</v>
      </c>
      <c r="AK53" s="14">
        <f t="shared" si="35"/>
        <v>52.043959291168463</v>
      </c>
      <c r="AL53" s="22">
        <f t="shared" si="4"/>
        <v>457.25709576545165</v>
      </c>
      <c r="AM53" s="62">
        <f t="shared" si="5"/>
        <v>750.59042909878497</v>
      </c>
      <c r="AN53" s="62">
        <f ca="1">AVERAGE(OFFSET($AM$3,0,0,'Données projet'!$E$10+1,1))-AVERAGE(OFFSET($H$3,0,0,'Données projet'!$E$10+1,1))</f>
        <v>295.01137243247126</v>
      </c>
      <c r="AO53" s="62">
        <f t="shared" si="36"/>
        <v>221.9773436301067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2.4503328681662171</v>
      </c>
      <c r="AV53" s="23">
        <f>EXP(-LN(2)/25)*AV52+(1-EXP(-LN(2)/25))/(LN(2)/25)*Calculateur!AQ53*Calculateur!AS53*VLOOKUP('Données projet'!$B$10,Paramètres!$A$1:$I$89,3,0)*0.475*44/12</f>
        <v>1.3887165532102497</v>
      </c>
      <c r="AW53" s="23">
        <f>EXP(-LN(2)/2)*AW52+(1-EXP(-LN(2)/2))/(LN(2)/2)*AQ53*AT53*VLOOKUP('Données projet'!$B$10,Paramètres!$A$1:$I$89,3,0)*0.475*44/12</f>
        <v>3.3721504501916192E-3</v>
      </c>
      <c r="AX53" s="23">
        <f t="shared" si="6"/>
        <v>3.8424215718266583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-5.6843418860808015E-14</v>
      </c>
      <c r="BE53" s="14">
        <f>BD53*VLOOKUP('Données projet'!$B$11,Paramètres!$A$1:$I$89,3,0)*VLOOKUP('Données projet'!$B$11,Paramètres!$A$1:$I$89,5,0)</f>
        <v>-3.1036506698001178E-14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159.92263609041913</v>
      </c>
      <c r="BJ53" s="62">
        <f t="shared" si="38"/>
        <v>271.78119133009307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15.434660060027019</v>
      </c>
      <c r="BQ53" s="23">
        <f>EXP(-LN(2)/25)*BQ52+(1-EXP(-LN(2)/25))/(LN(2)/25)*Calculateur!BL53*Calculateur!BN53*VLOOKUP('Données projet'!$B$11,Paramètres!$A$1:$I$89,3,0)*0.475*44/12</f>
        <v>11.03226790156795</v>
      </c>
      <c r="BR53" s="23">
        <f>EXP(-LN(2)/2)*BR52+(1-EXP(-LN(2)/2))/(LN(2)/2)*BL53*BO53*VLOOKUP('Données projet'!$B$11,Paramètres!$A$1:$I$89,3,0)*0.475*44/12</f>
        <v>7.9429584325347614E-3</v>
      </c>
      <c r="BS53" s="24">
        <f t="shared" si="9"/>
        <v>26.474870920027502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2.2737367544323206E-13</v>
      </c>
      <c r="O54" s="14">
        <f>N54*VLOOKUP('Données projet'!$B$9,Paramètres!$A$1:$I$89,3,0)*VLOOKUP('Données projet'!$B$9,Paramètres!$A$1:$I$89,5,0)</f>
        <v>1.2710188457276673E-13</v>
      </c>
      <c r="P54" s="14">
        <f t="shared" si="33"/>
        <v>1.856866851063998E-12</v>
      </c>
      <c r="Q54" s="22">
        <f t="shared" si="53"/>
        <v>3.4554122145673649E-12</v>
      </c>
      <c r="R54" s="62">
        <f t="shared" si="0"/>
        <v>293.33333333333678</v>
      </c>
      <c r="S54" s="62">
        <f ca="1">AVERAGE(OFFSET($R$3,0,0,'Données projet'!$E$9+1,1))-AVERAGE(OFFSET($H$3,0,0,'Données projet'!$E$9+1,1))</f>
        <v>210.566504119093</v>
      </c>
      <c r="T54" s="62">
        <f t="shared" si="34"/>
        <v>365.95065044620048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5.5441788006377628</v>
      </c>
      <c r="AA54" s="23">
        <f>EXP(-LN(2)/25)*AA53+(1-EXP(-LN(2)/25))/(LN(2)/25)*Calculateur!V54*Calculateur!X54*VLOOKUP('Données projet'!$B$9,Paramètres!$A$1:$I$89,3,0)*0.475*44/12</f>
        <v>2.4103557821410311</v>
      </c>
      <c r="AB54" s="23">
        <f>EXP(-LN(2)/2)*AB53+(1-EXP(-LN(2)/2))/(LN(2)/2)*V54*Y54*VLOOKUP('Données projet'!$B$9,Paramètres!$A$1:$I$89,3,0)*0.475*44/12</f>
        <v>2.9934212492334984E-3</v>
      </c>
      <c r="AC54" s="24">
        <f t="shared" si="3"/>
        <v>7.9575280040280276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316.62499999999994</v>
      </c>
      <c r="AJ54" s="14">
        <f>AI54*VLOOKUP('Données projet'!$B$10,Paramètres!$A$1:$I$89,3,0)*VLOOKUP('Données projet'!$B$10,Paramètres!$A$1:$I$89,5,0)</f>
        <v>189.34174999999999</v>
      </c>
      <c r="AK54" s="14">
        <f t="shared" si="35"/>
        <v>47.394393740797923</v>
      </c>
      <c r="AL54" s="22">
        <f t="shared" si="4"/>
        <v>412.31545034855634</v>
      </c>
      <c r="AM54" s="62">
        <f t="shared" si="5"/>
        <v>705.64878368188965</v>
      </c>
      <c r="AN54" s="62">
        <f ca="1">AVERAGE(OFFSET($AM$3,0,0,'Données projet'!$E$10+1,1))-AVERAGE(OFFSET($H$3,0,0,'Données projet'!$E$10+1,1))</f>
        <v>295.01137243247126</v>
      </c>
      <c r="AO54" s="62">
        <f t="shared" si="36"/>
        <v>221.9773436301067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2.4022833351769521</v>
      </c>
      <c r="AV54" s="23">
        <f>EXP(-LN(2)/25)*AV53+(1-EXP(-LN(2)/25))/(LN(2)/25)*Calculateur!AQ54*Calculateur!AS54*VLOOKUP('Données projet'!$B$10,Paramètres!$A$1:$I$89,3,0)*0.475*44/12</f>
        <v>1.3507420260332859</v>
      </c>
      <c r="AW54" s="23">
        <f>EXP(-LN(2)/2)*AW53+(1-EXP(-LN(2)/2))/(LN(2)/2)*AQ54*AT54*VLOOKUP('Données projet'!$B$10,Paramètres!$A$1:$I$89,3,0)*0.475*44/12</f>
        <v>2.384470450511763E-3</v>
      </c>
      <c r="AX54" s="23">
        <f t="shared" si="6"/>
        <v>3.7554098316607494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-5.6843418860808015E-14</v>
      </c>
      <c r="BE54" s="14">
        <f>BD54*VLOOKUP('Données projet'!$B$11,Paramètres!$A$1:$I$89,3,0)*VLOOKUP('Données projet'!$B$11,Paramètres!$A$1:$I$89,5,0)</f>
        <v>-3.1036506698001178E-14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159.92263609041913</v>
      </c>
      <c r="BJ54" s="62">
        <f t="shared" si="38"/>
        <v>271.78119133009307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15.13199579046295</v>
      </c>
      <c r="BQ54" s="23">
        <f>EXP(-LN(2)/25)*BQ53+(1-EXP(-LN(2)/25))/(LN(2)/25)*Calculateur!BL54*Calculateur!BN54*VLOOKUP('Données projet'!$B$11,Paramètres!$A$1:$I$89,3,0)*0.475*44/12</f>
        <v>10.73058995563782</v>
      </c>
      <c r="BR54" s="23">
        <f>EXP(-LN(2)/2)*BR53+(1-EXP(-LN(2)/2))/(LN(2)/2)*BL54*BO54*VLOOKUP('Données projet'!$B$11,Paramètres!$A$1:$I$89,3,0)*0.475*44/12</f>
        <v>5.6165197703282E-3</v>
      </c>
      <c r="BS54" s="24">
        <f t="shared" si="9"/>
        <v>25.868202265871098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2.2737367544323206E-13</v>
      </c>
      <c r="O55" s="14">
        <f>N55*VLOOKUP('Données projet'!$B$9,Paramètres!$A$1:$I$89,3,0)*VLOOKUP('Données projet'!$B$9,Paramètres!$A$1:$I$89,5,0)</f>
        <v>1.2710188457276673E-13</v>
      </c>
      <c r="P55" s="14">
        <f t="shared" si="33"/>
        <v>1.856866851063998E-12</v>
      </c>
      <c r="Q55" s="22">
        <f t="shared" si="53"/>
        <v>3.4554122145673649E-12</v>
      </c>
      <c r="R55" s="62">
        <f t="shared" si="0"/>
        <v>293.33333333333678</v>
      </c>
      <c r="S55" s="62">
        <f ca="1">AVERAGE(OFFSET($R$3,0,0,'Données projet'!$E$9+1,1))-AVERAGE(OFFSET($H$3,0,0,'Données projet'!$E$9+1,1))</f>
        <v>210.566504119093</v>
      </c>
      <c r="T55" s="62">
        <f t="shared" si="34"/>
        <v>365.95065044620048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5.4354608359724175</v>
      </c>
      <c r="AA55" s="23">
        <f>EXP(-LN(2)/25)*AA54+(1-EXP(-LN(2)/25))/(LN(2)/25)*Calculateur!V55*Calculateur!X55*VLOOKUP('Données projet'!$B$9,Paramètres!$A$1:$I$89,3,0)*0.475*44/12</f>
        <v>2.3444444765232828</v>
      </c>
      <c r="AB55" s="23">
        <f>EXP(-LN(2)/2)*AB54+(1-EXP(-LN(2)/2))/(LN(2)/2)*V55*Y55*VLOOKUP('Données projet'!$B$9,Paramètres!$A$1:$I$89,3,0)*0.475*44/12</f>
        <v>2.1166684642809131E-3</v>
      </c>
      <c r="AC55" s="24">
        <f t="shared" si="3"/>
        <v>7.7820219809599811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334.24999999999994</v>
      </c>
      <c r="AJ55" s="14">
        <f>AI55*VLOOKUP('Données projet'!$B$10,Paramètres!$A$1:$I$89,3,0)*VLOOKUP('Données projet'!$B$10,Paramètres!$A$1:$I$89,5,0)</f>
        <v>199.88149999999996</v>
      </c>
      <c r="AK55" s="14">
        <f t="shared" si="35"/>
        <v>49.71812411377941</v>
      </c>
      <c r="AL55" s="22">
        <f t="shared" si="4"/>
        <v>434.71934533149914</v>
      </c>
      <c r="AM55" s="62">
        <f t="shared" si="5"/>
        <v>728.05267866483246</v>
      </c>
      <c r="AN55" s="62">
        <f ca="1">AVERAGE(OFFSET($AM$3,0,0,'Données projet'!$E$10+1,1))-AVERAGE(OFFSET($H$3,0,0,'Données projet'!$E$10+1,1))</f>
        <v>295.01137243247126</v>
      </c>
      <c r="AO55" s="62">
        <f t="shared" si="36"/>
        <v>221.9773436301067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2.3551760242222852</v>
      </c>
      <c r="AV55" s="23">
        <f>EXP(-LN(2)/25)*AV54+(1-EXP(-LN(2)/25))/(LN(2)/25)*Calculateur!AQ55*Calculateur!AS55*VLOOKUP('Données projet'!$B$10,Paramètres!$A$1:$I$89,3,0)*0.475*44/12</f>
        <v>1.3138059142989698</v>
      </c>
      <c r="AW55" s="23">
        <f>EXP(-LN(2)/2)*AW54+(1-EXP(-LN(2)/2))/(LN(2)/2)*AQ55*AT55*VLOOKUP('Données projet'!$B$10,Paramètres!$A$1:$I$89,3,0)*0.475*44/12</f>
        <v>1.6860752250958096E-3</v>
      </c>
      <c r="AX55" s="23">
        <f t="shared" si="6"/>
        <v>3.6706680137463508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-5.6843418860808015E-14</v>
      </c>
      <c r="BE55" s="14">
        <f>BD55*VLOOKUP('Données projet'!$B$11,Paramètres!$A$1:$I$89,3,0)*VLOOKUP('Données projet'!$B$11,Paramètres!$A$1:$I$89,5,0)</f>
        <v>-3.1036506698001178E-14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159.92263609041913</v>
      </c>
      <c r="BJ55" s="62">
        <f t="shared" si="38"/>
        <v>271.78119133009307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14.835266582618056</v>
      </c>
      <c r="BQ55" s="23">
        <f>EXP(-LN(2)/25)*BQ54+(1-EXP(-LN(2)/25))/(LN(2)/25)*Calculateur!BL55*Calculateur!BN55*VLOOKUP('Données projet'!$B$11,Paramètres!$A$1:$I$89,3,0)*0.475*44/12</f>
        <v>10.437161409003703</v>
      </c>
      <c r="BR55" s="23">
        <f>EXP(-LN(2)/2)*BR54+(1-EXP(-LN(2)/2))/(LN(2)/2)*BL55*BO55*VLOOKUP('Données projet'!$B$11,Paramètres!$A$1:$I$89,3,0)*0.475*44/12</f>
        <v>3.9714792162673807E-3</v>
      </c>
      <c r="BS55" s="24">
        <f t="shared" si="9"/>
        <v>25.27639947083803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2.2737367544323206E-13</v>
      </c>
      <c r="O56" s="14">
        <f>N56*VLOOKUP('Données projet'!$B$9,Paramètres!$A$1:$I$89,3,0)*VLOOKUP('Données projet'!$B$9,Paramètres!$A$1:$I$89,5,0)</f>
        <v>1.2710188457276673E-13</v>
      </c>
      <c r="P56" s="14">
        <f t="shared" si="33"/>
        <v>1.856866851063998E-12</v>
      </c>
      <c r="Q56" s="22">
        <f t="shared" si="53"/>
        <v>3.4554122145673649E-12</v>
      </c>
      <c r="R56" s="62">
        <f t="shared" si="0"/>
        <v>293.33333333333678</v>
      </c>
      <c r="S56" s="62">
        <f ca="1">AVERAGE(OFFSET($R$3,0,0,'Données projet'!$E$9+1,1))-AVERAGE(OFFSET($H$3,0,0,'Données projet'!$E$9+1,1))</f>
        <v>210.566504119093</v>
      </c>
      <c r="T56" s="62">
        <f t="shared" si="34"/>
        <v>365.95065044620048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5.328874764282749</v>
      </c>
      <c r="AA56" s="23">
        <f>EXP(-LN(2)/25)*AA55+(1-EXP(-LN(2)/25))/(LN(2)/25)*Calculateur!V56*Calculateur!X56*VLOOKUP('Données projet'!$B$9,Paramètres!$A$1:$I$89,3,0)*0.475*44/12</f>
        <v>2.2803355190237768</v>
      </c>
      <c r="AB56" s="23">
        <f>EXP(-LN(2)/2)*AB55+(1-EXP(-LN(2)/2))/(LN(2)/2)*V56*Y56*VLOOKUP('Données projet'!$B$9,Paramètres!$A$1:$I$89,3,0)*0.475*44/12</f>
        <v>1.4967106246167492E-3</v>
      </c>
      <c r="AC56" s="24">
        <f t="shared" si="3"/>
        <v>7.6107069939311423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351.87499999999994</v>
      </c>
      <c r="AJ56" s="14">
        <f>AI56*VLOOKUP('Données projet'!$B$10,Paramètres!$A$1:$I$89,3,0)*VLOOKUP('Données projet'!$B$10,Paramètres!$A$1:$I$89,5,0)</f>
        <v>210.42124999999999</v>
      </c>
      <c r="AK56" s="14">
        <f t="shared" si="35"/>
        <v>52.027628682866947</v>
      </c>
      <c r="AL56" s="22">
        <f t="shared" si="4"/>
        <v>457.09846370599325</v>
      </c>
      <c r="AM56" s="62">
        <f t="shared" si="5"/>
        <v>750.43179703932651</v>
      </c>
      <c r="AN56" s="62">
        <f ca="1">AVERAGE(OFFSET($AM$3,0,0,'Données projet'!$E$10+1,1))-AVERAGE(OFFSET($H$3,0,0,'Données projet'!$E$10+1,1))</f>
        <v>295.01137243247126</v>
      </c>
      <c r="AO56" s="62">
        <f t="shared" si="36"/>
        <v>221.9773436301067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2.308992458902817</v>
      </c>
      <c r="AV56" s="23">
        <f>EXP(-LN(2)/25)*AV55+(1-EXP(-LN(2)/25))/(LN(2)/25)*Calculateur!AQ56*Calculateur!AS56*VLOOKUP('Données projet'!$B$10,Paramètres!$A$1:$I$89,3,0)*0.475*44/12</f>
        <v>1.2778798224824142</v>
      </c>
      <c r="AW56" s="23">
        <f>EXP(-LN(2)/2)*AW55+(1-EXP(-LN(2)/2))/(LN(2)/2)*AQ56*AT56*VLOOKUP('Données projet'!$B$10,Paramètres!$A$1:$I$89,3,0)*0.475*44/12</f>
        <v>1.1922352252558815E-3</v>
      </c>
      <c r="AX56" s="23">
        <f t="shared" si="6"/>
        <v>3.588064516610487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-5.6843418860808015E-14</v>
      </c>
      <c r="BE56" s="14">
        <f>BD56*VLOOKUP('Données projet'!$B$11,Paramètres!$A$1:$I$89,3,0)*VLOOKUP('Données projet'!$B$11,Paramètres!$A$1:$I$89,5,0)</f>
        <v>-3.1036506698001178E-14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159.92263609041913</v>
      </c>
      <c r="BJ56" s="62">
        <f t="shared" si="38"/>
        <v>271.78119133009307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14.544356053552054</v>
      </c>
      <c r="BQ56" s="23">
        <f>EXP(-LN(2)/25)*BQ55+(1-EXP(-LN(2)/25))/(LN(2)/25)*Calculateur!BL56*Calculateur!BN56*VLOOKUP('Données projet'!$B$11,Paramètres!$A$1:$I$89,3,0)*0.475*44/12</f>
        <v>10.151756681408033</v>
      </c>
      <c r="BR56" s="23">
        <f>EXP(-LN(2)/2)*BR55+(1-EXP(-LN(2)/2))/(LN(2)/2)*BL56*BO56*VLOOKUP('Données projet'!$B$11,Paramètres!$A$1:$I$89,3,0)*0.475*44/12</f>
        <v>2.8082598851641E-3</v>
      </c>
      <c r="BS56" s="24">
        <f t="shared" si="9"/>
        <v>24.698920994845253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2.2737367544323206E-13</v>
      </c>
      <c r="O57" s="14">
        <f>N57*VLOOKUP('Données projet'!$B$9,Paramètres!$A$1:$I$89,3,0)*VLOOKUP('Données projet'!$B$9,Paramètres!$A$1:$I$89,5,0)</f>
        <v>1.2710188457276673E-13</v>
      </c>
      <c r="P57" s="14">
        <f t="shared" si="33"/>
        <v>1.856866851063998E-12</v>
      </c>
      <c r="Q57" s="22">
        <f t="shared" si="53"/>
        <v>3.4554122145673649E-12</v>
      </c>
      <c r="R57" s="62">
        <f t="shared" si="0"/>
        <v>293.33333333333678</v>
      </c>
      <c r="S57" s="62">
        <f ca="1">AVERAGE(OFFSET($R$3,0,0,'Données projet'!$E$9+1,1))-AVERAGE(OFFSET($H$3,0,0,'Données projet'!$E$9+1,1))</f>
        <v>210.566504119093</v>
      </c>
      <c r="T57" s="62">
        <f t="shared" si="34"/>
        <v>365.95065044620048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5.2243787804478306</v>
      </c>
      <c r="AA57" s="23">
        <f>EXP(-LN(2)/25)*AA56+(1-EXP(-LN(2)/25))/(LN(2)/25)*Calculateur!V57*Calculateur!X57*VLOOKUP('Données projet'!$B$9,Paramètres!$A$1:$I$89,3,0)*0.475*44/12</f>
        <v>2.2179796243384384</v>
      </c>
      <c r="AB57" s="23">
        <f>EXP(-LN(2)/2)*AB56+(1-EXP(-LN(2)/2))/(LN(2)/2)*V57*Y57*VLOOKUP('Données projet'!$B$9,Paramètres!$A$1:$I$89,3,0)*0.475*44/12</f>
        <v>1.0583342321404566E-3</v>
      </c>
      <c r="AC57" s="24">
        <f t="shared" si="3"/>
        <v>7.4434167390184092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369.49999999999994</v>
      </c>
      <c r="AJ57" s="14">
        <f>AI57*VLOOKUP('Données projet'!$B$10,Paramètres!$A$1:$I$89,3,0)*VLOOKUP('Données projet'!$B$10,Paramètres!$A$1:$I$89,5,0)</f>
        <v>220.96099999999996</v>
      </c>
      <c r="AK57" s="14">
        <f t="shared" si="35"/>
        <v>54.323701308314696</v>
      </c>
      <c r="AL57" s="22">
        <f t="shared" si="4"/>
        <v>479.45418811198141</v>
      </c>
      <c r="AM57" s="62">
        <f t="shared" si="5"/>
        <v>772.78752144531472</v>
      </c>
      <c r="AN57" s="62">
        <f ca="1">AVERAGE(OFFSET($AM$3,0,0,'Données projet'!$E$10+1,1))-AVERAGE(OFFSET($H$3,0,0,'Données projet'!$E$10+1,1))</f>
        <v>295.01137243247126</v>
      </c>
      <c r="AO57" s="62">
        <f t="shared" si="36"/>
        <v>221.9773436301067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2.2637145251300699</v>
      </c>
      <c r="AV57" s="23">
        <f>EXP(-LN(2)/25)*AV56+(1-EXP(-LN(2)/25))/(LN(2)/25)*Calculateur!AQ57*Calculateur!AS57*VLOOKUP('Données projet'!$B$10,Paramètres!$A$1:$I$89,3,0)*0.475*44/12</f>
        <v>1.2429361315358534</v>
      </c>
      <c r="AW57" s="23">
        <f>EXP(-LN(2)/2)*AW56+(1-EXP(-LN(2)/2))/(LN(2)/2)*AQ57*AT57*VLOOKUP('Données projet'!$B$10,Paramètres!$A$1:$I$89,3,0)*0.475*44/12</f>
        <v>8.430376125479048E-4</v>
      </c>
      <c r="AX57" s="23">
        <f t="shared" si="6"/>
        <v>3.5074936942784709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-5.6843418860808015E-14</v>
      </c>
      <c r="BE57" s="14">
        <f>BD57*VLOOKUP('Données projet'!$B$11,Paramètres!$A$1:$I$89,3,0)*VLOOKUP('Données projet'!$B$11,Paramètres!$A$1:$I$89,5,0)</f>
        <v>-3.1036506698001178E-14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159.92263609041913</v>
      </c>
      <c r="BJ57" s="62">
        <f t="shared" si="38"/>
        <v>271.78119133009307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14.259150102523135</v>
      </c>
      <c r="BQ57" s="23">
        <f>EXP(-LN(2)/25)*BQ56+(1-EXP(-LN(2)/25))/(LN(2)/25)*Calculateur!BL57*Calculateur!BN57*VLOOKUP('Données projet'!$B$11,Paramètres!$A$1:$I$89,3,0)*0.475*44/12</f>
        <v>9.8741563610972491</v>
      </c>
      <c r="BR57" s="23">
        <f>EXP(-LN(2)/2)*BR56+(1-EXP(-LN(2)/2))/(LN(2)/2)*BL57*BO57*VLOOKUP('Données projet'!$B$11,Paramètres!$A$1:$I$89,3,0)*0.475*44/12</f>
        <v>1.9857396081336904E-3</v>
      </c>
      <c r="BS57" s="24">
        <f t="shared" si="9"/>
        <v>24.13529220322852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2.2737367544323206E-13</v>
      </c>
      <c r="O58" s="14">
        <f>N58*VLOOKUP('Données projet'!$B$9,Paramètres!$A$1:$I$89,3,0)*VLOOKUP('Données projet'!$B$9,Paramètres!$A$1:$I$89,5,0)</f>
        <v>1.2710188457276673E-13</v>
      </c>
      <c r="P58" s="14">
        <f t="shared" si="33"/>
        <v>1.856866851063998E-12</v>
      </c>
      <c r="Q58" s="22">
        <f t="shared" si="53"/>
        <v>3.4554122145673649E-12</v>
      </c>
      <c r="R58" s="62">
        <f t="shared" si="0"/>
        <v>293.33333333333678</v>
      </c>
      <c r="S58" s="62">
        <f ca="1">AVERAGE(OFFSET($R$3,0,0,'Données projet'!$E$9+1,1))-AVERAGE(OFFSET($H$3,0,0,'Données projet'!$E$9+1,1))</f>
        <v>210.566504119093</v>
      </c>
      <c r="T58" s="62">
        <f t="shared" si="34"/>
        <v>365.95065044620048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5.1219318991196587</v>
      </c>
      <c r="AA58" s="23">
        <f>EXP(-LN(2)/25)*AA57+(1-EXP(-LN(2)/25))/(LN(2)/25)*Calculateur!V58*Calculateur!X58*VLOOKUP('Données projet'!$B$9,Paramètres!$A$1:$I$89,3,0)*0.475*44/12</f>
        <v>2.1573288548724245</v>
      </c>
      <c r="AB58" s="23">
        <f>EXP(-LN(2)/2)*AB57+(1-EXP(-LN(2)/2))/(LN(2)/2)*V58*Y58*VLOOKUP('Données projet'!$B$9,Paramètres!$A$1:$I$89,3,0)*0.475*44/12</f>
        <v>7.4835531230837461E-4</v>
      </c>
      <c r="AC58" s="24">
        <f t="shared" si="3"/>
        <v>7.2800091093043919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387.12499999999994</v>
      </c>
      <c r="AJ58" s="14">
        <f>AI58*VLOOKUP('Données projet'!$B$10,Paramètres!$A$1:$I$89,3,0)*VLOOKUP('Données projet'!$B$10,Paramètres!$A$1:$I$89,5,0)</f>
        <v>231.50074999999998</v>
      </c>
      <c r="AK58" s="14">
        <f t="shared" si="35"/>
        <v>56.607055837426749</v>
      </c>
      <c r="AL58" s="22">
        <f t="shared" si="4"/>
        <v>501.78776183351812</v>
      </c>
      <c r="AM58" s="62">
        <f t="shared" si="5"/>
        <v>795.12109516685143</v>
      </c>
      <c r="AN58" s="62">
        <f ca="1">AVERAGE(OFFSET($AM$3,0,0,'Données projet'!$E$10+1,1))-AVERAGE(OFFSET($H$3,0,0,'Données projet'!$E$10+1,1))</f>
        <v>295.01137243247126</v>
      </c>
      <c r="AO58" s="62">
        <f t="shared" si="36"/>
        <v>221.9773436301067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2.2193244640217937</v>
      </c>
      <c r="AV58" s="23">
        <f>EXP(-LN(2)/25)*AV57+(1-EXP(-LN(2)/25))/(LN(2)/25)*Calculateur!AQ58*Calculateur!AS58*VLOOKUP('Données projet'!$B$10,Paramètres!$A$1:$I$89,3,0)*0.475*44/12</f>
        <v>1.2089479776558352</v>
      </c>
      <c r="AW58" s="23">
        <f>EXP(-LN(2)/2)*AW57+(1-EXP(-LN(2)/2))/(LN(2)/2)*AQ58*AT58*VLOOKUP('Données projet'!$B$10,Paramètres!$A$1:$I$89,3,0)*0.475*44/12</f>
        <v>5.9611761262794074E-4</v>
      </c>
      <c r="AX58" s="23">
        <f t="shared" si="6"/>
        <v>3.4288685592902568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-5.6843418860808015E-14</v>
      </c>
      <c r="BE58" s="14">
        <f>BD58*VLOOKUP('Données projet'!$B$11,Paramètres!$A$1:$I$89,3,0)*VLOOKUP('Données projet'!$B$11,Paramètres!$A$1:$I$89,5,0)</f>
        <v>-3.1036506698001178E-14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159.92263609041913</v>
      </c>
      <c r="BJ58" s="62">
        <f t="shared" si="38"/>
        <v>271.78119133009307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13.979536866235438</v>
      </c>
      <c r="BQ58" s="23">
        <f>EXP(-LN(2)/25)*BQ57+(1-EXP(-LN(2)/25))/(LN(2)/25)*Calculateur!BL58*Calculateur!BN58*VLOOKUP('Données projet'!$B$11,Paramètres!$A$1:$I$89,3,0)*0.475*44/12</f>
        <v>9.6041470361437291</v>
      </c>
      <c r="BR58" s="23">
        <f>EXP(-LN(2)/2)*BR57+(1-EXP(-LN(2)/2))/(LN(2)/2)*BL58*BO58*VLOOKUP('Données projet'!$B$11,Paramètres!$A$1:$I$89,3,0)*0.475*44/12</f>
        <v>1.40412994258205E-3</v>
      </c>
      <c r="BS58" s="24">
        <f t="shared" si="9"/>
        <v>23.58508803232175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2.2737367544323206E-13</v>
      </c>
      <c r="O59" s="14">
        <f>N59*VLOOKUP('Données projet'!$B$9,Paramètres!$A$1:$I$89,3,0)*VLOOKUP('Données projet'!$B$9,Paramètres!$A$1:$I$89,5,0)</f>
        <v>1.2710188457276673E-13</v>
      </c>
      <c r="P59" s="14">
        <f t="shared" si="33"/>
        <v>1.856866851063998E-12</v>
      </c>
      <c r="Q59" s="22">
        <f t="shared" si="53"/>
        <v>3.4554122145673649E-12</v>
      </c>
      <c r="R59" s="62">
        <f t="shared" si="0"/>
        <v>293.33333333333678</v>
      </c>
      <c r="S59" s="62">
        <f ca="1">AVERAGE(OFFSET($R$3,0,0,'Données projet'!$E$9+1,1))-AVERAGE(OFFSET($H$3,0,0,'Données projet'!$E$9+1,1))</f>
        <v>210.566504119093</v>
      </c>
      <c r="T59" s="62">
        <f t="shared" si="34"/>
        <v>365.95065044620048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5.0214939386479047</v>
      </c>
      <c r="AA59" s="23">
        <f>EXP(-LN(2)/25)*AA58+(1-EXP(-LN(2)/25))/(LN(2)/25)*Calculateur!V59*Calculateur!X59*VLOOKUP('Données projet'!$B$9,Paramètres!$A$1:$I$89,3,0)*0.475*44/12</f>
        <v>2.0983365838869443</v>
      </c>
      <c r="AB59" s="23">
        <f>EXP(-LN(2)/2)*AB58+(1-EXP(-LN(2)/2))/(LN(2)/2)*V59*Y59*VLOOKUP('Données projet'!$B$9,Paramètres!$A$1:$I$89,3,0)*0.475*44/12</f>
        <v>5.2916711607022828E-4</v>
      </c>
      <c r="AC59" s="24">
        <f t="shared" si="3"/>
        <v>7.12035968965092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404.74999999999994</v>
      </c>
      <c r="AJ59" s="14">
        <f>AI59*VLOOKUP('Données projet'!$B$10,Paramètres!$A$1:$I$89,3,0)*VLOOKUP('Données projet'!$B$10,Paramètres!$A$1:$I$89,5,0)</f>
        <v>242.04049999999998</v>
      </c>
      <c r="AK59" s="14">
        <f t="shared" si="35"/>
        <v>58.878337443371535</v>
      </c>
      <c r="AL59" s="22">
        <f t="shared" si="4"/>
        <v>524.10030854720526</v>
      </c>
      <c r="AM59" s="62">
        <f t="shared" si="5"/>
        <v>817.43364188053852</v>
      </c>
      <c r="AN59" s="62">
        <f ca="1">AVERAGE(OFFSET($AM$3,0,0,'Données projet'!$E$10+1,1))-AVERAGE(OFFSET($H$3,0,0,'Données projet'!$E$10+1,1))</f>
        <v>295.01137243247126</v>
      </c>
      <c r="AO59" s="62">
        <f t="shared" si="36"/>
        <v>221.9773436301067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2.1758048649365871</v>
      </c>
      <c r="AV59" s="23">
        <f>EXP(-LN(2)/25)*AV58+(1-EXP(-LN(2)/25))/(LN(2)/25)*Calculateur!AQ59*Calculateur!AS59*VLOOKUP('Données projet'!$B$10,Paramètres!$A$1:$I$89,3,0)*0.475*44/12</f>
        <v>1.1758892316310252</v>
      </c>
      <c r="AW59" s="23">
        <f>EXP(-LN(2)/2)*AW58+(1-EXP(-LN(2)/2))/(LN(2)/2)*AQ59*AT59*VLOOKUP('Données projet'!$B$10,Paramètres!$A$1:$I$89,3,0)*0.475*44/12</f>
        <v>4.215188062739524E-4</v>
      </c>
      <c r="AX59" s="23">
        <f t="shared" si="6"/>
        <v>3.3521156153738865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-5.6843418860808015E-14</v>
      </c>
      <c r="BE59" s="14">
        <f>BD59*VLOOKUP('Données projet'!$B$11,Paramètres!$A$1:$I$89,3,0)*VLOOKUP('Données projet'!$B$11,Paramètres!$A$1:$I$89,5,0)</f>
        <v>-3.1036506698001178E-14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159.92263609041913</v>
      </c>
      <c r="BJ59" s="62">
        <f t="shared" si="38"/>
        <v>271.78119133009307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13.705406674964111</v>
      </c>
      <c r="BQ59" s="23">
        <f>EXP(-LN(2)/25)*BQ58+(1-EXP(-LN(2)/25))/(LN(2)/25)*Calculateur!BL59*Calculateur!BN59*VLOOKUP('Données projet'!$B$11,Paramètres!$A$1:$I$89,3,0)*0.475*44/12</f>
        <v>9.3415211303802366</v>
      </c>
      <c r="BR59" s="23">
        <f>EXP(-LN(2)/2)*BR58+(1-EXP(-LN(2)/2))/(LN(2)/2)*BL59*BO59*VLOOKUP('Données projet'!$B$11,Paramètres!$A$1:$I$89,3,0)*0.475*44/12</f>
        <v>9.9286980406684518E-4</v>
      </c>
      <c r="BS59" s="24">
        <f t="shared" si="9"/>
        <v>23.047920675148411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2.2737367544323206E-13</v>
      </c>
      <c r="O60" s="14">
        <f>N60*VLOOKUP('Données projet'!$B$9,Paramètres!$A$1:$I$89,3,0)*VLOOKUP('Données projet'!$B$9,Paramètres!$A$1:$I$89,5,0)</f>
        <v>1.2710188457276673E-13</v>
      </c>
      <c r="P60" s="14">
        <f t="shared" si="33"/>
        <v>1.856866851063998E-12</v>
      </c>
      <c r="Q60" s="22">
        <f t="shared" si="53"/>
        <v>3.4554122145673649E-12</v>
      </c>
      <c r="R60" s="62">
        <f t="shared" si="0"/>
        <v>293.33333333333678</v>
      </c>
      <c r="S60" s="62">
        <f ca="1">AVERAGE(OFFSET($R$3,0,0,'Données projet'!$E$9+1,1))-AVERAGE(OFFSET($H$3,0,0,'Données projet'!$E$9+1,1))</f>
        <v>210.566504119093</v>
      </c>
      <c r="T60" s="62">
        <f t="shared" si="34"/>
        <v>365.95065044620048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4.9230255053198944</v>
      </c>
      <c r="AA60" s="23">
        <f>EXP(-LN(2)/25)*AA59+(1-EXP(-LN(2)/25))/(LN(2)/25)*Calculateur!V60*Calculateur!X60*VLOOKUP('Données projet'!$B$9,Paramètres!$A$1:$I$89,3,0)*0.475*44/12</f>
        <v>2.0409574596538307</v>
      </c>
      <c r="AB60" s="23">
        <f>EXP(-LN(2)/2)*AB59+(1-EXP(-LN(2)/2))/(LN(2)/2)*V60*Y60*VLOOKUP('Données projet'!$B$9,Paramètres!$A$1:$I$89,3,0)*0.475*44/12</f>
        <v>3.741776561541873E-4</v>
      </c>
      <c r="AC60" s="24">
        <f t="shared" si="3"/>
        <v>6.96435714262988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422.37499999999994</v>
      </c>
      <c r="AJ60" s="14">
        <f>AI60*VLOOKUP('Données projet'!$B$10,Paramètres!$A$1:$I$89,3,0)*VLOOKUP('Données projet'!$B$10,Paramètres!$A$1:$I$89,5,0)</f>
        <v>252.58025000000001</v>
      </c>
      <c r="AK60" s="14">
        <f t="shared" si="35"/>
        <v>61.138131933251593</v>
      </c>
      <c r="AL60" s="22">
        <f t="shared" si="4"/>
        <v>546.39284853374647</v>
      </c>
      <c r="AM60" s="62">
        <f t="shared" si="5"/>
        <v>839.72618186707973</v>
      </c>
      <c r="AN60" s="62">
        <f ca="1">AVERAGE(OFFSET($AM$3,0,0,'Données projet'!$E$10+1,1))-AVERAGE(OFFSET($H$3,0,0,'Données projet'!$E$10+1,1))</f>
        <v>295.01137243247126</v>
      </c>
      <c r="AO60" s="62">
        <f t="shared" si="36"/>
        <v>221.9773436301067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2.1331386586451071</v>
      </c>
      <c r="AV60" s="23">
        <f>EXP(-LN(2)/25)*AV59+(1-EXP(-LN(2)/25))/(LN(2)/25)*Calculateur!AQ60*Calculateur!AS60*VLOOKUP('Données projet'!$B$10,Paramètres!$A$1:$I$89,3,0)*0.475*44/12</f>
        <v>1.1437344787547477</v>
      </c>
      <c r="AW60" s="23">
        <f>EXP(-LN(2)/2)*AW59+(1-EXP(-LN(2)/2))/(LN(2)/2)*AQ60*AT60*VLOOKUP('Données projet'!$B$10,Paramètres!$A$1:$I$89,3,0)*0.475*44/12</f>
        <v>2.9805880631397037E-4</v>
      </c>
      <c r="AX60" s="23">
        <f t="shared" si="6"/>
        <v>3.2771711962061687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-5.6843418860808015E-14</v>
      </c>
      <c r="BE60" s="14">
        <f>BD60*VLOOKUP('Données projet'!$B$11,Paramètres!$A$1:$I$89,3,0)*VLOOKUP('Données projet'!$B$11,Paramètres!$A$1:$I$89,5,0)</f>
        <v>-3.1036506698001178E-14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159.92263609041913</v>
      </c>
      <c r="BJ60" s="62">
        <f t="shared" si="38"/>
        <v>271.78119133009307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13.436652009540708</v>
      </c>
      <c r="BQ60" s="23">
        <f>EXP(-LN(2)/25)*BQ59+(1-EXP(-LN(2)/25))/(LN(2)/25)*Calculateur!BL60*Calculateur!BN60*VLOOKUP('Données projet'!$B$11,Paramètres!$A$1:$I$89,3,0)*0.475*44/12</f>
        <v>9.0860767438207439</v>
      </c>
      <c r="BR60" s="23">
        <f>EXP(-LN(2)/2)*BR59+(1-EXP(-LN(2)/2))/(LN(2)/2)*BL60*BO60*VLOOKUP('Données projet'!$B$11,Paramètres!$A$1:$I$89,3,0)*0.475*44/12</f>
        <v>7.02064971291025E-4</v>
      </c>
      <c r="BS60" s="24">
        <f t="shared" si="9"/>
        <v>22.523430818332745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2.2737367544323206E-13</v>
      </c>
      <c r="O61" s="14">
        <f>N61*VLOOKUP('Données projet'!$B$9,Paramètres!$A$1:$I$89,3,0)*VLOOKUP('Données projet'!$B$9,Paramètres!$A$1:$I$89,5,0)</f>
        <v>1.2710188457276673E-13</v>
      </c>
      <c r="P61" s="14">
        <f t="shared" si="33"/>
        <v>1.856866851063998E-12</v>
      </c>
      <c r="Q61" s="22">
        <f t="shared" si="53"/>
        <v>3.4554122145673649E-12</v>
      </c>
      <c r="R61" s="62">
        <f t="shared" si="0"/>
        <v>293.33333333333678</v>
      </c>
      <c r="S61" s="62">
        <f ca="1">AVERAGE(OFFSET($R$3,0,0,'Données projet'!$E$9+1,1))-AVERAGE(OFFSET($H$3,0,0,'Données projet'!$E$9+1,1))</f>
        <v>210.566504119093</v>
      </c>
      <c r="T61" s="62">
        <f t="shared" si="34"/>
        <v>365.95065044620048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4.8264879779096326</v>
      </c>
      <c r="AA61" s="23">
        <f>EXP(-LN(2)/25)*AA60+(1-EXP(-LN(2)/25))/(LN(2)/25)*Calculateur!V61*Calculateur!X61*VLOOKUP('Données projet'!$B$9,Paramètres!$A$1:$I$89,3,0)*0.475*44/12</f>
        <v>1.9851473705903087</v>
      </c>
      <c r="AB61" s="23">
        <f>EXP(-LN(2)/2)*AB60+(1-EXP(-LN(2)/2))/(LN(2)/2)*V61*Y61*VLOOKUP('Données projet'!$B$9,Paramètres!$A$1:$I$89,3,0)*0.475*44/12</f>
        <v>2.6458355803511414E-4</v>
      </c>
      <c r="AC61" s="24">
        <f t="shared" si="3"/>
        <v>6.8118999320579761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440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439.99999999999994</v>
      </c>
      <c r="AJ61" s="14">
        <f>AI61*VLOOKUP('Données projet'!$B$10,Paramètres!$A$1:$I$89,3,0)*VLOOKUP('Données projet'!$B$10,Paramètres!$A$1:$I$89,5,0)</f>
        <v>263.12</v>
      </c>
      <c r="AK61" s="14">
        <f t="shared" si="35"/>
        <v>63.386973458752003</v>
      </c>
      <c r="AL61" s="22">
        <f t="shared" si="4"/>
        <v>568.66631210732646</v>
      </c>
      <c r="AM61" s="62">
        <f t="shared" si="5"/>
        <v>861.99964544065983</v>
      </c>
      <c r="AN61" s="62">
        <f ca="1">AVERAGE(OFFSET($AM$3,0,0,'Données projet'!$E$10+1,1))-AVERAGE(OFFSET($H$3,0,0,'Données projet'!$E$10+1,1))</f>
        <v>295.01137243247126</v>
      </c>
      <c r="AO61" s="62">
        <f t="shared" si="36"/>
        <v>221.9773436301067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2.0913091106351867</v>
      </c>
      <c r="AV61" s="23">
        <f>EXP(-LN(2)/25)*AV60+(1-EXP(-LN(2)/25))/(LN(2)/25)*Calculateur!AQ61*Calculateur!AS61*VLOOKUP('Données projet'!$B$10,Paramètres!$A$1:$I$89,3,0)*0.475*44/12</f>
        <v>1.1124589992868168</v>
      </c>
      <c r="AW61" s="23">
        <f>EXP(-LN(2)/2)*AW60+(1-EXP(-LN(2)/2))/(LN(2)/2)*AQ61*AT61*VLOOKUP('Données projet'!$B$10,Paramètres!$A$1:$I$89,3,0)*0.475*44/12</f>
        <v>2.107594031369762E-4</v>
      </c>
      <c r="AX61" s="23">
        <f t="shared" si="6"/>
        <v>3.2039788693251401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-5.6843418860808015E-14</v>
      </c>
      <c r="BE61" s="14">
        <f>BD61*VLOOKUP('Données projet'!$B$11,Paramètres!$A$1:$I$89,3,0)*VLOOKUP('Données projet'!$B$11,Paramètres!$A$1:$I$89,5,0)</f>
        <v>-3.1036506698001178E-14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159.92263609041913</v>
      </c>
      <c r="BJ61" s="62">
        <f t="shared" si="38"/>
        <v>271.78119133009307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13.173167459182098</v>
      </c>
      <c r="BQ61" s="23">
        <f>EXP(-LN(2)/25)*BQ60+(1-EXP(-LN(2)/25))/(LN(2)/25)*Calculateur!BL61*Calculateur!BN61*VLOOKUP('Données projet'!$B$11,Paramètres!$A$1:$I$89,3,0)*0.475*44/12</f>
        <v>8.8376174974449562</v>
      </c>
      <c r="BR61" s="23">
        <f>EXP(-LN(2)/2)*BR60+(1-EXP(-LN(2)/2))/(LN(2)/2)*BL61*BO61*VLOOKUP('Données projet'!$B$11,Paramètres!$A$1:$I$89,3,0)*0.475*44/12</f>
        <v>4.9643490203342259E-4</v>
      </c>
      <c r="BS61" s="24">
        <f t="shared" si="9"/>
        <v>22.011281391529089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2.2737367544323206E-13</v>
      </c>
      <c r="O62" s="14">
        <f>N62*VLOOKUP('Données projet'!$B$9,Paramètres!$A$1:$I$89,3,0)*VLOOKUP('Données projet'!$B$9,Paramètres!$A$1:$I$89,5,0)</f>
        <v>1.2710188457276673E-13</v>
      </c>
      <c r="P62" s="14">
        <f t="shared" si="33"/>
        <v>1.856866851063998E-12</v>
      </c>
      <c r="Q62" s="22">
        <f t="shared" si="53"/>
        <v>3.4554122145673649E-12</v>
      </c>
      <c r="R62" s="62">
        <f t="shared" si="0"/>
        <v>293.33333333333678</v>
      </c>
      <c r="S62" s="62">
        <f ca="1">AVERAGE(OFFSET($R$3,0,0,'Données projet'!$E$9+1,1))-AVERAGE(OFFSET($H$3,0,0,'Données projet'!$E$9+1,1))</f>
        <v>210.566504119093</v>
      </c>
      <c r="T62" s="62">
        <f t="shared" si="34"/>
        <v>365.95065044620048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4.7318434925298085</v>
      </c>
      <c r="AA62" s="23">
        <f>EXP(-LN(2)/25)*AA61+(1-EXP(-LN(2)/25))/(LN(2)/25)*Calculateur!V62*Calculateur!X62*VLOOKUP('Données projet'!$B$9,Paramètres!$A$1:$I$89,3,0)*0.475*44/12</f>
        <v>1.9308634113471537</v>
      </c>
      <c r="AB62" s="23">
        <f>EXP(-LN(2)/2)*AB61+(1-EXP(-LN(2)/2))/(LN(2)/2)*V62*Y62*VLOOKUP('Données projet'!$B$9,Paramètres!$A$1:$I$89,3,0)*0.475*44/12</f>
        <v>1.8708882807709365E-4</v>
      </c>
      <c r="AC62" s="24">
        <f t="shared" si="3"/>
        <v>6.6628939927050395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378.62499999999994</v>
      </c>
      <c r="AJ62" s="14">
        <f>AI62*VLOOKUP('Données projet'!$B$10,Paramètres!$A$1:$I$89,3,0)*VLOOKUP('Données projet'!$B$10,Paramètres!$A$1:$I$89,5,0)</f>
        <v>226.41774999999998</v>
      </c>
      <c r="AK62" s="14">
        <f t="shared" si="35"/>
        <v>55.507409107649494</v>
      </c>
      <c r="AL62" s="22">
        <f t="shared" si="4"/>
        <v>491.0196521124895</v>
      </c>
      <c r="AM62" s="62">
        <f t="shared" si="5"/>
        <v>784.35298544582281</v>
      </c>
      <c r="AN62" s="62">
        <f ca="1">AVERAGE(OFFSET($AM$3,0,0,'Données projet'!$E$10+1,1))-AVERAGE(OFFSET($H$3,0,0,'Données projet'!$E$10+1,1))</f>
        <v>295.01137243247126</v>
      </c>
      <c r="AO62" s="62">
        <f t="shared" si="36"/>
        <v>221.9773436301067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2.0502998145482358</v>
      </c>
      <c r="AV62" s="23">
        <f>EXP(-LN(2)/25)*AV61+(1-EXP(-LN(2)/25))/(LN(2)/25)*Calculateur!AQ62*Calculateur!AS62*VLOOKUP('Données projet'!$B$10,Paramètres!$A$1:$I$89,3,0)*0.475*44/12</f>
        <v>1.0820387494496426</v>
      </c>
      <c r="AW62" s="23">
        <f>EXP(-LN(2)/2)*AW61+(1-EXP(-LN(2)/2))/(LN(2)/2)*AQ62*AT62*VLOOKUP('Données projet'!$B$10,Paramètres!$A$1:$I$89,3,0)*0.475*44/12</f>
        <v>1.4902940315698518E-4</v>
      </c>
      <c r="AX62" s="23">
        <f t="shared" si="6"/>
        <v>3.1324875934010357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-5.6843418860808015E-14</v>
      </c>
      <c r="BE62" s="14">
        <f>BD62*VLOOKUP('Données projet'!$B$11,Paramètres!$A$1:$I$89,3,0)*VLOOKUP('Données projet'!$B$11,Paramètres!$A$1:$I$89,5,0)</f>
        <v>-3.1036506698001178E-14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159.92263609041913</v>
      </c>
      <c r="BJ62" s="62">
        <f t="shared" si="38"/>
        <v>271.78119133009307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12.914849680146313</v>
      </c>
      <c r="BQ62" s="23">
        <f>EXP(-LN(2)/25)*BQ61+(1-EXP(-LN(2)/25))/(LN(2)/25)*Calculateur!BL62*Calculateur!BN62*VLOOKUP('Données projet'!$B$11,Paramètres!$A$1:$I$89,3,0)*0.475*44/12</f>
        <v>8.5959523822272175</v>
      </c>
      <c r="BR62" s="23">
        <f>EXP(-LN(2)/2)*BR61+(1-EXP(-LN(2)/2))/(LN(2)/2)*BL62*BO62*VLOOKUP('Données projet'!$B$11,Paramètres!$A$1:$I$89,3,0)*0.475*44/12</f>
        <v>3.510324856455125E-4</v>
      </c>
      <c r="BS62" s="24">
        <f t="shared" si="9"/>
        <v>21.511153094859175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2.2737367544323206E-13</v>
      </c>
      <c r="O63" s="14">
        <f>N63*VLOOKUP('Données projet'!$B$9,Paramètres!$A$1:$I$89,3,0)*VLOOKUP('Données projet'!$B$9,Paramètres!$A$1:$I$89,5,0)</f>
        <v>1.2710188457276673E-13</v>
      </c>
      <c r="P63" s="14">
        <f t="shared" si="33"/>
        <v>1.856866851063998E-12</v>
      </c>
      <c r="Q63" s="22">
        <f t="shared" si="53"/>
        <v>3.4554122145673649E-12</v>
      </c>
      <c r="R63" s="62">
        <f t="shared" si="0"/>
        <v>293.33333333333678</v>
      </c>
      <c r="S63" s="62">
        <f ca="1">AVERAGE(OFFSET($R$3,0,0,'Données projet'!$E$9+1,1))-AVERAGE(OFFSET($H$3,0,0,'Données projet'!$E$9+1,1))</f>
        <v>210.566504119093</v>
      </c>
      <c r="T63" s="62">
        <f t="shared" si="34"/>
        <v>365.95065044620048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4.6390549277808466</v>
      </c>
      <c r="AA63" s="23">
        <f>EXP(-LN(2)/25)*AA62+(1-EXP(-LN(2)/25))/(LN(2)/25)*Calculateur!V63*Calculateur!X63*VLOOKUP('Données projet'!$B$9,Paramètres!$A$1:$I$89,3,0)*0.475*44/12</f>
        <v>1.878063849824172</v>
      </c>
      <c r="AB63" s="23">
        <f>EXP(-LN(2)/2)*AB62+(1-EXP(-LN(2)/2))/(LN(2)/2)*V63*Y63*VLOOKUP('Données projet'!$B$9,Paramètres!$A$1:$I$89,3,0)*0.475*44/12</f>
        <v>1.3229177901755707E-4</v>
      </c>
      <c r="AC63" s="24">
        <f t="shared" si="3"/>
        <v>6.5172510693840362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395.24999999999994</v>
      </c>
      <c r="AJ63" s="14">
        <f>AI63*VLOOKUP('Données projet'!$B$10,Paramètres!$A$1:$I$89,3,0)*VLOOKUP('Données projet'!$B$10,Paramètres!$A$1:$I$89,5,0)</f>
        <v>236.35949999999997</v>
      </c>
      <c r="AK63" s="14">
        <f t="shared" si="35"/>
        <v>57.655563749416167</v>
      </c>
      <c r="AL63" s="22">
        <f t="shared" si="4"/>
        <v>512.07623603023308</v>
      </c>
      <c r="AM63" s="62">
        <f t="shared" si="5"/>
        <v>805.40956936356633</v>
      </c>
      <c r="AN63" s="62">
        <f ca="1">AVERAGE(OFFSET($AM$3,0,0,'Données projet'!$E$10+1,1))-AVERAGE(OFFSET($H$3,0,0,'Données projet'!$E$10+1,1))</f>
        <v>295.01137243247126</v>
      </c>
      <c r="AO63" s="62">
        <f t="shared" si="36"/>
        <v>221.9773436301067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2.0100946857443494</v>
      </c>
      <c r="AV63" s="23">
        <f>EXP(-LN(2)/25)*AV62+(1-EXP(-LN(2)/25))/(LN(2)/25)*Calculateur!AQ63*Calculateur!AS63*VLOOKUP('Données projet'!$B$10,Paramètres!$A$1:$I$89,3,0)*0.475*44/12</f>
        <v>1.0524503429439973</v>
      </c>
      <c r="AW63" s="23">
        <f>EXP(-LN(2)/2)*AW62+(1-EXP(-LN(2)/2))/(LN(2)/2)*AQ63*AT63*VLOOKUP('Données projet'!$B$10,Paramètres!$A$1:$I$89,3,0)*0.475*44/12</f>
        <v>1.053797015684881E-4</v>
      </c>
      <c r="AX63" s="23">
        <f t="shared" si="6"/>
        <v>3.0626504083899153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-5.6843418860808015E-14</v>
      </c>
      <c r="BE63" s="14">
        <f>BD63*VLOOKUP('Données projet'!$B$11,Paramètres!$A$1:$I$89,3,0)*VLOOKUP('Données projet'!$B$11,Paramètres!$A$1:$I$89,5,0)</f>
        <v>-3.1036506698001178E-14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159.92263609041913</v>
      </c>
      <c r="BJ63" s="62">
        <f t="shared" si="38"/>
        <v>271.78119133009307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12.661597355199131</v>
      </c>
      <c r="BQ63" s="23">
        <f>EXP(-LN(2)/25)*BQ62+(1-EXP(-LN(2)/25))/(LN(2)/25)*Calculateur!BL63*Calculateur!BN63*VLOOKUP('Données projet'!$B$11,Paramètres!$A$1:$I$89,3,0)*0.475*44/12</f>
        <v>8.3608956122937244</v>
      </c>
      <c r="BR63" s="23">
        <f>EXP(-LN(2)/2)*BR62+(1-EXP(-LN(2)/2))/(LN(2)/2)*BL63*BO63*VLOOKUP('Données projet'!$B$11,Paramètres!$A$1:$I$89,3,0)*0.475*44/12</f>
        <v>2.482174510167113E-4</v>
      </c>
      <c r="BS63" s="24">
        <f t="shared" si="9"/>
        <v>21.022741184943872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2.2737367544323206E-13</v>
      </c>
      <c r="O64" s="14">
        <f>N64*VLOOKUP('Données projet'!$B$9,Paramètres!$A$1:$I$89,3,0)*VLOOKUP('Données projet'!$B$9,Paramètres!$A$1:$I$89,5,0)</f>
        <v>1.2710188457276673E-13</v>
      </c>
      <c r="P64" s="14">
        <f t="shared" si="33"/>
        <v>1.856866851063998E-12</v>
      </c>
      <c r="Q64" s="22">
        <f t="shared" si="53"/>
        <v>3.4554122145673649E-12</v>
      </c>
      <c r="R64" s="62">
        <f t="shared" si="0"/>
        <v>293.33333333333678</v>
      </c>
      <c r="S64" s="62">
        <f ca="1">AVERAGE(OFFSET($R$3,0,0,'Données projet'!$E$9+1,1))-AVERAGE(OFFSET($H$3,0,0,'Données projet'!$E$9+1,1))</f>
        <v>210.566504119093</v>
      </c>
      <c r="T64" s="62">
        <f t="shared" si="34"/>
        <v>365.95065044620048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4.5480858901911763</v>
      </c>
      <c r="AA64" s="23">
        <f>EXP(-LN(2)/25)*AA63+(1-EXP(-LN(2)/25))/(LN(2)/25)*Calculateur!V64*Calculateur!X64*VLOOKUP('Données projet'!$B$9,Paramètres!$A$1:$I$89,3,0)*0.475*44/12</f>
        <v>1.8267080950876444</v>
      </c>
      <c r="AB64" s="23">
        <f>EXP(-LN(2)/2)*AB63+(1-EXP(-LN(2)/2))/(LN(2)/2)*V64*Y64*VLOOKUP('Données projet'!$B$9,Paramètres!$A$1:$I$89,3,0)*0.475*44/12</f>
        <v>9.3544414038546826E-5</v>
      </c>
      <c r="AC64" s="24">
        <f t="shared" si="3"/>
        <v>6.3748875296928595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411.87499999999994</v>
      </c>
      <c r="AJ64" s="14">
        <f>AI64*VLOOKUP('Données projet'!$B$10,Paramètres!$A$1:$I$89,3,0)*VLOOKUP('Données projet'!$B$10,Paramètres!$A$1:$I$89,5,0)</f>
        <v>246.30124999999998</v>
      </c>
      <c r="AK64" s="14">
        <f t="shared" si="35"/>
        <v>59.793223430016852</v>
      </c>
      <c r="AL64" s="22">
        <f t="shared" si="4"/>
        <v>533.11454122394582</v>
      </c>
      <c r="AM64" s="62">
        <f t="shared" si="5"/>
        <v>826.44787455727919</v>
      </c>
      <c r="AN64" s="62">
        <f ca="1">AVERAGE(OFFSET($AM$3,0,0,'Données projet'!$E$10+1,1))-AVERAGE(OFFSET($H$3,0,0,'Données projet'!$E$10+1,1))</f>
        <v>295.01137243247126</v>
      </c>
      <c r="AO64" s="62">
        <f t="shared" si="36"/>
        <v>221.9773436301067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1.9706779549936</v>
      </c>
      <c r="AV64" s="23">
        <f>EXP(-LN(2)/25)*AV63+(1-EXP(-LN(2)/25))/(LN(2)/25)*Calculateur!AQ64*Calculateur!AS64*VLOOKUP('Données projet'!$B$10,Paramètres!$A$1:$I$89,3,0)*0.475*44/12</f>
        <v>1.0236710329702357</v>
      </c>
      <c r="AW64" s="23">
        <f>EXP(-LN(2)/2)*AW63+(1-EXP(-LN(2)/2))/(LN(2)/2)*AQ64*AT64*VLOOKUP('Données projet'!$B$10,Paramètres!$A$1:$I$89,3,0)*0.475*44/12</f>
        <v>7.4514701578492592E-5</v>
      </c>
      <c r="AX64" s="23">
        <f t="shared" si="6"/>
        <v>2.994423502665414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-5.6843418860808015E-14</v>
      </c>
      <c r="BE64" s="14">
        <f>BD64*VLOOKUP('Données projet'!$B$11,Paramètres!$A$1:$I$89,3,0)*VLOOKUP('Données projet'!$B$11,Paramètres!$A$1:$I$89,5,0)</f>
        <v>-3.1036506698001178E-14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159.92263609041913</v>
      </c>
      <c r="BJ64" s="62">
        <f t="shared" si="38"/>
        <v>271.78119133009307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12.413311153875499</v>
      </c>
      <c r="BQ64" s="23">
        <f>EXP(-LN(2)/25)*BQ63+(1-EXP(-LN(2)/25))/(LN(2)/25)*Calculateur!BL64*Calculateur!BN64*VLOOKUP('Données projet'!$B$11,Paramètres!$A$1:$I$89,3,0)*0.475*44/12</f>
        <v>8.1322664820951616</v>
      </c>
      <c r="BR64" s="23">
        <f>EXP(-LN(2)/2)*BR63+(1-EXP(-LN(2)/2))/(LN(2)/2)*BL64*BO64*VLOOKUP('Données projet'!$B$11,Paramètres!$A$1:$I$89,3,0)*0.475*44/12</f>
        <v>1.7551624282275625E-4</v>
      </c>
      <c r="BS64" s="24">
        <f t="shared" si="9"/>
        <v>20.545753152213482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2.2737367544323206E-13</v>
      </c>
      <c r="O65" s="14">
        <f>N65*VLOOKUP('Données projet'!$B$9,Paramètres!$A$1:$I$89,3,0)*VLOOKUP('Données projet'!$B$9,Paramètres!$A$1:$I$89,5,0)</f>
        <v>1.2710188457276673E-13</v>
      </c>
      <c r="P65" s="14">
        <f t="shared" si="33"/>
        <v>1.856866851063998E-12</v>
      </c>
      <c r="Q65" s="22">
        <f t="shared" si="53"/>
        <v>3.4554122145673649E-12</v>
      </c>
      <c r="R65" s="62">
        <f t="shared" si="0"/>
        <v>293.33333333333678</v>
      </c>
      <c r="S65" s="62">
        <f ca="1">AVERAGE(OFFSET($R$3,0,0,'Données projet'!$E$9+1,1))-AVERAGE(OFFSET($H$3,0,0,'Données projet'!$E$9+1,1))</f>
        <v>210.566504119093</v>
      </c>
      <c r="T65" s="62">
        <f t="shared" si="34"/>
        <v>365.95065044620048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4.4589006999430048</v>
      </c>
      <c r="AA65" s="23">
        <f>EXP(-LN(2)/25)*AA64+(1-EXP(-LN(2)/25))/(LN(2)/25)*Calculateur!V65*Calculateur!X65*VLOOKUP('Données projet'!$B$9,Paramètres!$A$1:$I$89,3,0)*0.475*44/12</f>
        <v>1.7767566661650691</v>
      </c>
      <c r="AB65" s="23">
        <f>EXP(-LN(2)/2)*AB64+(1-EXP(-LN(2)/2))/(LN(2)/2)*V65*Y65*VLOOKUP('Données projet'!$B$9,Paramètres!$A$1:$I$89,3,0)*0.475*44/12</f>
        <v>6.6145889508778535E-5</v>
      </c>
      <c r="AC65" s="24">
        <f t="shared" si="3"/>
        <v>6.2357235119975822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428.49999999999994</v>
      </c>
      <c r="AJ65" s="14">
        <f>AI65*VLOOKUP('Données projet'!$B$10,Paramètres!$A$1:$I$89,3,0)*VLOOKUP('Données projet'!$B$10,Paramètres!$A$1:$I$89,5,0)</f>
        <v>256.24299999999999</v>
      </c>
      <c r="AK65" s="14">
        <f t="shared" si="35"/>
        <v>61.920860231490025</v>
      </c>
      <c r="AL65" s="22">
        <f t="shared" si="4"/>
        <v>554.13538990317852</v>
      </c>
      <c r="AM65" s="62">
        <f t="shared" si="5"/>
        <v>847.46872323651178</v>
      </c>
      <c r="AN65" s="62">
        <f ca="1">AVERAGE(OFFSET($AM$3,0,0,'Données projet'!$E$10+1,1))-AVERAGE(OFFSET($H$3,0,0,'Données projet'!$E$10+1,1))</f>
        <v>295.01137243247126</v>
      </c>
      <c r="AO65" s="62">
        <f t="shared" si="36"/>
        <v>221.9773436301067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1.9320341622910409</v>
      </c>
      <c r="AV65" s="23">
        <f>EXP(-LN(2)/25)*AV64+(1-EXP(-LN(2)/25))/(LN(2)/25)*Calculateur!AQ65*Calculateur!AS65*VLOOKUP('Données projet'!$B$10,Paramètres!$A$1:$I$89,3,0)*0.475*44/12</f>
        <v>0.99567869474114457</v>
      </c>
      <c r="AW65" s="23">
        <f>EXP(-LN(2)/2)*AW64+(1-EXP(-LN(2)/2))/(LN(2)/2)*AQ65*AT65*VLOOKUP('Données projet'!$B$10,Paramètres!$A$1:$I$89,3,0)*0.475*44/12</f>
        <v>5.268985078424405E-5</v>
      </c>
      <c r="AX65" s="23">
        <f t="shared" si="6"/>
        <v>2.9277655468829695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-5.6843418860808015E-14</v>
      </c>
      <c r="BE65" s="14">
        <f>BD65*VLOOKUP('Données projet'!$B$11,Paramètres!$A$1:$I$89,3,0)*VLOOKUP('Données projet'!$B$11,Paramètres!$A$1:$I$89,5,0)</f>
        <v>-3.1036506698001178E-14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159.92263609041913</v>
      </c>
      <c r="BJ65" s="62">
        <f t="shared" si="38"/>
        <v>271.78119133009307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12.169893693520194</v>
      </c>
      <c r="BQ65" s="23">
        <f>EXP(-LN(2)/25)*BQ64+(1-EXP(-LN(2)/25))/(LN(2)/25)*Calculateur!BL65*Calculateur!BN65*VLOOKUP('Données projet'!$B$11,Paramètres!$A$1:$I$89,3,0)*0.475*44/12</f>
        <v>7.9098892274849613</v>
      </c>
      <c r="BR65" s="23">
        <f>EXP(-LN(2)/2)*BR64+(1-EXP(-LN(2)/2))/(LN(2)/2)*BL65*BO65*VLOOKUP('Données projet'!$B$11,Paramètres!$A$1:$I$89,3,0)*0.475*44/12</f>
        <v>1.2410872550835565E-4</v>
      </c>
      <c r="BS65" s="24">
        <f t="shared" si="9"/>
        <v>20.079907029730663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2.2737367544323206E-13</v>
      </c>
      <c r="O66" s="14">
        <f>N66*VLOOKUP('Données projet'!$B$9,Paramètres!$A$1:$I$89,3,0)*VLOOKUP('Données projet'!$B$9,Paramètres!$A$1:$I$89,5,0)</f>
        <v>1.2710188457276673E-13</v>
      </c>
      <c r="P66" s="14">
        <f t="shared" si="33"/>
        <v>1.856866851063998E-12</v>
      </c>
      <c r="Q66" s="22">
        <f t="shared" si="53"/>
        <v>3.4554122145673649E-12</v>
      </c>
      <c r="R66" s="62">
        <f t="shared" si="0"/>
        <v>293.33333333333678</v>
      </c>
      <c r="S66" s="62">
        <f ca="1">AVERAGE(OFFSET($R$3,0,0,'Données projet'!$E$9+1,1))-AVERAGE(OFFSET($H$3,0,0,'Données projet'!$E$9+1,1))</f>
        <v>210.566504119093</v>
      </c>
      <c r="T66" s="62">
        <f t="shared" si="34"/>
        <v>365.95065044620048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4.3714643768780048</v>
      </c>
      <c r="AA66" s="23">
        <f>EXP(-LN(2)/25)*AA65+(1-EXP(-LN(2)/25))/(LN(2)/25)*Calculateur!V66*Calculateur!X66*VLOOKUP('Données projet'!$B$9,Paramètres!$A$1:$I$89,3,0)*0.475*44/12</f>
        <v>1.7281711616932129</v>
      </c>
      <c r="AB66" s="23">
        <f>EXP(-LN(2)/2)*AB65+(1-EXP(-LN(2)/2))/(LN(2)/2)*V66*Y66*VLOOKUP('Données projet'!$B$9,Paramètres!$A$1:$I$89,3,0)*0.475*44/12</f>
        <v>4.6772207019273413E-5</v>
      </c>
      <c r="AC66" s="24">
        <f t="shared" si="3"/>
        <v>6.0996823107782374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445.12499999999994</v>
      </c>
      <c r="AJ66" s="14">
        <f>AI66*VLOOKUP('Données projet'!$B$10,Paramètres!$A$1:$I$89,3,0)*VLOOKUP('Données projet'!$B$10,Paramètres!$A$1:$I$89,5,0)</f>
        <v>266.18475000000001</v>
      </c>
      <c r="AK66" s="14">
        <f t="shared" si="35"/>
        <v>64.038907529798962</v>
      </c>
      <c r="AL66" s="22">
        <f t="shared" si="4"/>
        <v>575.13953686439993</v>
      </c>
      <c r="AM66" s="62">
        <f t="shared" si="5"/>
        <v>868.4728701977333</v>
      </c>
      <c r="AN66" s="62">
        <f ca="1">AVERAGE(OFFSET($AM$3,0,0,'Données projet'!$E$10+1,1))-AVERAGE(OFFSET($H$3,0,0,'Données projet'!$E$10+1,1))</f>
        <v>295.01137243247126</v>
      </c>
      <c r="AO66" s="62">
        <f t="shared" si="36"/>
        <v>221.9773436301067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1.8941481507929927</v>
      </c>
      <c r="AV66" s="23">
        <f>EXP(-LN(2)/25)*AV65+(1-EXP(-LN(2)/25))/(LN(2)/25)*Calculateur!AQ66*Calculateur!AS66*VLOOKUP('Données projet'!$B$10,Paramètres!$A$1:$I$89,3,0)*0.475*44/12</f>
        <v>0.96845180847298107</v>
      </c>
      <c r="AW66" s="23">
        <f>EXP(-LN(2)/2)*AW65+(1-EXP(-LN(2)/2))/(LN(2)/2)*AQ66*AT66*VLOOKUP('Données projet'!$B$10,Paramètres!$A$1:$I$89,3,0)*0.475*44/12</f>
        <v>3.7257350789246296E-5</v>
      </c>
      <c r="AX66" s="23">
        <f t="shared" si="6"/>
        <v>2.8626372166167631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-5.6843418860808015E-14</v>
      </c>
      <c r="BE66" s="14">
        <f>BD66*VLOOKUP('Données projet'!$B$11,Paramètres!$A$1:$I$89,3,0)*VLOOKUP('Données projet'!$B$11,Paramètres!$A$1:$I$89,5,0)</f>
        <v>-3.1036506698001178E-14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159.92263609041913</v>
      </c>
      <c r="BJ66" s="62">
        <f t="shared" si="38"/>
        <v>271.78119133009307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11.931249501092466</v>
      </c>
      <c r="BQ66" s="23">
        <f>EXP(-LN(2)/25)*BQ65+(1-EXP(-LN(2)/25))/(LN(2)/25)*Calculateur!BL66*Calculateur!BN66*VLOOKUP('Données projet'!$B$11,Paramètres!$A$1:$I$89,3,0)*0.475*44/12</f>
        <v>7.6935928905963884</v>
      </c>
      <c r="BR66" s="23">
        <f>EXP(-LN(2)/2)*BR65+(1-EXP(-LN(2)/2))/(LN(2)/2)*BL66*BO66*VLOOKUP('Données projet'!$B$11,Paramètres!$A$1:$I$89,3,0)*0.475*44/12</f>
        <v>8.7758121411378126E-5</v>
      </c>
      <c r="BS66" s="24">
        <f t="shared" si="9"/>
        <v>19.624930149810265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2.2737367544323206E-13</v>
      </c>
      <c r="O67" s="14">
        <f>N67*VLOOKUP('Données projet'!$B$9,Paramètres!$A$1:$I$89,3,0)*VLOOKUP('Données projet'!$B$9,Paramètres!$A$1:$I$89,5,0)</f>
        <v>1.2710188457276673E-13</v>
      </c>
      <c r="P67" s="14">
        <f t="shared" si="33"/>
        <v>1.856866851063998E-12</v>
      </c>
      <c r="Q67" s="22">
        <f t="shared" ref="Q67:Q98" si="54">(O67+P67)*0.475*44/12</f>
        <v>3.4554122145673649E-12</v>
      </c>
      <c r="R67" s="62">
        <f t="shared" ref="R67:R130" si="55">Q67+(I67+J67)*44/12</f>
        <v>293.33333333333678</v>
      </c>
      <c r="S67" s="62">
        <f ca="1">AVERAGE(OFFSET($R$3,0,0,'Données projet'!$E$9+1,1))-AVERAGE(OFFSET($H$3,0,0,'Données projet'!$E$9+1,1))</f>
        <v>210.566504119093</v>
      </c>
      <c r="T67" s="62">
        <f t="shared" si="34"/>
        <v>365.95065044620048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4.2857426267774192</v>
      </c>
      <c r="AA67" s="23">
        <f>EXP(-LN(2)/25)*AA66+(1-EXP(-LN(2)/25))/(LN(2)/25)*Calculateur!V67*Calculateur!X67*VLOOKUP('Données projet'!$B$9,Paramètres!$A$1:$I$89,3,0)*0.475*44/12</f>
        <v>1.6809142303961404</v>
      </c>
      <c r="AB67" s="23">
        <f>EXP(-LN(2)/2)*AB66+(1-EXP(-LN(2)/2))/(LN(2)/2)*V67*Y67*VLOOKUP('Données projet'!$B$9,Paramètres!$A$1:$I$89,3,0)*0.475*44/12</f>
        <v>3.3072944754389268E-5</v>
      </c>
      <c r="AC67" s="24">
        <f t="shared" si="3"/>
        <v>5.9666899301183136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461.74999999999994</v>
      </c>
      <c r="AJ67" s="14">
        <f>AI67*VLOOKUP('Données projet'!$B$10,Paramètres!$A$1:$I$89,3,0)*VLOOKUP('Données projet'!$B$10,Paramètres!$A$1:$I$89,5,0)</f>
        <v>276.12649999999996</v>
      </c>
      <c r="AK67" s="14">
        <f t="shared" si="35"/>
        <v>66.147764494536574</v>
      </c>
      <c r="AL67" s="22">
        <f t="shared" si="4"/>
        <v>596.12767732798443</v>
      </c>
      <c r="AM67" s="62">
        <f t="shared" si="5"/>
        <v>889.46101066131769</v>
      </c>
      <c r="AN67" s="62">
        <f ca="1">AVERAGE(OFFSET($AM$3,0,0,'Données projet'!$E$10+1,1))-AVERAGE(OFFSET($H$3,0,0,'Données projet'!$E$10+1,1))</f>
        <v>295.01137243247126</v>
      </c>
      <c r="AO67" s="62">
        <f t="shared" si="36"/>
        <v>221.9773436301067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1.8570050608722362</v>
      </c>
      <c r="AV67" s="23">
        <f>EXP(-LN(2)/25)*AV66+(1-EXP(-LN(2)/25))/(LN(2)/25)*Calculateur!AQ67*Calculateur!AS67*VLOOKUP('Données projet'!$B$10,Paramètres!$A$1:$I$89,3,0)*0.475*44/12</f>
        <v>0.94196944284162021</v>
      </c>
      <c r="AW67" s="23">
        <f>EXP(-LN(2)/2)*AW66+(1-EXP(-LN(2)/2))/(LN(2)/2)*AQ67*AT67*VLOOKUP('Données projet'!$B$10,Paramètres!$A$1:$I$89,3,0)*0.475*44/12</f>
        <v>2.6344925392122025E-5</v>
      </c>
      <c r="AX67" s="23">
        <f t="shared" si="6"/>
        <v>2.7990008486392486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-5.6843418860808015E-14</v>
      </c>
      <c r="BE67" s="14">
        <f>BD67*VLOOKUP('Données projet'!$B$11,Paramètres!$A$1:$I$89,3,0)*VLOOKUP('Données projet'!$B$11,Paramètres!$A$1:$I$89,5,0)</f>
        <v>-3.1036506698001178E-14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159.92263609041913</v>
      </c>
      <c r="BJ67" s="62">
        <f t="shared" si="38"/>
        <v>271.78119133009307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11.697284975719661</v>
      </c>
      <c r="BQ67" s="23">
        <f>EXP(-LN(2)/25)*BQ66+(1-EXP(-LN(2)/25))/(LN(2)/25)*Calculateur!BL67*Calculateur!BN67*VLOOKUP('Données projet'!$B$11,Paramètres!$A$1:$I$89,3,0)*0.475*44/12</f>
        <v>7.4832111884145638</v>
      </c>
      <c r="BR67" s="23">
        <f>EXP(-LN(2)/2)*BR66+(1-EXP(-LN(2)/2))/(LN(2)/2)*BL67*BO67*VLOOKUP('Données projet'!$B$11,Paramètres!$A$1:$I$89,3,0)*0.475*44/12</f>
        <v>6.2054362754177824E-5</v>
      </c>
      <c r="BS67" s="24">
        <f t="shared" si="9"/>
        <v>19.18055821849698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2.2737367544323206E-13</v>
      </c>
      <c r="O68" s="14">
        <f>N68*VLOOKUP('Données projet'!$B$9,Paramètres!$A$1:$I$89,3,0)*VLOOKUP('Données projet'!$B$9,Paramètres!$A$1:$I$89,5,0)</f>
        <v>1.2710188457276673E-13</v>
      </c>
      <c r="P68" s="14">
        <f t="shared" si="33"/>
        <v>1.856866851063998E-12</v>
      </c>
      <c r="Q68" s="22">
        <f t="shared" si="54"/>
        <v>3.4554122145673649E-12</v>
      </c>
      <c r="R68" s="62">
        <f t="shared" si="55"/>
        <v>293.33333333333678</v>
      </c>
      <c r="S68" s="62">
        <f ca="1">AVERAGE(OFFSET($R$3,0,0,'Données projet'!$E$9+1,1))-AVERAGE(OFFSET($H$3,0,0,'Données projet'!$E$9+1,1))</f>
        <v>210.566504119093</v>
      </c>
      <c r="T68" s="62">
        <f t="shared" si="34"/>
        <v>365.95065044620048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4.2017018279112008</v>
      </c>
      <c r="AA68" s="23">
        <f>EXP(-LN(2)/25)*AA67+(1-EXP(-LN(2)/25))/(LN(2)/25)*Calculateur!V68*Calculateur!X68*VLOOKUP('Données projet'!$B$9,Paramètres!$A$1:$I$89,3,0)*0.475*44/12</f>
        <v>1.6349495423705203</v>
      </c>
      <c r="AB68" s="23">
        <f>EXP(-LN(2)/2)*AB67+(1-EXP(-LN(2)/2))/(LN(2)/2)*V68*Y68*VLOOKUP('Données projet'!$B$9,Paramètres!$A$1:$I$89,3,0)*0.475*44/12</f>
        <v>2.3386103509636707E-5</v>
      </c>
      <c r="AC68" s="24">
        <f t="shared" ref="AC68:AC131" si="57">SUM(Z68:AB68)</f>
        <v>5.8366747563852313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478.37499999999994</v>
      </c>
      <c r="AJ68" s="14">
        <f>AI68*VLOOKUP('Données projet'!$B$10,Paramètres!$A$1:$I$89,3,0)*VLOOKUP('Données projet'!$B$10,Paramètres!$A$1:$I$89,5,0)</f>
        <v>286.06824999999998</v>
      </c>
      <c r="AK68" s="14">
        <f t="shared" si="35"/>
        <v>68.247799922382825</v>
      </c>
      <c r="AL68" s="22">
        <f t="shared" ref="AL68:AL131" si="58">(AJ68+AK68)*0.475*44/12</f>
        <v>617.10045361481673</v>
      </c>
      <c r="AM68" s="62">
        <f t="shared" ref="AM68:AM131" si="59">AL68+(AD68+AE68)*44/12</f>
        <v>910.4337869481501</v>
      </c>
      <c r="AN68" s="62">
        <f ca="1">AVERAGE(OFFSET($AM$3,0,0,'Données projet'!$E$10+1,1))-AVERAGE(OFFSET($H$3,0,0,'Données projet'!$E$10+1,1))</f>
        <v>295.01137243247126</v>
      </c>
      <c r="AO68" s="62">
        <f t="shared" si="36"/>
        <v>221.9773436301067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1.8205903242897776</v>
      </c>
      <c r="AV68" s="23">
        <f>EXP(-LN(2)/25)*AV67+(1-EXP(-LN(2)/25))/(LN(2)/25)*Calculateur!AQ68*Calculateur!AS68*VLOOKUP('Données projet'!$B$10,Paramètres!$A$1:$I$89,3,0)*0.475*44/12</f>
        <v>0.91621123889109601</v>
      </c>
      <c r="AW68" s="23">
        <f>EXP(-LN(2)/2)*AW67+(1-EXP(-LN(2)/2))/(LN(2)/2)*AQ68*AT68*VLOOKUP('Données projet'!$B$10,Paramètres!$A$1:$I$89,3,0)*0.475*44/12</f>
        <v>1.8628675394623148E-5</v>
      </c>
      <c r="AX68" s="23">
        <f t="shared" ref="AX68:AX131" si="60">SUM(AU68:AW68)</f>
        <v>2.7368201918562685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-5.6843418860808015E-14</v>
      </c>
      <c r="BE68" s="14">
        <f>BD68*VLOOKUP('Données projet'!$B$11,Paramètres!$A$1:$I$89,3,0)*VLOOKUP('Données projet'!$B$11,Paramètres!$A$1:$I$89,5,0)</f>
        <v>-3.1036506698001178E-14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159.92263609041913</v>
      </c>
      <c r="BJ68" s="62">
        <f t="shared" si="38"/>
        <v>271.78119133009307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11.467908351985146</v>
      </c>
      <c r="BQ68" s="23">
        <f>EXP(-LN(2)/25)*BQ67+(1-EXP(-LN(2)/25))/(LN(2)/25)*Calculateur!BL68*Calculateur!BN68*VLOOKUP('Données projet'!$B$11,Paramètres!$A$1:$I$89,3,0)*0.475*44/12</f>
        <v>7.2785823849423945</v>
      </c>
      <c r="BR68" s="23">
        <f>EXP(-LN(2)/2)*BR67+(1-EXP(-LN(2)/2))/(LN(2)/2)*BL68*BO68*VLOOKUP('Données projet'!$B$11,Paramètres!$A$1:$I$89,3,0)*0.475*44/12</f>
        <v>4.3879060705689063E-5</v>
      </c>
      <c r="BS68" s="24">
        <f t="shared" ref="BS68:BS131" si="63">SUM(BP68:BR68)</f>
        <v>18.746534615988246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2.2737367544323206E-13</v>
      </c>
      <c r="O69" s="14">
        <f>N69*VLOOKUP('Données projet'!$B$9,Paramètres!$A$1:$I$89,3,0)*VLOOKUP('Données projet'!$B$9,Paramètres!$A$1:$I$89,5,0)</f>
        <v>1.2710188457276673E-13</v>
      </c>
      <c r="P69" s="14">
        <f t="shared" ref="P69:P132" si="87">EXP(-1.0587+0.8836*LN(O69)+0.284)</f>
        <v>1.856866851063998E-12</v>
      </c>
      <c r="Q69" s="22">
        <f t="shared" si="54"/>
        <v>3.4554122145673649E-12</v>
      </c>
      <c r="R69" s="62">
        <f t="shared" si="55"/>
        <v>293.33333333333678</v>
      </c>
      <c r="S69" s="62">
        <f ca="1">AVERAGE(OFFSET($R$3,0,0,'Données projet'!$E$9+1,1))-AVERAGE(OFFSET($H$3,0,0,'Données projet'!$E$9+1,1))</f>
        <v>210.566504119093</v>
      </c>
      <c r="T69" s="62">
        <f t="shared" ref="T69:T132" si="88">$T$3</f>
        <v>365.95065044620048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4.1193090178509228</v>
      </c>
      <c r="AA69" s="23">
        <f>EXP(-LN(2)/25)*AA68+(1-EXP(-LN(2)/25))/(LN(2)/25)*Calculateur!V69*Calculateur!X69*VLOOKUP('Données projet'!$B$9,Paramètres!$A$1:$I$89,3,0)*0.475*44/12</f>
        <v>1.5902417611561386</v>
      </c>
      <c r="AB69" s="23">
        <f>EXP(-LN(2)/2)*AB68+(1-EXP(-LN(2)/2))/(LN(2)/2)*V69*Y69*VLOOKUP('Données projet'!$B$9,Paramètres!$A$1:$I$89,3,0)*0.475*44/12</f>
        <v>1.6536472377194634E-5</v>
      </c>
      <c r="AC69" s="24">
        <f t="shared" si="57"/>
        <v>5.7095673154794389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495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494.99999999999994</v>
      </c>
      <c r="AJ69" s="14">
        <f>AI69*VLOOKUP('Données projet'!$B$10,Paramètres!$A$1:$I$89,3,0)*VLOOKUP('Données projet'!$B$10,Paramètres!$A$1:$I$89,5,0)</f>
        <v>296.01</v>
      </c>
      <c r="AK69" s="14">
        <f t="shared" ref="AK69:AK132" si="89">EXP(-1.0587+0.8836*LN(AJ69)+0.284)</f>
        <v>70.339355522692159</v>
      </c>
      <c r="AL69" s="22">
        <f t="shared" si="58"/>
        <v>638.05846086868871</v>
      </c>
      <c r="AM69" s="62">
        <f t="shared" si="59"/>
        <v>931.39179420202208</v>
      </c>
      <c r="AN69" s="62">
        <f ca="1">AVERAGE(OFFSET($AM$3,0,0,'Données projet'!$E$10+1,1))-AVERAGE(OFFSET($H$3,0,0,'Données projet'!$E$10+1,1))</f>
        <v>295.01137243247126</v>
      </c>
      <c r="AO69" s="62">
        <f t="shared" ref="AO69:AO132" si="90">$AO$3</f>
        <v>221.9773436301067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1.7848896584809051</v>
      </c>
      <c r="AV69" s="23">
        <f>EXP(-LN(2)/25)*AV68+(1-EXP(-LN(2)/25))/(LN(2)/25)*Calculateur!AQ69*Calculateur!AS69*VLOOKUP('Données projet'!$B$10,Paramètres!$A$1:$I$89,3,0)*0.475*44/12</f>
        <v>0.89115739438216401</v>
      </c>
      <c r="AW69" s="23">
        <f>EXP(-LN(2)/2)*AW68+(1-EXP(-LN(2)/2))/(LN(2)/2)*AQ69*AT69*VLOOKUP('Données projet'!$B$10,Paramètres!$A$1:$I$89,3,0)*0.475*44/12</f>
        <v>1.3172462696061013E-5</v>
      </c>
      <c r="AX69" s="23">
        <f t="shared" si="60"/>
        <v>2.6760602253257653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-5.6843418860808015E-14</v>
      </c>
      <c r="BE69" s="14">
        <f>BD69*VLOOKUP('Données projet'!$B$11,Paramètres!$A$1:$I$89,3,0)*VLOOKUP('Données projet'!$B$11,Paramètres!$A$1:$I$89,5,0)</f>
        <v>-3.1036506698001178E-14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159.92263609041913</v>
      </c>
      <c r="BJ69" s="62">
        <f t="shared" ref="BJ69:BJ132" si="92">$BJ$3</f>
        <v>271.78119133009307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11.24302966393614</v>
      </c>
      <c r="BQ69" s="23">
        <f>EXP(-LN(2)/25)*BQ68+(1-EXP(-LN(2)/25))/(LN(2)/25)*Calculateur!BL69*Calculateur!BN69*VLOOKUP('Données projet'!$B$11,Paramètres!$A$1:$I$89,3,0)*0.475*44/12</f>
        <v>7.0795491668621322</v>
      </c>
      <c r="BR69" s="23">
        <f>EXP(-LN(2)/2)*BR68+(1-EXP(-LN(2)/2))/(LN(2)/2)*BL69*BO69*VLOOKUP('Données projet'!$B$11,Paramètres!$A$1:$I$89,3,0)*0.475*44/12</f>
        <v>3.1027181377088912E-5</v>
      </c>
      <c r="BS69" s="24">
        <f t="shared" si="63"/>
        <v>18.32260985797965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2.2737367544323206E-13</v>
      </c>
      <c r="O70" s="14">
        <f>N70*VLOOKUP('Données projet'!$B$9,Paramètres!$A$1:$I$89,3,0)*VLOOKUP('Données projet'!$B$9,Paramètres!$A$1:$I$89,5,0)</f>
        <v>1.2710188457276673E-13</v>
      </c>
      <c r="P70" s="14">
        <f t="shared" si="87"/>
        <v>1.856866851063998E-12</v>
      </c>
      <c r="Q70" s="22">
        <f t="shared" si="54"/>
        <v>3.4554122145673649E-12</v>
      </c>
      <c r="R70" s="62">
        <f t="shared" si="55"/>
        <v>293.33333333333678</v>
      </c>
      <c r="S70" s="62">
        <f ca="1">AVERAGE(OFFSET($R$3,0,0,'Données projet'!$E$9+1,1))-AVERAGE(OFFSET($H$3,0,0,'Données projet'!$E$9+1,1))</f>
        <v>210.566504119093</v>
      </c>
      <c r="T70" s="62">
        <f t="shared" si="88"/>
        <v>365.95065044620048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4.0385318805412753</v>
      </c>
      <c r="AA70" s="23">
        <f>EXP(-LN(2)/25)*AA69+(1-EXP(-LN(2)/25))/(LN(2)/25)*Calculateur!V70*Calculateur!X70*VLOOKUP('Données projet'!$B$9,Paramètres!$A$1:$I$89,3,0)*0.475*44/12</f>
        <v>1.5467565165701442</v>
      </c>
      <c r="AB70" s="23">
        <f>EXP(-LN(2)/2)*AB69+(1-EXP(-LN(2)/2))/(LN(2)/2)*V70*Y70*VLOOKUP('Données projet'!$B$9,Paramètres!$A$1:$I$89,3,0)*0.475*44/12</f>
        <v>1.1693051754818353E-5</v>
      </c>
      <c r="AC70" s="24">
        <f t="shared" si="57"/>
        <v>5.585300090163174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442.87499999999994</v>
      </c>
      <c r="AJ70" s="14">
        <f>AI70*VLOOKUP('Données projet'!$B$10,Paramètres!$A$1:$I$89,3,0)*VLOOKUP('Données projet'!$B$10,Paramètres!$A$1:$I$89,5,0)</f>
        <v>264.83924999999999</v>
      </c>
      <c r="AK70" s="14">
        <f t="shared" si="89"/>
        <v>63.752800756768096</v>
      </c>
      <c r="AL70" s="22">
        <f t="shared" si="58"/>
        <v>572.29782173470437</v>
      </c>
      <c r="AM70" s="62">
        <f t="shared" si="59"/>
        <v>865.63115506803774</v>
      </c>
      <c r="AN70" s="62">
        <f ca="1">AVERAGE(OFFSET($AM$3,0,0,'Données projet'!$E$10+1,1))-AVERAGE(OFFSET($H$3,0,0,'Données projet'!$E$10+1,1))</f>
        <v>295.01137243247126</v>
      </c>
      <c r="AO70" s="62">
        <f t="shared" si="90"/>
        <v>221.9773436301067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1.7498890609532884</v>
      </c>
      <c r="AV70" s="23">
        <f>EXP(-LN(2)/25)*AV69+(1-EXP(-LN(2)/25))/(LN(2)/25)*Calculateur!AQ70*Calculateur!AS70*VLOOKUP('Données projet'!$B$10,Paramètres!$A$1:$I$89,3,0)*0.475*44/12</f>
        <v>0.86678864856885318</v>
      </c>
      <c r="AW70" s="23">
        <f>EXP(-LN(2)/2)*AW69+(1-EXP(-LN(2)/2))/(LN(2)/2)*AQ70*AT70*VLOOKUP('Données projet'!$B$10,Paramètres!$A$1:$I$89,3,0)*0.475*44/12</f>
        <v>9.314337697311574E-6</v>
      </c>
      <c r="AX70" s="23">
        <f t="shared" si="60"/>
        <v>2.6166870238598388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-5.6843418860808015E-14</v>
      </c>
      <c r="BE70" s="14">
        <f>BD70*VLOOKUP('Données projet'!$B$11,Paramètres!$A$1:$I$89,3,0)*VLOOKUP('Données projet'!$B$11,Paramètres!$A$1:$I$89,5,0)</f>
        <v>-3.1036506698001178E-14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159.92263609041913</v>
      </c>
      <c r="BJ70" s="62">
        <f t="shared" si="92"/>
        <v>271.78119133009307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11.022560709797318</v>
      </c>
      <c r="BQ70" s="23">
        <f>EXP(-LN(2)/25)*BQ69+(1-EXP(-LN(2)/25))/(LN(2)/25)*Calculateur!BL70*Calculateur!BN70*VLOOKUP('Données projet'!$B$11,Paramètres!$A$1:$I$89,3,0)*0.475*44/12</f>
        <v>6.8859585225969768</v>
      </c>
      <c r="BR70" s="23">
        <f>EXP(-LN(2)/2)*BR69+(1-EXP(-LN(2)/2))/(LN(2)/2)*BL70*BO70*VLOOKUP('Données projet'!$B$11,Paramètres!$A$1:$I$89,3,0)*0.475*44/12</f>
        <v>2.1939530352844531E-5</v>
      </c>
      <c r="BS70" s="24">
        <f t="shared" si="63"/>
        <v>17.908541171924647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2.2737367544323206E-13</v>
      </c>
      <c r="O71" s="14">
        <f>N71*VLOOKUP('Données projet'!$B$9,Paramètres!$A$1:$I$89,3,0)*VLOOKUP('Données projet'!$B$9,Paramètres!$A$1:$I$89,5,0)</f>
        <v>1.2710188457276673E-13</v>
      </c>
      <c r="P71" s="14">
        <f t="shared" si="87"/>
        <v>1.856866851063998E-12</v>
      </c>
      <c r="Q71" s="22">
        <f t="shared" si="54"/>
        <v>3.4554122145673649E-12</v>
      </c>
      <c r="R71" s="62">
        <f t="shared" si="55"/>
        <v>293.33333333333678</v>
      </c>
      <c r="S71" s="62">
        <f ca="1">AVERAGE(OFFSET($R$3,0,0,'Données projet'!$E$9+1,1))-AVERAGE(OFFSET($H$3,0,0,'Données projet'!$E$9+1,1))</f>
        <v>210.566504119093</v>
      </c>
      <c r="T71" s="62">
        <f t="shared" si="88"/>
        <v>365.95065044620048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3.9593387336250814</v>
      </c>
      <c r="AA71" s="23">
        <f>EXP(-LN(2)/25)*AA70+(1-EXP(-LN(2)/25))/(LN(2)/25)*Calculateur!V71*Calculateur!X71*VLOOKUP('Données projet'!$B$9,Paramètres!$A$1:$I$89,3,0)*0.475*44/12</f>
        <v>1.5044603782841437</v>
      </c>
      <c r="AB71" s="23">
        <f>EXP(-LN(2)/2)*AB70+(1-EXP(-LN(2)/2))/(LN(2)/2)*V71*Y71*VLOOKUP('Données projet'!$B$9,Paramètres!$A$1:$I$89,3,0)*0.475*44/12</f>
        <v>8.2682361885973169E-6</v>
      </c>
      <c r="AC71" s="24">
        <f t="shared" si="57"/>
        <v>5.463807380145413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455.74999999999994</v>
      </c>
      <c r="AJ71" s="14">
        <f>AI71*VLOOKUP('Données projet'!$B$10,Paramètres!$A$1:$I$89,3,0)*VLOOKUP('Données projet'!$B$10,Paramètres!$A$1:$I$89,5,0)</f>
        <v>272.5385</v>
      </c>
      <c r="AK71" s="14">
        <f t="shared" si="89"/>
        <v>65.387709293034902</v>
      </c>
      <c r="AL71" s="22">
        <f t="shared" si="58"/>
        <v>588.55481451870241</v>
      </c>
      <c r="AM71" s="62">
        <f t="shared" si="59"/>
        <v>881.88814785203567</v>
      </c>
      <c r="AN71" s="62">
        <f ca="1">AVERAGE(OFFSET($AM$3,0,0,'Données projet'!$E$10+1,1))-AVERAGE(OFFSET($H$3,0,0,'Données projet'!$E$10+1,1))</f>
        <v>295.01137243247126</v>
      </c>
      <c r="AO71" s="62">
        <f t="shared" si="90"/>
        <v>221.9773436301067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1.7155748037949319</v>
      </c>
      <c r="AV71" s="23">
        <f>EXP(-LN(2)/25)*AV70+(1-EXP(-LN(2)/25))/(LN(2)/25)*Calculateur!AQ71*Calculateur!AS71*VLOOKUP('Données projet'!$B$10,Paramètres!$A$1:$I$89,3,0)*0.475*44/12</f>
        <v>0.84308626739130399</v>
      </c>
      <c r="AW71" s="23">
        <f>EXP(-LN(2)/2)*AW70+(1-EXP(-LN(2)/2))/(LN(2)/2)*AQ71*AT71*VLOOKUP('Données projet'!$B$10,Paramètres!$A$1:$I$89,3,0)*0.475*44/12</f>
        <v>6.5862313480305063E-6</v>
      </c>
      <c r="AX71" s="23">
        <f t="shared" si="60"/>
        <v>2.5586676574175837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-5.6843418860808015E-14</v>
      </c>
      <c r="BE71" s="14">
        <f>BD71*VLOOKUP('Données projet'!$B$11,Paramètres!$A$1:$I$89,3,0)*VLOOKUP('Données projet'!$B$11,Paramètres!$A$1:$I$89,5,0)</f>
        <v>-3.1036506698001178E-14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159.92263609041913</v>
      </c>
      <c r="BJ71" s="62">
        <f t="shared" si="92"/>
        <v>271.78119133009307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10.806415017376375</v>
      </c>
      <c r="BQ71" s="23">
        <f>EXP(-LN(2)/25)*BQ70+(1-EXP(-LN(2)/25))/(LN(2)/25)*Calculateur!BL71*Calculateur!BN71*VLOOKUP('Données projet'!$B$11,Paramètres!$A$1:$I$89,3,0)*0.475*44/12</f>
        <v>6.6976616246797418</v>
      </c>
      <c r="BR71" s="23">
        <f>EXP(-LN(2)/2)*BR70+(1-EXP(-LN(2)/2))/(LN(2)/2)*BL71*BO71*VLOOKUP('Données projet'!$B$11,Paramètres!$A$1:$I$89,3,0)*0.475*44/12</f>
        <v>1.5513590688544456E-5</v>
      </c>
      <c r="BS71" s="24">
        <f t="shared" si="63"/>
        <v>17.504092155646806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2.2737367544323206E-13</v>
      </c>
      <c r="O72" s="14">
        <f>N72*VLOOKUP('Données projet'!$B$9,Paramètres!$A$1:$I$89,3,0)*VLOOKUP('Données projet'!$B$9,Paramètres!$A$1:$I$89,5,0)</f>
        <v>1.2710188457276673E-13</v>
      </c>
      <c r="P72" s="14">
        <f t="shared" si="87"/>
        <v>1.856866851063998E-12</v>
      </c>
      <c r="Q72" s="22">
        <f t="shared" si="54"/>
        <v>3.4554122145673649E-12</v>
      </c>
      <c r="R72" s="62">
        <f t="shared" si="55"/>
        <v>293.33333333333678</v>
      </c>
      <c r="S72" s="62">
        <f ca="1">AVERAGE(OFFSET($R$3,0,0,'Données projet'!$E$9+1,1))-AVERAGE(OFFSET($H$3,0,0,'Données projet'!$E$9+1,1))</f>
        <v>210.566504119093</v>
      </c>
      <c r="T72" s="62">
        <f t="shared" si="88"/>
        <v>365.95065044620048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3.8816985160168636</v>
      </c>
      <c r="AA72" s="23">
        <f>EXP(-LN(2)/25)*AA71+(1-EXP(-LN(2)/25))/(LN(2)/25)*Calculateur!V72*Calculateur!X72*VLOOKUP('Données projet'!$B$9,Paramètres!$A$1:$I$89,3,0)*0.475*44/12</f>
        <v>1.463320830123831</v>
      </c>
      <c r="AB72" s="23">
        <f>EXP(-LN(2)/2)*AB71+(1-EXP(-LN(2)/2))/(LN(2)/2)*V72*Y72*VLOOKUP('Données projet'!$B$9,Paramètres!$A$1:$I$89,3,0)*0.475*44/12</f>
        <v>5.8465258774091766E-6</v>
      </c>
      <c r="AC72" s="24">
        <f t="shared" si="57"/>
        <v>5.3450251926665722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468.62499999999994</v>
      </c>
      <c r="AJ72" s="14">
        <f>AI72*VLOOKUP('Données projet'!$B$10,Paramètres!$A$1:$I$89,3,0)*VLOOKUP('Données projet'!$B$10,Paramètres!$A$1:$I$89,5,0)</f>
        <v>280.23775000000001</v>
      </c>
      <c r="AK72" s="14">
        <f t="shared" si="89"/>
        <v>67.017249808465152</v>
      </c>
      <c r="AL72" s="22">
        <f t="shared" si="58"/>
        <v>604.80245799974352</v>
      </c>
      <c r="AM72" s="62">
        <f t="shared" si="59"/>
        <v>898.1357913330769</v>
      </c>
      <c r="AN72" s="62">
        <f ca="1">AVERAGE(OFFSET($AM$3,0,0,'Données projet'!$E$10+1,1))-AVERAGE(OFFSET($H$3,0,0,'Données projet'!$E$10+1,1))</f>
        <v>295.01137243247126</v>
      </c>
      <c r="AO72" s="62">
        <f t="shared" si="90"/>
        <v>221.9773436301067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1.6819334282898204</v>
      </c>
      <c r="AV72" s="23">
        <f>EXP(-LN(2)/25)*AV71+(1-EXP(-LN(2)/25))/(LN(2)/25)*Calculateur!AQ72*Calculateur!AS72*VLOOKUP('Données projet'!$B$10,Paramètres!$A$1:$I$89,3,0)*0.475*44/12</f>
        <v>0.82003202907350892</v>
      </c>
      <c r="AW72" s="23">
        <f>EXP(-LN(2)/2)*AW71+(1-EXP(-LN(2)/2))/(LN(2)/2)*AQ72*AT72*VLOOKUP('Données projet'!$B$10,Paramètres!$A$1:$I$89,3,0)*0.475*44/12</f>
        <v>4.657168848655787E-6</v>
      </c>
      <c r="AX72" s="23">
        <f t="shared" si="60"/>
        <v>2.501970114532178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-5.6843418860808015E-14</v>
      </c>
      <c r="BE72" s="14">
        <f>BD72*VLOOKUP('Données projet'!$B$11,Paramètres!$A$1:$I$89,3,0)*VLOOKUP('Données projet'!$B$11,Paramètres!$A$1:$I$89,5,0)</f>
        <v>-3.1036506698001178E-14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159.92263609041913</v>
      </c>
      <c r="BJ72" s="62">
        <f t="shared" si="92"/>
        <v>271.78119133009307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10.594507810147952</v>
      </c>
      <c r="BQ72" s="23">
        <f>EXP(-LN(2)/25)*BQ71+(1-EXP(-LN(2)/25))/(LN(2)/25)*Calculateur!BL72*Calculateur!BN72*VLOOKUP('Données projet'!$B$11,Paramètres!$A$1:$I$89,3,0)*0.475*44/12</f>
        <v>6.5145137153381567</v>
      </c>
      <c r="BR72" s="23">
        <f>EXP(-LN(2)/2)*BR71+(1-EXP(-LN(2)/2))/(LN(2)/2)*BL72*BO72*VLOOKUP('Données projet'!$B$11,Paramètres!$A$1:$I$89,3,0)*0.475*44/12</f>
        <v>1.0969765176422266E-5</v>
      </c>
      <c r="BS72" s="24">
        <f t="shared" si="63"/>
        <v>17.109032495251288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2.2737367544323206E-13</v>
      </c>
      <c r="O73" s="14">
        <f>N73*VLOOKUP('Données projet'!$B$9,Paramètres!$A$1:$I$89,3,0)*VLOOKUP('Données projet'!$B$9,Paramètres!$A$1:$I$89,5,0)</f>
        <v>1.2710188457276673E-13</v>
      </c>
      <c r="P73" s="14">
        <f t="shared" si="87"/>
        <v>1.856866851063998E-12</v>
      </c>
      <c r="Q73" s="22">
        <f t="shared" si="54"/>
        <v>3.4554122145673649E-12</v>
      </c>
      <c r="R73" s="62">
        <f t="shared" si="55"/>
        <v>293.33333333333678</v>
      </c>
      <c r="S73" s="62">
        <f ca="1">AVERAGE(OFFSET($R$3,0,0,'Données projet'!$E$9+1,1))-AVERAGE(OFFSET($H$3,0,0,'Données projet'!$E$9+1,1))</f>
        <v>210.566504119093</v>
      </c>
      <c r="T73" s="62">
        <f t="shared" si="88"/>
        <v>365.95065044620048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3.8055807757200864</v>
      </c>
      <c r="AA73" s="23">
        <f>EXP(-LN(2)/25)*AA72+(1-EXP(-LN(2)/25))/(LN(2)/25)*Calculateur!V73*Calculateur!X73*VLOOKUP('Données projet'!$B$9,Paramètres!$A$1:$I$89,3,0)*0.475*44/12</f>
        <v>1.4233062450713969</v>
      </c>
      <c r="AB73" s="23">
        <f>EXP(-LN(2)/2)*AB72+(1-EXP(-LN(2)/2))/(LN(2)/2)*V73*Y73*VLOOKUP('Données projet'!$B$9,Paramètres!$A$1:$I$89,3,0)*0.475*44/12</f>
        <v>4.1341180942986585E-6</v>
      </c>
      <c r="AC73" s="24">
        <f t="shared" si="57"/>
        <v>5.2288911549095776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481.49999999999994</v>
      </c>
      <c r="AJ73" s="14">
        <f>AI73*VLOOKUP('Données projet'!$B$10,Paramètres!$A$1:$I$89,3,0)*VLOOKUP('Données projet'!$B$10,Paramètres!$A$1:$I$89,5,0)</f>
        <v>287.93700000000001</v>
      </c>
      <c r="AK73" s="14">
        <f t="shared" si="89"/>
        <v>68.641586729718156</v>
      </c>
      <c r="AL73" s="22">
        <f t="shared" si="58"/>
        <v>621.04103855425899</v>
      </c>
      <c r="AM73" s="62">
        <f t="shared" si="59"/>
        <v>914.37437188759236</v>
      </c>
      <c r="AN73" s="62">
        <f ca="1">AVERAGE(OFFSET($AM$3,0,0,'Données projet'!$E$10+1,1))-AVERAGE(OFFSET($H$3,0,0,'Données projet'!$E$10+1,1))</f>
        <v>295.01137243247126</v>
      </c>
      <c r="AO73" s="62">
        <f t="shared" si="90"/>
        <v>221.9773436301067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1.6489517396391513</v>
      </c>
      <c r="AV73" s="23">
        <f>EXP(-LN(2)/25)*AV72+(1-EXP(-LN(2)/25))/(LN(2)/25)*Calculateur!AQ73*Calculateur!AS73*VLOOKUP('Données projet'!$B$10,Paramètres!$A$1:$I$89,3,0)*0.475*44/12</f>
        <v>0.79760821011488359</v>
      </c>
      <c r="AW73" s="23">
        <f>EXP(-LN(2)/2)*AW72+(1-EXP(-LN(2)/2))/(LN(2)/2)*AQ73*AT73*VLOOKUP('Données projet'!$B$10,Paramètres!$A$1:$I$89,3,0)*0.475*44/12</f>
        <v>3.2931156740152531E-6</v>
      </c>
      <c r="AX73" s="23">
        <f t="shared" si="60"/>
        <v>2.4465632428697091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-5.6843418860808015E-14</v>
      </c>
      <c r="BE73" s="14">
        <f>BD73*VLOOKUP('Données projet'!$B$11,Paramètres!$A$1:$I$89,3,0)*VLOOKUP('Données projet'!$B$11,Paramètres!$A$1:$I$89,5,0)</f>
        <v>-3.1036506698001178E-14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159.92263609041913</v>
      </c>
      <c r="BJ73" s="62">
        <f t="shared" si="92"/>
        <v>271.78119133009307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10.386755974002645</v>
      </c>
      <c r="BQ73" s="23">
        <f>EXP(-LN(2)/25)*BQ72+(1-EXP(-LN(2)/25))/(LN(2)/25)*Calculateur!BL73*Calculateur!BN73*VLOOKUP('Données projet'!$B$11,Paramètres!$A$1:$I$89,3,0)*0.475*44/12</f>
        <v>6.3363739952088478</v>
      </c>
      <c r="BR73" s="23">
        <f>EXP(-LN(2)/2)*BR72+(1-EXP(-LN(2)/2))/(LN(2)/2)*BL73*BO73*VLOOKUP('Données projet'!$B$11,Paramètres!$A$1:$I$89,3,0)*0.475*44/12</f>
        <v>7.756795344272228E-6</v>
      </c>
      <c r="BS73" s="24">
        <f t="shared" si="63"/>
        <v>16.723137726006836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1.2710188457276673E-13</v>
      </c>
      <c r="P74" s="14">
        <f t="shared" si="87"/>
        <v>1.856866851063998E-12</v>
      </c>
      <c r="Q74" s="22">
        <f t="shared" si="54"/>
        <v>3.4554122145673649E-12</v>
      </c>
      <c r="R74" s="62">
        <f t="shared" si="55"/>
        <v>293.33333333333678</v>
      </c>
      <c r="S74" s="62">
        <f ca="1">AVERAGE(OFFSET($R$3,0,0,'Données projet'!$E$9+1,1))-AVERAGE(OFFSET($H$3,0,0,'Données projet'!$E$9+1,1))</f>
        <v>210.566504119093</v>
      </c>
      <c r="T74" s="62">
        <f t="shared" si="88"/>
        <v>365.95065044620048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3.7309556578832916</v>
      </c>
      <c r="AA74" s="23">
        <f>EXP(-LN(2)/25)*AA73+(1-EXP(-LN(2)/25))/(LN(2)/25)*Calculateur!V74*Calculateur!X74*VLOOKUP('Données projet'!$B$9,Paramètres!$A$1:$I$89,3,0)*0.475*44/12</f>
        <v>1.3843858609514972</v>
      </c>
      <c r="AB74" s="23">
        <f>EXP(-LN(2)/2)*AB73+(1-EXP(-LN(2)/2))/(LN(2)/2)*V74*Y74*VLOOKUP('Données projet'!$B$9,Paramètres!$A$1:$I$89,3,0)*0.475*44/12</f>
        <v>2.9232629387045883E-6</v>
      </c>
      <c r="AC74" s="24">
        <f t="shared" si="57"/>
        <v>5.1153444420977277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494.37499999999994</v>
      </c>
      <c r="AJ74" s="14">
        <f>AI74*VLOOKUP('Données projet'!$B$10,Paramètres!$A$1:$I$89,3,0)*VLOOKUP('Données projet'!$B$10,Paramètres!$A$1:$I$89,5,0)</f>
        <v>295.63625000000002</v>
      </c>
      <c r="AK74" s="14">
        <f t="shared" si="89"/>
        <v>70.260875189476423</v>
      </c>
      <c r="AL74" s="22">
        <f t="shared" si="58"/>
        <v>637.27082637167155</v>
      </c>
      <c r="AM74" s="62">
        <f t="shared" si="59"/>
        <v>930.6041597050048</v>
      </c>
      <c r="AN74" s="62">
        <f ca="1">AVERAGE(OFFSET($AM$3,0,0,'Données projet'!$E$10+1,1))-AVERAGE(OFFSET($H$3,0,0,'Données projet'!$E$10+1,1))</f>
        <v>295.01137243247126</v>
      </c>
      <c r="AO74" s="62">
        <f t="shared" si="90"/>
        <v>221.9773436301067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1.616616801786078</v>
      </c>
      <c r="AV74" s="23">
        <f>EXP(-LN(2)/25)*AV73+(1-EXP(-LN(2)/25))/(LN(2)/25)*Calculateur!AQ74*Calculateur!AS74*VLOOKUP('Données projet'!$B$10,Paramètres!$A$1:$I$89,3,0)*0.475*44/12</f>
        <v>0.77579757166489927</v>
      </c>
      <c r="AW74" s="23">
        <f>EXP(-LN(2)/2)*AW73+(1-EXP(-LN(2)/2))/(LN(2)/2)*AQ74*AT74*VLOOKUP('Données projet'!$B$10,Paramètres!$A$1:$I$89,3,0)*0.475*44/12</f>
        <v>2.3285844243278935E-6</v>
      </c>
      <c r="AX74" s="23">
        <f t="shared" si="60"/>
        <v>2.3924167020354017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-5.6843418860808015E-14</v>
      </c>
      <c r="BE74" s="14">
        <f>BD74*VLOOKUP('Données projet'!$B$11,Paramètres!$A$1:$I$89,3,0)*VLOOKUP('Données projet'!$B$11,Paramètres!$A$1:$I$89,5,0)</f>
        <v>-3.1036506698001178E-14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159.92263609041913</v>
      </c>
      <c r="BJ74" s="62">
        <f t="shared" si="92"/>
        <v>271.78119133009307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10.183078024648038</v>
      </c>
      <c r="BQ74" s="23">
        <f>EXP(-LN(2)/25)*BQ73+(1-EXP(-LN(2)/25))/(LN(2)/25)*Calculateur!BL74*Calculateur!BN74*VLOOKUP('Données projet'!$B$11,Paramètres!$A$1:$I$89,3,0)*0.475*44/12</f>
        <v>6.1631055150944354</v>
      </c>
      <c r="BR74" s="23">
        <f>EXP(-LN(2)/2)*BR73+(1-EXP(-LN(2)/2))/(LN(2)/2)*BL74*BO74*VLOOKUP('Données projet'!$B$11,Paramètres!$A$1:$I$89,3,0)*0.475*44/12</f>
        <v>5.4848825882111328E-6</v>
      </c>
      <c r="BS74" s="24">
        <f t="shared" si="63"/>
        <v>16.346189024625062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1.2710188457276673E-13</v>
      </c>
      <c r="P75" s="14">
        <f t="shared" si="87"/>
        <v>1.856866851063998E-12</v>
      </c>
      <c r="Q75" s="22">
        <f t="shared" si="54"/>
        <v>3.4554122145673649E-12</v>
      </c>
      <c r="R75" s="62">
        <f t="shared" si="55"/>
        <v>293.33333333333678</v>
      </c>
      <c r="S75" s="62">
        <f ca="1">AVERAGE(OFFSET($R$3,0,0,'Données projet'!$E$9+1,1))-AVERAGE(OFFSET($H$3,0,0,'Données projet'!$E$9+1,1))</f>
        <v>210.566504119093</v>
      </c>
      <c r="T75" s="62">
        <f t="shared" si="88"/>
        <v>365.95065044620048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3.657793893090449</v>
      </c>
      <c r="AA75" s="23">
        <f>EXP(-LN(2)/25)*AA74+(1-EXP(-LN(2)/25))/(LN(2)/25)*Calculateur!V75*Calculateur!X75*VLOOKUP('Données projet'!$B$9,Paramètres!$A$1:$I$89,3,0)*0.475*44/12</f>
        <v>1.3465297567820902</v>
      </c>
      <c r="AB75" s="23">
        <f>EXP(-LN(2)/2)*AB74+(1-EXP(-LN(2)/2))/(LN(2)/2)*V75*Y75*VLOOKUP('Données projet'!$B$9,Paramètres!$A$1:$I$89,3,0)*0.475*44/12</f>
        <v>2.0670590471493292E-6</v>
      </c>
      <c r="AC75" s="24">
        <f t="shared" si="57"/>
        <v>5.0043257169315867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507.24999999999994</v>
      </c>
      <c r="AJ75" s="14">
        <f>AI75*VLOOKUP('Données projet'!$B$10,Paramètres!$A$1:$I$89,3,0)*VLOOKUP('Données projet'!$B$10,Paramètres!$A$1:$I$89,5,0)</f>
        <v>303.33549999999997</v>
      </c>
      <c r="AK75" s="14">
        <f t="shared" si="89"/>
        <v>71.875261779950591</v>
      </c>
      <c r="AL75" s="22">
        <f t="shared" si="58"/>
        <v>653.49207676674712</v>
      </c>
      <c r="AM75" s="62">
        <f t="shared" si="59"/>
        <v>946.82541010008049</v>
      </c>
      <c r="AN75" s="62">
        <f ca="1">AVERAGE(OFFSET($AM$3,0,0,'Données projet'!$E$10+1,1))-AVERAGE(OFFSET($H$3,0,0,'Données projet'!$E$10+1,1))</f>
        <v>295.01137243247126</v>
      </c>
      <c r="AO75" s="62">
        <f t="shared" si="90"/>
        <v>221.9773436301067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1.5849159323419388</v>
      </c>
      <c r="AV75" s="23">
        <f>EXP(-LN(2)/25)*AV74+(1-EXP(-LN(2)/25))/(LN(2)/25)*Calculateur!AQ75*Calculateur!AS75*VLOOKUP('Données projet'!$B$10,Paramètres!$A$1:$I$89,3,0)*0.475*44/12</f>
        <v>0.75458334627030144</v>
      </c>
      <c r="AW75" s="23">
        <f>EXP(-LN(2)/2)*AW74+(1-EXP(-LN(2)/2))/(LN(2)/2)*AQ75*AT75*VLOOKUP('Données projet'!$B$10,Paramètres!$A$1:$I$89,3,0)*0.475*44/12</f>
        <v>1.6465578370076266E-6</v>
      </c>
      <c r="AX75" s="23">
        <f t="shared" si="60"/>
        <v>2.3395009251700776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-5.6843418860808015E-14</v>
      </c>
      <c r="BE75" s="14">
        <f>BD75*VLOOKUP('Données projet'!$B$11,Paramètres!$A$1:$I$89,3,0)*VLOOKUP('Données projet'!$B$11,Paramètres!$A$1:$I$89,5,0)</f>
        <v>-3.1036506698001178E-14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159.92263609041913</v>
      </c>
      <c r="BJ75" s="62">
        <f t="shared" si="92"/>
        <v>271.78119133009307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9.9833940756489934</v>
      </c>
      <c r="BQ75" s="23">
        <f>EXP(-LN(2)/25)*BQ74+(1-EXP(-LN(2)/25))/(LN(2)/25)*Calculateur!BL75*Calculateur!BN75*VLOOKUP('Données projet'!$B$11,Paramètres!$A$1:$I$89,3,0)*0.475*44/12</f>
        <v>5.9945750706805452</v>
      </c>
      <c r="BR75" s="23">
        <f>EXP(-LN(2)/2)*BR74+(1-EXP(-LN(2)/2))/(LN(2)/2)*BL75*BO75*VLOOKUP('Données projet'!$B$11,Paramètres!$A$1:$I$89,3,0)*0.475*44/12</f>
        <v>3.878397672136114E-6</v>
      </c>
      <c r="BS75" s="24">
        <f t="shared" si="63"/>
        <v>15.977973024727211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1.2710188457276673E-13</v>
      </c>
      <c r="P76" s="14">
        <f t="shared" si="87"/>
        <v>1.856866851063998E-12</v>
      </c>
      <c r="Q76" s="22">
        <f t="shared" si="54"/>
        <v>3.4554122145673649E-12</v>
      </c>
      <c r="R76" s="62">
        <f t="shared" si="55"/>
        <v>293.33333333333678</v>
      </c>
      <c r="S76" s="62">
        <f ca="1">AVERAGE(OFFSET($R$3,0,0,'Données projet'!$E$9+1,1))-AVERAGE(OFFSET($H$3,0,0,'Données projet'!$E$9+1,1))</f>
        <v>210.566504119093</v>
      </c>
      <c r="T76" s="62">
        <f t="shared" si="88"/>
        <v>365.95065044620048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3.5860667858809236</v>
      </c>
      <c r="AA76" s="23">
        <f>EXP(-LN(2)/25)*AA75+(1-EXP(-LN(2)/25))/(LN(2)/25)*Calculateur!V76*Calculateur!X76*VLOOKUP('Données projet'!$B$9,Paramètres!$A$1:$I$89,3,0)*0.475*44/12</f>
        <v>1.3097088297719615</v>
      </c>
      <c r="AB76" s="23">
        <f>EXP(-LN(2)/2)*AB75+(1-EXP(-LN(2)/2))/(LN(2)/2)*V76*Y76*VLOOKUP('Données projet'!$B$9,Paramètres!$A$1:$I$89,3,0)*0.475*44/12</f>
        <v>1.4616314693522942E-6</v>
      </c>
      <c r="AC76" s="24">
        <f t="shared" si="57"/>
        <v>4.8957770772843547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520.125</v>
      </c>
      <c r="AJ76" s="14">
        <f>AI76*VLOOKUP('Données projet'!$B$10,Paramètres!$A$1:$I$89,3,0)*VLOOKUP('Données projet'!$B$10,Paramètres!$A$1:$I$89,5,0)</f>
        <v>311.03475000000003</v>
      </c>
      <c r="AK76" s="14">
        <f t="shared" si="89"/>
        <v>73.484885227728896</v>
      </c>
      <c r="AL76" s="22">
        <f t="shared" si="58"/>
        <v>669.70503135496119</v>
      </c>
      <c r="AM76" s="62">
        <f t="shared" si="59"/>
        <v>963.03836468829445</v>
      </c>
      <c r="AN76" s="62">
        <f ca="1">AVERAGE(OFFSET($AM$3,0,0,'Données projet'!$E$10+1,1))-AVERAGE(OFFSET($H$3,0,0,'Données projet'!$E$10+1,1))</f>
        <v>295.01137243247126</v>
      </c>
      <c r="AO76" s="62">
        <f t="shared" si="90"/>
        <v>221.9773436301067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1.5538366976119782</v>
      </c>
      <c r="AV76" s="23">
        <f>EXP(-LN(2)/25)*AV75+(1-EXP(-LN(2)/25))/(LN(2)/25)*Calculateur!AQ76*Calculateur!AS76*VLOOKUP('Données projet'!$B$10,Paramètres!$A$1:$I$89,3,0)*0.475*44/12</f>
        <v>0.73394922498472648</v>
      </c>
      <c r="AW76" s="23">
        <f>EXP(-LN(2)/2)*AW75+(1-EXP(-LN(2)/2))/(LN(2)/2)*AQ76*AT76*VLOOKUP('Données projet'!$B$10,Paramètres!$A$1:$I$89,3,0)*0.475*44/12</f>
        <v>1.1642922121639468E-6</v>
      </c>
      <c r="AX76" s="23">
        <f t="shared" si="60"/>
        <v>2.2877870868889167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-5.6843418860808015E-14</v>
      </c>
      <c r="BE76" s="14">
        <f>BD76*VLOOKUP('Données projet'!$B$11,Paramètres!$A$1:$I$89,3,0)*VLOOKUP('Données projet'!$B$11,Paramètres!$A$1:$I$89,5,0)</f>
        <v>-3.1036506698001178E-14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159.92263609041913</v>
      </c>
      <c r="BJ76" s="62">
        <f t="shared" si="92"/>
        <v>271.78119133009307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9.7876258070946367</v>
      </c>
      <c r="BQ76" s="23">
        <f>EXP(-LN(2)/25)*BQ75+(1-EXP(-LN(2)/25))/(LN(2)/25)*Calculateur!BL76*Calculateur!BN76*VLOOKUP('Données projet'!$B$11,Paramètres!$A$1:$I$89,3,0)*0.475*44/12</f>
        <v>5.8306531001317836</v>
      </c>
      <c r="BR76" s="23">
        <f>EXP(-LN(2)/2)*BR75+(1-EXP(-LN(2)/2))/(LN(2)/2)*BL76*BO76*VLOOKUP('Données projet'!$B$11,Paramètres!$A$1:$I$89,3,0)*0.475*44/12</f>
        <v>2.7424412941055664E-6</v>
      </c>
      <c r="BS76" s="24">
        <f t="shared" si="63"/>
        <v>15.618281649667715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1.2710188457276673E-13</v>
      </c>
      <c r="P77" s="14">
        <f t="shared" si="87"/>
        <v>1.856866851063998E-12</v>
      </c>
      <c r="Q77" s="22">
        <f t="shared" si="54"/>
        <v>3.4554122145673649E-12</v>
      </c>
      <c r="R77" s="62">
        <f t="shared" si="55"/>
        <v>293.33333333333678</v>
      </c>
      <c r="S77" s="62">
        <f ca="1">AVERAGE(OFFSET($R$3,0,0,'Données projet'!$E$9+1,1))-AVERAGE(OFFSET($H$3,0,0,'Données projet'!$E$9+1,1))</f>
        <v>210.566504119093</v>
      </c>
      <c r="T77" s="62">
        <f t="shared" si="88"/>
        <v>365.95065044620048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3.5157462034945617</v>
      </c>
      <c r="AA77" s="23">
        <f>EXP(-LN(2)/25)*AA76+(1-EXP(-LN(2)/25))/(LN(2)/25)*Calculateur!V77*Calculateur!X77*VLOOKUP('Données projet'!$B$9,Paramètres!$A$1:$I$89,3,0)*0.475*44/12</f>
        <v>1.2738947729472532</v>
      </c>
      <c r="AB77" s="23">
        <f>EXP(-LN(2)/2)*AB76+(1-EXP(-LN(2)/2))/(LN(2)/2)*V77*Y77*VLOOKUP('Données projet'!$B$9,Paramètres!$A$1:$I$89,3,0)*0.475*44/12</f>
        <v>1.0335295235746646E-6</v>
      </c>
      <c r="AC77" s="24">
        <f t="shared" si="57"/>
        <v>4.7896420099713382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533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533</v>
      </c>
      <c r="AJ77" s="14">
        <f>AI77*VLOOKUP('Données projet'!$B$10,Paramètres!$A$1:$I$89,3,0)*VLOOKUP('Données projet'!$B$10,Paramètres!$A$1:$I$89,5,0)</f>
        <v>318.73400000000004</v>
      </c>
      <c r="AK77" s="14">
        <f t="shared" si="89"/>
        <v>75.089876999925679</v>
      </c>
      <c r="AL77" s="22">
        <f t="shared" si="58"/>
        <v>685.90991910820378</v>
      </c>
      <c r="AM77" s="62">
        <f t="shared" si="59"/>
        <v>979.24325244153715</v>
      </c>
      <c r="AN77" s="62">
        <f ca="1">AVERAGE(OFFSET($AM$3,0,0,'Données projet'!$E$10+1,1))-AVERAGE(OFFSET($H$3,0,0,'Données projet'!$E$10+1,1))</f>
        <v>295.01137243247126</v>
      </c>
      <c r="AO77" s="62">
        <f t="shared" si="90"/>
        <v>221.9773436301067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1.5233669077186105</v>
      </c>
      <c r="AV77" s="23">
        <f>EXP(-LN(2)/25)*AV76+(1-EXP(-LN(2)/25))/(LN(2)/25)*Calculateur!AQ77*Calculateur!AS77*VLOOKUP('Données projet'!$B$10,Paramètres!$A$1:$I$89,3,0)*0.475*44/12</f>
        <v>0.71387934483080684</v>
      </c>
      <c r="AW77" s="23">
        <f>EXP(-LN(2)/2)*AW76+(1-EXP(-LN(2)/2))/(LN(2)/2)*AQ77*AT77*VLOOKUP('Données projet'!$B$10,Paramètres!$A$1:$I$89,3,0)*0.475*44/12</f>
        <v>8.2327891850381328E-7</v>
      </c>
      <c r="AX77" s="23">
        <f t="shared" si="60"/>
        <v>2.2372470758283356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-5.6843418860808015E-14</v>
      </c>
      <c r="BE77" s="14">
        <f>BD77*VLOOKUP('Données projet'!$B$11,Paramètres!$A$1:$I$89,3,0)*VLOOKUP('Données projet'!$B$11,Paramètres!$A$1:$I$89,5,0)</f>
        <v>-3.1036506698001178E-14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159.92263609041913</v>
      </c>
      <c r="BJ77" s="62">
        <f t="shared" si="92"/>
        <v>271.78119133009307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9.5956964348797786</v>
      </c>
      <c r="BQ77" s="23">
        <f>EXP(-LN(2)/25)*BQ76+(1-EXP(-LN(2)/25))/(LN(2)/25)*Calculateur!BL77*Calculateur!BN77*VLOOKUP('Données projet'!$B$11,Paramètres!$A$1:$I$89,3,0)*0.475*44/12</f>
        <v>5.6712135844879592</v>
      </c>
      <c r="BR77" s="23">
        <f>EXP(-LN(2)/2)*BR76+(1-EXP(-LN(2)/2))/(LN(2)/2)*BL77*BO77*VLOOKUP('Données projet'!$B$11,Paramètres!$A$1:$I$89,3,0)*0.475*44/12</f>
        <v>1.939198836068057E-6</v>
      </c>
      <c r="BS77" s="24">
        <f t="shared" si="63"/>
        <v>15.266911958566574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1.2710188457276673E-13</v>
      </c>
      <c r="P78" s="14">
        <f t="shared" si="87"/>
        <v>1.856866851063998E-12</v>
      </c>
      <c r="Q78" s="22">
        <f t="shared" si="54"/>
        <v>3.4554122145673649E-12</v>
      </c>
      <c r="R78" s="62">
        <f t="shared" si="55"/>
        <v>293.33333333333678</v>
      </c>
      <c r="S78" s="62">
        <f ca="1">AVERAGE(OFFSET($R$3,0,0,'Données projet'!$E$9+1,1))-AVERAGE(OFFSET($H$3,0,0,'Données projet'!$E$9+1,1))</f>
        <v>210.566504119093</v>
      </c>
      <c r="T78" s="62">
        <f t="shared" si="88"/>
        <v>365.95065044620048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3.4468045648374761</v>
      </c>
      <c r="AA78" s="23">
        <f>EXP(-LN(2)/25)*AA77+(1-EXP(-LN(2)/25))/(LN(2)/25)*Calculateur!V78*Calculateur!X78*VLOOKUP('Données projet'!$B$9,Paramètres!$A$1:$I$89,3,0)*0.475*44/12</f>
        <v>1.239060053389796</v>
      </c>
      <c r="AB78" s="23">
        <f>EXP(-LN(2)/2)*AB77+(1-EXP(-LN(2)/2))/(LN(2)/2)*V78*Y78*VLOOKUP('Données projet'!$B$9,Paramètres!$A$1:$I$89,3,0)*0.475*44/12</f>
        <v>7.3081573467614708E-7</v>
      </c>
      <c r="AC78" s="24">
        <f t="shared" si="57"/>
        <v>4.6858653490430076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504.875</v>
      </c>
      <c r="AJ78" s="14">
        <f>AI78*VLOOKUP('Données projet'!$B$10,Paramètres!$A$1:$I$89,3,0)*VLOOKUP('Données projet'!$B$10,Paramètres!$A$1:$I$89,5,0)</f>
        <v>301.91525000000001</v>
      </c>
      <c r="AK78" s="14">
        <f t="shared" si="89"/>
        <v>71.577824610045951</v>
      </c>
      <c r="AL78" s="22">
        <f t="shared" si="58"/>
        <v>650.50043827916329</v>
      </c>
      <c r="AM78" s="62">
        <f t="shared" si="59"/>
        <v>943.83377161249655</v>
      </c>
      <c r="AN78" s="62">
        <f ca="1">AVERAGE(OFFSET($AM$3,0,0,'Données projet'!$E$10+1,1))-AVERAGE(OFFSET($H$3,0,0,'Données projet'!$E$10+1,1))</f>
        <v>295.01137243247126</v>
      </c>
      <c r="AO78" s="62">
        <f t="shared" si="90"/>
        <v>221.9773436301067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1.4934946118203152</v>
      </c>
      <c r="AV78" s="23">
        <f>EXP(-LN(2)/25)*AV77+(1-EXP(-LN(2)/25))/(LN(2)/25)*Calculateur!AQ78*Calculateur!AS78*VLOOKUP('Données projet'!$B$10,Paramètres!$A$1:$I$89,3,0)*0.475*44/12</f>
        <v>0.69435827660512528</v>
      </c>
      <c r="AW78" s="23">
        <f>EXP(-LN(2)/2)*AW77+(1-EXP(-LN(2)/2))/(LN(2)/2)*AQ78*AT78*VLOOKUP('Données projet'!$B$10,Paramètres!$A$1:$I$89,3,0)*0.475*44/12</f>
        <v>5.8214610608197338E-7</v>
      </c>
      <c r="AX78" s="23">
        <f t="shared" si="60"/>
        <v>2.1878534705715462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-5.6843418860808015E-14</v>
      </c>
      <c r="BE78" s="14">
        <f>BD78*VLOOKUP('Données projet'!$B$11,Paramètres!$A$1:$I$89,3,0)*VLOOKUP('Données projet'!$B$11,Paramètres!$A$1:$I$89,5,0)</f>
        <v>-3.1036506698001178E-14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159.92263609041913</v>
      </c>
      <c r="BJ78" s="62">
        <f t="shared" si="92"/>
        <v>271.78119133009307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9.407530680588696</v>
      </c>
      <c r="BQ78" s="23">
        <f>EXP(-LN(2)/25)*BQ77+(1-EXP(-LN(2)/25))/(LN(2)/25)*Calculateur!BL78*Calculateur!BN78*VLOOKUP('Données projet'!$B$11,Paramètres!$A$1:$I$89,3,0)*0.475*44/12</f>
        <v>5.5161339507839751</v>
      </c>
      <c r="BR78" s="23">
        <f>EXP(-LN(2)/2)*BR77+(1-EXP(-LN(2)/2))/(LN(2)/2)*BL78*BO78*VLOOKUP('Données projet'!$B$11,Paramètres!$A$1:$I$89,3,0)*0.475*44/12</f>
        <v>1.3712206470527832E-6</v>
      </c>
      <c r="BS78" s="24">
        <f t="shared" si="63"/>
        <v>14.923666002593317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1.2710188457276673E-13</v>
      </c>
      <c r="P79" s="14">
        <f t="shared" si="87"/>
        <v>1.856866851063998E-12</v>
      </c>
      <c r="Q79" s="22">
        <f t="shared" si="54"/>
        <v>3.4554122145673649E-12</v>
      </c>
      <c r="R79" s="62">
        <f t="shared" si="55"/>
        <v>293.33333333333678</v>
      </c>
      <c r="S79" s="62">
        <f ca="1">AVERAGE(OFFSET($R$3,0,0,'Données projet'!$E$9+1,1))-AVERAGE(OFFSET($H$3,0,0,'Données projet'!$E$9+1,1))</f>
        <v>210.566504119093</v>
      </c>
      <c r="T79" s="62">
        <f t="shared" si="88"/>
        <v>365.95065044620048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3.3792148296642086</v>
      </c>
      <c r="AA79" s="23">
        <f>EXP(-LN(2)/25)*AA78+(1-EXP(-LN(2)/25))/(LN(2)/25)*Calculateur!V79*Calculateur!X79*VLOOKUP('Données projet'!$B$9,Paramètres!$A$1:$I$89,3,0)*0.475*44/12</f>
        <v>1.2051778910705158</v>
      </c>
      <c r="AB79" s="23">
        <f>EXP(-LN(2)/2)*AB78+(1-EXP(-LN(2)/2))/(LN(2)/2)*V79*Y79*VLOOKUP('Données projet'!$B$9,Paramètres!$A$1:$I$89,3,0)*0.475*44/12</f>
        <v>5.1676476178733231E-7</v>
      </c>
      <c r="AC79" s="24">
        <f t="shared" si="57"/>
        <v>4.5843932374994862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513.75</v>
      </c>
      <c r="AJ79" s="14">
        <f>AI79*VLOOKUP('Données projet'!$B$10,Paramètres!$A$1:$I$89,3,0)*VLOOKUP('Données projet'!$B$10,Paramètres!$A$1:$I$89,5,0)</f>
        <v>307.22250000000003</v>
      </c>
      <c r="AK79" s="14">
        <f t="shared" si="89"/>
        <v>72.68847414066191</v>
      </c>
      <c r="AL79" s="22">
        <f t="shared" si="58"/>
        <v>661.67827996165295</v>
      </c>
      <c r="AM79" s="62">
        <f t="shared" si="59"/>
        <v>955.01161329498632</v>
      </c>
      <c r="AN79" s="62">
        <f ca="1">AVERAGE(OFFSET($AM$3,0,0,'Données projet'!$E$10+1,1))-AVERAGE(OFFSET($H$3,0,0,'Données projet'!$E$10+1,1))</f>
        <v>295.01137243247126</v>
      </c>
      <c r="AO79" s="62">
        <f t="shared" si="90"/>
        <v>221.9773436301067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1.464208093424284</v>
      </c>
      <c r="AV79" s="23">
        <f>EXP(-LN(2)/25)*AV78+(1-EXP(-LN(2)/25))/(LN(2)/25)*Calculateur!AQ79*Calculateur!AS79*VLOOKUP('Données projet'!$B$10,Paramètres!$A$1:$I$89,3,0)*0.475*44/12</f>
        <v>0.67537101301664337</v>
      </c>
      <c r="AW79" s="23">
        <f>EXP(-LN(2)/2)*AW78+(1-EXP(-LN(2)/2))/(LN(2)/2)*AQ79*AT79*VLOOKUP('Données projet'!$B$10,Paramètres!$A$1:$I$89,3,0)*0.475*44/12</f>
        <v>4.1163945925190664E-7</v>
      </c>
      <c r="AX79" s="23">
        <f t="shared" si="60"/>
        <v>2.1395795180803869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-5.6843418860808015E-14</v>
      </c>
      <c r="BE79" s="14">
        <f>BD79*VLOOKUP('Données projet'!$B$11,Paramètres!$A$1:$I$89,3,0)*VLOOKUP('Données projet'!$B$11,Paramètres!$A$1:$I$89,5,0)</f>
        <v>-3.1036506698001178E-14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159.92263609041913</v>
      </c>
      <c r="BJ79" s="62">
        <f t="shared" si="92"/>
        <v>271.78119133009307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9.2230547419694844</v>
      </c>
      <c r="BQ79" s="23">
        <f>EXP(-LN(2)/25)*BQ78+(1-EXP(-LN(2)/25))/(LN(2)/25)*Calculateur!BL79*Calculateur!BN79*VLOOKUP('Données projet'!$B$11,Paramètres!$A$1:$I$89,3,0)*0.475*44/12</f>
        <v>5.3652949778189098</v>
      </c>
      <c r="BR79" s="23">
        <f>EXP(-LN(2)/2)*BR78+(1-EXP(-LN(2)/2))/(LN(2)/2)*BL79*BO79*VLOOKUP('Données projet'!$B$11,Paramètres!$A$1:$I$89,3,0)*0.475*44/12</f>
        <v>9.695994180340285E-7</v>
      </c>
      <c r="BS79" s="24">
        <f t="shared" si="63"/>
        <v>14.588350689387811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1.2710188457276673E-13</v>
      </c>
      <c r="P80" s="14">
        <f t="shared" si="87"/>
        <v>1.856866851063998E-12</v>
      </c>
      <c r="Q80" s="22">
        <f t="shared" si="54"/>
        <v>3.4554122145673649E-12</v>
      </c>
      <c r="R80" s="62">
        <f t="shared" si="55"/>
        <v>293.33333333333678</v>
      </c>
      <c r="S80" s="62">
        <f ca="1">AVERAGE(OFFSET($R$3,0,0,'Données projet'!$E$9+1,1))-AVERAGE(OFFSET($H$3,0,0,'Données projet'!$E$9+1,1))</f>
        <v>210.566504119093</v>
      </c>
      <c r="T80" s="62">
        <f t="shared" si="88"/>
        <v>365.95065044620048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3.3129504879720213</v>
      </c>
      <c r="AA80" s="23">
        <f>EXP(-LN(2)/25)*AA79+(1-EXP(-LN(2)/25))/(LN(2)/25)*Calculateur!V80*Calculateur!X80*VLOOKUP('Données projet'!$B$9,Paramètres!$A$1:$I$89,3,0)*0.475*44/12</f>
        <v>1.1722222382616416</v>
      </c>
      <c r="AB80" s="23">
        <f>EXP(-LN(2)/2)*AB79+(1-EXP(-LN(2)/2))/(LN(2)/2)*V80*Y80*VLOOKUP('Données projet'!$B$9,Paramètres!$A$1:$I$89,3,0)*0.475*44/12</f>
        <v>3.6540786733807354E-7</v>
      </c>
      <c r="AC80" s="24">
        <f t="shared" si="57"/>
        <v>4.4851730916415304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522.625</v>
      </c>
      <c r="AJ80" s="14">
        <f>AI80*VLOOKUP('Données projet'!$B$10,Paramètres!$A$1:$I$89,3,0)*VLOOKUP('Données projet'!$B$10,Paramètres!$A$1:$I$89,5,0)</f>
        <v>312.52975000000004</v>
      </c>
      <c r="AK80" s="14">
        <f t="shared" si="89"/>
        <v>73.796892500493684</v>
      </c>
      <c r="AL80" s="22">
        <f t="shared" si="58"/>
        <v>672.85223568835988</v>
      </c>
      <c r="AM80" s="62">
        <f t="shared" si="59"/>
        <v>966.18556902169325</v>
      </c>
      <c r="AN80" s="62">
        <f ca="1">AVERAGE(OFFSET($AM$3,0,0,'Données projet'!$E$10+1,1))-AVERAGE(OFFSET($H$3,0,0,'Données projet'!$E$10+1,1))</f>
        <v>295.01137243247126</v>
      </c>
      <c r="AO80" s="62">
        <f t="shared" si="90"/>
        <v>221.9773436301067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1.4354958657909866</v>
      </c>
      <c r="AV80" s="23">
        <f>EXP(-LN(2)/25)*AV79+(1-EXP(-LN(2)/25))/(LN(2)/25)*Calculateur!AQ80*Calculateur!AS80*VLOOKUP('Données projet'!$B$10,Paramètres!$A$1:$I$89,3,0)*0.475*44/12</f>
        <v>0.65690295714948532</v>
      </c>
      <c r="AW80" s="23">
        <f>EXP(-LN(2)/2)*AW79+(1-EXP(-LN(2)/2))/(LN(2)/2)*AQ80*AT80*VLOOKUP('Données projet'!$B$10,Paramètres!$A$1:$I$89,3,0)*0.475*44/12</f>
        <v>2.9107305304098669E-7</v>
      </c>
      <c r="AX80" s="23">
        <f t="shared" si="60"/>
        <v>2.0923991140135252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-5.6843418860808015E-14</v>
      </c>
      <c r="BE80" s="14">
        <f>BD80*VLOOKUP('Données projet'!$B$11,Paramètres!$A$1:$I$89,3,0)*VLOOKUP('Données projet'!$B$11,Paramètres!$A$1:$I$89,5,0)</f>
        <v>-3.1036506698001178E-14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159.92263609041913</v>
      </c>
      <c r="BJ80" s="62">
        <f t="shared" si="92"/>
        <v>271.78119133009307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9.0421962639873819</v>
      </c>
      <c r="BQ80" s="23">
        <f>EXP(-LN(2)/25)*BQ79+(1-EXP(-LN(2)/25))/(LN(2)/25)*Calculateur!BL80*Calculateur!BN80*VLOOKUP('Données projet'!$B$11,Paramètres!$A$1:$I$89,3,0)*0.475*44/12</f>
        <v>5.2185807045018517</v>
      </c>
      <c r="BR80" s="23">
        <f>EXP(-LN(2)/2)*BR79+(1-EXP(-LN(2)/2))/(LN(2)/2)*BL80*BO80*VLOOKUP('Données projet'!$B$11,Paramètres!$A$1:$I$89,3,0)*0.475*44/12</f>
        <v>6.8561032352639161E-7</v>
      </c>
      <c r="BS80" s="24">
        <f t="shared" si="63"/>
        <v>14.260777654099558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1.2710188457276673E-13</v>
      </c>
      <c r="P81" s="14">
        <f t="shared" si="87"/>
        <v>1.856866851063998E-12</v>
      </c>
      <c r="Q81" s="22">
        <f t="shared" si="54"/>
        <v>3.4554122145673649E-12</v>
      </c>
      <c r="R81" s="62">
        <f t="shared" si="55"/>
        <v>293.33333333333678</v>
      </c>
      <c r="S81" s="62">
        <f ca="1">AVERAGE(OFFSET($R$3,0,0,'Données projet'!$E$9+1,1))-AVERAGE(OFFSET($H$3,0,0,'Données projet'!$E$9+1,1))</f>
        <v>210.566504119093</v>
      </c>
      <c r="T81" s="62">
        <f t="shared" si="88"/>
        <v>365.95065044620048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3.2479855496031602</v>
      </c>
      <c r="AA81" s="23">
        <f>EXP(-LN(2)/25)*AA80+(1-EXP(-LN(2)/25))/(LN(2)/25)*Calculateur!V81*Calculateur!X81*VLOOKUP('Données projet'!$B$9,Paramètres!$A$1:$I$89,3,0)*0.475*44/12</f>
        <v>1.1401677595118886</v>
      </c>
      <c r="AB81" s="23">
        <f>EXP(-LN(2)/2)*AB80+(1-EXP(-LN(2)/2))/(LN(2)/2)*V81*Y81*VLOOKUP('Données projet'!$B$9,Paramètres!$A$1:$I$89,3,0)*0.475*44/12</f>
        <v>2.5838238089366615E-7</v>
      </c>
      <c r="AC81" s="24">
        <f t="shared" si="57"/>
        <v>4.3881535674974304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531.5</v>
      </c>
      <c r="AJ81" s="14">
        <f>AI81*VLOOKUP('Données projet'!$B$10,Paramètres!$A$1:$I$89,3,0)*VLOOKUP('Données projet'!$B$10,Paramètres!$A$1:$I$89,5,0)</f>
        <v>317.83700000000005</v>
      </c>
      <c r="AK81" s="14">
        <f t="shared" si="89"/>
        <v>74.903121950927684</v>
      </c>
      <c r="AL81" s="22">
        <f t="shared" si="58"/>
        <v>684.0223790645324</v>
      </c>
      <c r="AM81" s="62">
        <f t="shared" si="59"/>
        <v>977.35571239786577</v>
      </c>
      <c r="AN81" s="62">
        <f ca="1">AVERAGE(OFFSET($AM$3,0,0,'Données projet'!$E$10+1,1))-AVERAGE(OFFSET($H$3,0,0,'Données projet'!$E$10+1,1))</f>
        <v>295.01137243247126</v>
      </c>
      <c r="AO81" s="62">
        <f t="shared" si="90"/>
        <v>221.9773436301067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1.4073466674288486</v>
      </c>
      <c r="AV81" s="23">
        <f>EXP(-LN(2)/25)*AV80+(1-EXP(-LN(2)/25))/(LN(2)/25)*Calculateur!AQ81*Calculateur!AS81*VLOOKUP('Données projet'!$B$10,Paramètres!$A$1:$I$89,3,0)*0.475*44/12</f>
        <v>0.63893991124120753</v>
      </c>
      <c r="AW81" s="23">
        <f>EXP(-LN(2)/2)*AW80+(1-EXP(-LN(2)/2))/(LN(2)/2)*AQ81*AT81*VLOOKUP('Données projet'!$B$10,Paramètres!$A$1:$I$89,3,0)*0.475*44/12</f>
        <v>2.0581972962595332E-7</v>
      </c>
      <c r="AX81" s="23">
        <f t="shared" si="60"/>
        <v>2.0462867844897858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-5.6843418860808015E-14</v>
      </c>
      <c r="BE81" s="14">
        <f>BD81*VLOOKUP('Données projet'!$B$11,Paramètres!$A$1:$I$89,3,0)*VLOOKUP('Données projet'!$B$11,Paramètres!$A$1:$I$89,5,0)</f>
        <v>-3.1036506698001178E-14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159.92263609041913</v>
      </c>
      <c r="BJ81" s="62">
        <f t="shared" si="92"/>
        <v>271.78119133009307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8.8648843104457296</v>
      </c>
      <c r="BQ81" s="23">
        <f>EXP(-LN(2)/25)*BQ80+(1-EXP(-LN(2)/25))/(LN(2)/25)*Calculateur!BL81*Calculateur!BN81*VLOOKUP('Données projet'!$B$11,Paramètres!$A$1:$I$89,3,0)*0.475*44/12</f>
        <v>5.0758783407040164</v>
      </c>
      <c r="BR81" s="23">
        <f>EXP(-LN(2)/2)*BR80+(1-EXP(-LN(2)/2))/(LN(2)/2)*BL81*BO81*VLOOKUP('Données projet'!$B$11,Paramètres!$A$1:$I$89,3,0)*0.475*44/12</f>
        <v>4.8479970901701425E-7</v>
      </c>
      <c r="BS81" s="24">
        <f t="shared" si="63"/>
        <v>13.940763135949457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1.2710188457276673E-13</v>
      </c>
      <c r="P82" s="14">
        <f t="shared" si="87"/>
        <v>1.856866851063998E-12</v>
      </c>
      <c r="Q82" s="22">
        <f t="shared" si="54"/>
        <v>3.4554122145673649E-12</v>
      </c>
      <c r="R82" s="62">
        <f t="shared" si="55"/>
        <v>293.33333333333678</v>
      </c>
      <c r="S82" s="62">
        <f ca="1">AVERAGE(OFFSET($R$3,0,0,'Données projet'!$E$9+1,1))-AVERAGE(OFFSET($H$3,0,0,'Données projet'!$E$9+1,1))</f>
        <v>210.566504119093</v>
      </c>
      <c r="T82" s="62">
        <f t="shared" si="88"/>
        <v>365.95065044620048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3.1842945340510127</v>
      </c>
      <c r="AA82" s="23">
        <f>EXP(-LN(2)/25)*AA81+(1-EXP(-LN(2)/25))/(LN(2)/25)*Calculateur!V82*Calculateur!X82*VLOOKUP('Données projet'!$B$9,Paramètres!$A$1:$I$89,3,0)*0.475*44/12</f>
        <v>1.1089898121692194</v>
      </c>
      <c r="AB82" s="23">
        <f>EXP(-LN(2)/2)*AB81+(1-EXP(-LN(2)/2))/(LN(2)/2)*V82*Y82*VLOOKUP('Données projet'!$B$9,Paramètres!$A$1:$I$89,3,0)*0.475*44/12</f>
        <v>1.8270393366903677E-7</v>
      </c>
      <c r="AC82" s="24">
        <f t="shared" si="57"/>
        <v>4.2932845289241657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540.375</v>
      </c>
      <c r="AJ82" s="14">
        <f>AI82*VLOOKUP('Données projet'!$B$10,Paramètres!$A$1:$I$89,3,0)*VLOOKUP('Données projet'!$B$10,Paramètres!$A$1:$I$89,5,0)</f>
        <v>323.14425000000006</v>
      </c>
      <c r="AK82" s="14">
        <f t="shared" si="89"/>
        <v>76.007203261088534</v>
      </c>
      <c r="AL82" s="22">
        <f t="shared" si="58"/>
        <v>695.18878109639593</v>
      </c>
      <c r="AM82" s="62">
        <f t="shared" si="59"/>
        <v>988.5221144297293</v>
      </c>
      <c r="AN82" s="62">
        <f ca="1">AVERAGE(OFFSET($AM$3,0,0,'Données projet'!$E$10+1,1))-AVERAGE(OFFSET($H$3,0,0,'Données projet'!$E$10+1,1))</f>
        <v>295.01137243247126</v>
      </c>
      <c r="AO82" s="62">
        <f t="shared" si="90"/>
        <v>221.9773436301067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1.3797494576772764</v>
      </c>
      <c r="AV82" s="23">
        <f>EXP(-LN(2)/25)*AV81+(1-EXP(-LN(2)/25))/(LN(2)/25)*Calculateur!AQ82*Calculateur!AS82*VLOOKUP('Données projet'!$B$10,Paramètres!$A$1:$I$89,3,0)*0.475*44/12</f>
        <v>0.62146806576792712</v>
      </c>
      <c r="AW82" s="23">
        <f>EXP(-LN(2)/2)*AW81+(1-EXP(-LN(2)/2))/(LN(2)/2)*AQ82*AT82*VLOOKUP('Données projet'!$B$10,Paramètres!$A$1:$I$89,3,0)*0.475*44/12</f>
        <v>1.4553652652049334E-7</v>
      </c>
      <c r="AX82" s="23">
        <f t="shared" si="60"/>
        <v>2.00121766898173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-5.6843418860808015E-14</v>
      </c>
      <c r="BE82" s="14">
        <f>BD82*VLOOKUP('Données projet'!$B$11,Paramètres!$A$1:$I$89,3,0)*VLOOKUP('Données projet'!$B$11,Paramètres!$A$1:$I$89,5,0)</f>
        <v>-3.1036506698001178E-14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159.92263609041913</v>
      </c>
      <c r="BJ82" s="62">
        <f t="shared" si="92"/>
        <v>271.78119133009307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8.6910493361634167</v>
      </c>
      <c r="BQ82" s="23">
        <f>EXP(-LN(2)/25)*BQ81+(1-EXP(-LN(2)/25))/(LN(2)/25)*Calculateur!BL82*Calculateur!BN82*VLOOKUP('Données projet'!$B$11,Paramètres!$A$1:$I$89,3,0)*0.475*44/12</f>
        <v>4.9370781805486246</v>
      </c>
      <c r="BR82" s="23">
        <f>EXP(-LN(2)/2)*BR81+(1-EXP(-LN(2)/2))/(LN(2)/2)*BL82*BO82*VLOOKUP('Données projet'!$B$11,Paramètres!$A$1:$I$89,3,0)*0.475*44/12</f>
        <v>3.428051617631958E-7</v>
      </c>
      <c r="BS82" s="24">
        <f t="shared" si="63"/>
        <v>13.628127859517203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1.2710188457276673E-13</v>
      </c>
      <c r="P83" s="14">
        <f t="shared" si="87"/>
        <v>1.856866851063998E-12</v>
      </c>
      <c r="Q83" s="22">
        <f t="shared" si="54"/>
        <v>3.4554122145673649E-12</v>
      </c>
      <c r="R83" s="62">
        <f t="shared" si="55"/>
        <v>293.33333333333678</v>
      </c>
      <c r="S83" s="62">
        <f ca="1">AVERAGE(OFFSET($R$3,0,0,'Données projet'!$E$9+1,1))-AVERAGE(OFFSET($H$3,0,0,'Données projet'!$E$9+1,1))</f>
        <v>210.566504119093</v>
      </c>
      <c r="T83" s="62">
        <f t="shared" si="88"/>
        <v>365.95065044620048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3.1218524604661591</v>
      </c>
      <c r="AA83" s="23">
        <f>EXP(-LN(2)/25)*AA82+(1-EXP(-LN(2)/25))/(LN(2)/25)*Calculateur!V83*Calculateur!X83*VLOOKUP('Données projet'!$B$9,Paramètres!$A$1:$I$89,3,0)*0.475*44/12</f>
        <v>1.0786644274362125</v>
      </c>
      <c r="AB83" s="23">
        <f>EXP(-LN(2)/2)*AB82+(1-EXP(-LN(2)/2))/(LN(2)/2)*V83*Y83*VLOOKUP('Données projet'!$B$9,Paramètres!$A$1:$I$89,3,0)*0.475*44/12</f>
        <v>1.2919119044683308E-7</v>
      </c>
      <c r="AC83" s="24">
        <f t="shared" si="57"/>
        <v>4.2005170170935617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549.25</v>
      </c>
      <c r="AJ83" s="14">
        <f>AI83*VLOOKUP('Données projet'!$B$10,Paramètres!$A$1:$I$89,3,0)*VLOOKUP('Données projet'!$B$10,Paramètres!$A$1:$I$89,5,0)</f>
        <v>328.45150000000001</v>
      </c>
      <c r="AK83" s="14">
        <f t="shared" si="89"/>
        <v>77.109175784158708</v>
      </c>
      <c r="AL83" s="22">
        <f t="shared" si="58"/>
        <v>706.35151032407646</v>
      </c>
      <c r="AM83" s="62">
        <f t="shared" si="59"/>
        <v>999.68484365740983</v>
      </c>
      <c r="AN83" s="62">
        <f ca="1">AVERAGE(OFFSET($AM$3,0,0,'Données projet'!$E$10+1,1))-AVERAGE(OFFSET($H$3,0,0,'Données projet'!$E$10+1,1))</f>
        <v>295.01137243247126</v>
      </c>
      <c r="AO83" s="62">
        <f t="shared" si="90"/>
        <v>221.9773436301067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1.3526934123762966</v>
      </c>
      <c r="AV83" s="23">
        <f>EXP(-LN(2)/25)*AV82+(1-EXP(-LN(2)/25))/(LN(2)/25)*Calculateur!AQ83*Calculateur!AS83*VLOOKUP('Données projet'!$B$10,Paramètres!$A$1:$I$89,3,0)*0.475*44/12</f>
        <v>0.60447398882791792</v>
      </c>
      <c r="AW83" s="23">
        <f>EXP(-LN(2)/2)*AW82+(1-EXP(-LN(2)/2))/(LN(2)/2)*AQ83*AT83*VLOOKUP('Données projet'!$B$10,Paramètres!$A$1:$I$89,3,0)*0.475*44/12</f>
        <v>1.0290986481297666E-7</v>
      </c>
      <c r="AX83" s="23">
        <f t="shared" si="60"/>
        <v>1.9571675041140792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-5.6843418860808015E-14</v>
      </c>
      <c r="BE83" s="14">
        <f>BD83*VLOOKUP('Données projet'!$B$11,Paramètres!$A$1:$I$89,3,0)*VLOOKUP('Données projet'!$B$11,Paramètres!$A$1:$I$89,5,0)</f>
        <v>-3.1036506698001178E-14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159.92263609041913</v>
      </c>
      <c r="BJ83" s="62">
        <f t="shared" si="92"/>
        <v>271.78119133009307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8.5206231596979158</v>
      </c>
      <c r="BQ83" s="23">
        <f>EXP(-LN(2)/25)*BQ82+(1-EXP(-LN(2)/25))/(LN(2)/25)*Calculateur!BL83*Calculateur!BN83*VLOOKUP('Données projet'!$B$11,Paramètres!$A$1:$I$89,3,0)*0.475*44/12</f>
        <v>4.8020735180718646</v>
      </c>
      <c r="BR83" s="23">
        <f>EXP(-LN(2)/2)*BR82+(1-EXP(-LN(2)/2))/(LN(2)/2)*BL83*BO83*VLOOKUP('Données projet'!$B$11,Paramètres!$A$1:$I$89,3,0)*0.475*44/12</f>
        <v>2.4239985450850712E-7</v>
      </c>
      <c r="BS83" s="24">
        <f t="shared" si="63"/>
        <v>13.322696920169635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1.2710188457276673E-13</v>
      </c>
      <c r="P84" s="14">
        <f t="shared" si="87"/>
        <v>1.856866851063998E-12</v>
      </c>
      <c r="Q84" s="22">
        <f t="shared" si="54"/>
        <v>3.4554122145673649E-12</v>
      </c>
      <c r="R84" s="62">
        <f t="shared" si="55"/>
        <v>293.33333333333678</v>
      </c>
      <c r="S84" s="62">
        <f ca="1">AVERAGE(OFFSET($R$3,0,0,'Données projet'!$E$9+1,1))-AVERAGE(OFFSET($H$3,0,0,'Données projet'!$E$9+1,1))</f>
        <v>210.566504119093</v>
      </c>
      <c r="T84" s="62">
        <f t="shared" si="88"/>
        <v>365.95065044620048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3.0606348378584003</v>
      </c>
      <c r="AA84" s="23">
        <f>EXP(-LN(2)/25)*AA83+(1-EXP(-LN(2)/25))/(LN(2)/25)*Calculateur!V84*Calculateur!X84*VLOOKUP('Données projet'!$B$9,Paramètres!$A$1:$I$89,3,0)*0.475*44/12</f>
        <v>1.0491682919434724</v>
      </c>
      <c r="AB84" s="23">
        <f>EXP(-LN(2)/2)*AB83+(1-EXP(-LN(2)/2))/(LN(2)/2)*V84*Y84*VLOOKUP('Données projet'!$B$9,Paramètres!$A$1:$I$89,3,0)*0.475*44/12</f>
        <v>9.1351966834518385E-8</v>
      </c>
      <c r="AC84" s="24">
        <f t="shared" si="57"/>
        <v>4.1098032211538396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558.125</v>
      </c>
      <c r="AJ84" s="14">
        <f>AI84*VLOOKUP('Données projet'!$B$10,Paramètres!$A$1:$I$89,3,0)*VLOOKUP('Données projet'!$B$10,Paramètres!$A$1:$I$89,5,0)</f>
        <v>333.75875000000002</v>
      </c>
      <c r="AK84" s="14">
        <f t="shared" si="89"/>
        <v>78.209077528625059</v>
      </c>
      <c r="AL84" s="22">
        <f t="shared" si="58"/>
        <v>717.5106329456886</v>
      </c>
      <c r="AM84" s="62">
        <f t="shared" si="59"/>
        <v>1010.843966279022</v>
      </c>
      <c r="AN84" s="62">
        <f ca="1">AVERAGE(OFFSET($AM$3,0,0,'Données projet'!$E$10+1,1))-AVERAGE(OFFSET($H$3,0,0,'Données projet'!$E$10+1,1))</f>
        <v>295.01137243247126</v>
      </c>
      <c r="AO84" s="62">
        <f t="shared" si="90"/>
        <v>221.9773436301067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1.3261679196211109</v>
      </c>
      <c r="AV84" s="23">
        <f>EXP(-LN(2)/25)*AV83+(1-EXP(-LN(2)/25))/(LN(2)/25)*Calculateur!AQ84*Calculateur!AS84*VLOOKUP('Données projet'!$B$10,Paramètres!$A$1:$I$89,3,0)*0.475*44/12</f>
        <v>0.58794461581551294</v>
      </c>
      <c r="AW84" s="23">
        <f>EXP(-LN(2)/2)*AW83+(1-EXP(-LN(2)/2))/(LN(2)/2)*AQ84*AT84*VLOOKUP('Données projet'!$B$10,Paramètres!$A$1:$I$89,3,0)*0.475*44/12</f>
        <v>7.2768263260246672E-8</v>
      </c>
      <c r="AX84" s="23">
        <f t="shared" si="60"/>
        <v>1.9141126082048869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projet'!$B$11,Paramètres!$A$1:$I$89,3,0)*VLOOKUP('Données projet'!$B$11,Paramètres!$A$1:$I$89,5,0)</f>
        <v>-3.1036506698001178E-14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159.92263609041913</v>
      </c>
      <c r="BJ84" s="62">
        <f t="shared" si="92"/>
        <v>271.78119133009307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8.3535389366031989</v>
      </c>
      <c r="BQ84" s="23">
        <f>EXP(-LN(2)/25)*BQ83+(1-EXP(-LN(2)/25))/(LN(2)/25)*Calculateur!BL84*Calculateur!BN84*VLOOKUP('Données projet'!$B$11,Paramètres!$A$1:$I$89,3,0)*0.475*44/12</f>
        <v>4.6707605651901183</v>
      </c>
      <c r="BR84" s="23">
        <f>EXP(-LN(2)/2)*BR83+(1-EXP(-LN(2)/2))/(LN(2)/2)*BL84*BO84*VLOOKUP('Données projet'!$B$11,Paramètres!$A$1:$I$89,3,0)*0.475*44/12</f>
        <v>1.714025808815979E-7</v>
      </c>
      <c r="BS84" s="24">
        <f t="shared" si="63"/>
        <v>13.024299673195898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1.2710188457276673E-13</v>
      </c>
      <c r="P85" s="14">
        <f t="shared" si="87"/>
        <v>1.856866851063998E-12</v>
      </c>
      <c r="Q85" s="22">
        <f t="shared" si="54"/>
        <v>3.4554122145673649E-12</v>
      </c>
      <c r="R85" s="62">
        <f t="shared" si="55"/>
        <v>293.33333333333678</v>
      </c>
      <c r="S85" s="62">
        <f ca="1">AVERAGE(OFFSET($R$3,0,0,'Données projet'!$E$9+1,1))-AVERAGE(OFFSET($H$3,0,0,'Données projet'!$E$9+1,1))</f>
        <v>210.566504119093</v>
      </c>
      <c r="T85" s="62">
        <f t="shared" si="88"/>
        <v>365.95065044620048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3.0006176554909167</v>
      </c>
      <c r="AA85" s="23">
        <f>EXP(-LN(2)/25)*AA84+(1-EXP(-LN(2)/25))/(LN(2)/25)*Calculateur!V85*Calculateur!X85*VLOOKUP('Données projet'!$B$9,Paramètres!$A$1:$I$89,3,0)*0.475*44/12</f>
        <v>1.0204787298269156</v>
      </c>
      <c r="AB85" s="23">
        <f>EXP(-LN(2)/2)*AB84+(1-EXP(-LN(2)/2))/(LN(2)/2)*V85*Y85*VLOOKUP('Données projet'!$B$9,Paramètres!$A$1:$I$89,3,0)*0.475*44/12</f>
        <v>6.4595595223416538E-8</v>
      </c>
      <c r="AC85" s="24">
        <f t="shared" si="57"/>
        <v>4.0210964499134283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567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567</v>
      </c>
      <c r="AJ85" s="14">
        <f>AI85*VLOOKUP('Données projet'!$B$10,Paramètres!$A$1:$I$89,3,0)*VLOOKUP('Données projet'!$B$10,Paramètres!$A$1:$I$89,5,0)</f>
        <v>339.06600000000003</v>
      </c>
      <c r="AK85" s="14">
        <f t="shared" si="89"/>
        <v>79.30694522486489</v>
      </c>
      <c r="AL85" s="22">
        <f t="shared" si="58"/>
        <v>728.66621293330627</v>
      </c>
      <c r="AM85" s="62">
        <f t="shared" si="59"/>
        <v>1021.9995462666395</v>
      </c>
      <c r="AN85" s="62">
        <f ca="1">AVERAGE(OFFSET($AM$3,0,0,'Données projet'!$E$10+1,1))-AVERAGE(OFFSET($H$3,0,0,'Données projet'!$E$10+1,1))</f>
        <v>295.01137243247126</v>
      </c>
      <c r="AO85" s="62">
        <f t="shared" si="90"/>
        <v>221.9773436301067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567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1.3001625755999013</v>
      </c>
      <c r="AV85" s="23">
        <f>EXP(-LN(2)/25)*AV84+(1-EXP(-LN(2)/25))/(LN(2)/25)*Calculateur!AQ85*Calculateur!AS85*VLOOKUP('Données projet'!$B$10,Paramètres!$A$1:$I$89,3,0)*0.475*44/12</f>
        <v>0.57186723937737416</v>
      </c>
      <c r="AW85" s="23">
        <f>EXP(-LN(2)/2)*AW84+(1-EXP(-LN(2)/2))/(LN(2)/2)*AQ85*AT85*VLOOKUP('Données projet'!$B$10,Paramètres!$A$1:$I$89,3,0)*0.475*44/12</f>
        <v>5.145493240648833E-8</v>
      </c>
      <c r="AX85" s="23">
        <f t="shared" si="60"/>
        <v>1.8720298664322077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projet'!$B$11,Paramètres!$A$1:$I$89,3,0)*VLOOKUP('Données projet'!$B$11,Paramètres!$A$1:$I$89,5,0)</f>
        <v>-3.1036506698001178E-14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159.92263609041913</v>
      </c>
      <c r="BJ85" s="62">
        <f t="shared" si="92"/>
        <v>271.78119133009307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8.1897311332120566</v>
      </c>
      <c r="BQ85" s="23">
        <f>EXP(-LN(2)/25)*BQ84+(1-EXP(-LN(2)/25))/(LN(2)/25)*Calculateur!BL85*Calculateur!BN85*VLOOKUP('Données projet'!$B$11,Paramètres!$A$1:$I$89,3,0)*0.475*44/12</f>
        <v>4.543038371910372</v>
      </c>
      <c r="BR85" s="23">
        <f>EXP(-LN(2)/2)*BR84+(1-EXP(-LN(2)/2))/(LN(2)/2)*BL85*BO85*VLOOKUP('Données projet'!$B$11,Paramètres!$A$1:$I$89,3,0)*0.475*44/12</f>
        <v>1.2119992725425356E-7</v>
      </c>
      <c r="BS85" s="24">
        <f t="shared" si="63"/>
        <v>12.732769626322355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1.2710188457276673E-13</v>
      </c>
      <c r="P86" s="14">
        <f t="shared" si="87"/>
        <v>1.856866851063998E-12</v>
      </c>
      <c r="Q86" s="22">
        <f t="shared" si="54"/>
        <v>3.4554122145673649E-12</v>
      </c>
      <c r="R86" s="62">
        <f t="shared" si="55"/>
        <v>293.33333333333678</v>
      </c>
      <c r="S86" s="62">
        <f ca="1">AVERAGE(OFFSET($R$3,0,0,'Données projet'!$E$9+1,1))-AVERAGE(OFFSET($H$3,0,0,'Données projet'!$E$9+1,1))</f>
        <v>210.566504119093</v>
      </c>
      <c r="T86" s="62">
        <f t="shared" si="88"/>
        <v>365.95065044620048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2.9417773734627928</v>
      </c>
      <c r="AA86" s="23">
        <f>EXP(-LN(2)/25)*AA85+(1-EXP(-LN(2)/25))/(LN(2)/25)*Calculateur!V86*Calculateur!X86*VLOOKUP('Données projet'!$B$9,Paramètres!$A$1:$I$89,3,0)*0.475*44/12</f>
        <v>0.99257368529515444</v>
      </c>
      <c r="AB86" s="23">
        <f>EXP(-LN(2)/2)*AB85+(1-EXP(-LN(2)/2))/(LN(2)/2)*V86*Y86*VLOOKUP('Données projet'!$B$9,Paramètres!$A$1:$I$89,3,0)*0.475*44/12</f>
        <v>4.5675983417259192E-8</v>
      </c>
      <c r="AC86" s="24">
        <f t="shared" si="57"/>
        <v>3.9343511044339308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295.01137243247126</v>
      </c>
      <c r="AO86" s="62">
        <f t="shared" si="90"/>
        <v>221.9773436301067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1.2746671805132541</v>
      </c>
      <c r="AV86" s="23">
        <f>EXP(-LN(2)/25)*AV85+(1-EXP(-LN(2)/25))/(LN(2)/25)*Calculateur!AQ86*Calculateur!AS86*VLOOKUP('Données projet'!$B$10,Paramètres!$A$1:$I$89,3,0)*0.475*44/12</f>
        <v>0.55622949964340873</v>
      </c>
      <c r="AW86" s="23">
        <f>EXP(-LN(2)/2)*AW85+(1-EXP(-LN(2)/2))/(LN(2)/2)*AQ86*AT86*VLOOKUP('Données projet'!$B$10,Paramètres!$A$1:$I$89,3,0)*0.475*44/12</f>
        <v>3.6384131630123336E-8</v>
      </c>
      <c r="AX86" s="23">
        <f t="shared" si="60"/>
        <v>1.8308967165407946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projet'!$B$11,Paramètres!$A$1:$I$89,3,0)*VLOOKUP('Données projet'!$B$11,Paramètres!$A$1:$I$89,5,0)</f>
        <v>-3.1036506698001178E-14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159.92263609041913</v>
      </c>
      <c r="BJ86" s="62">
        <f t="shared" si="92"/>
        <v>271.78119133009307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8.0291355009325205</v>
      </c>
      <c r="BQ86" s="23">
        <f>EXP(-LN(2)/25)*BQ85+(1-EXP(-LN(2)/25))/(LN(2)/25)*Calculateur!BL86*Calculateur!BN86*VLOOKUP('Données projet'!$B$11,Paramètres!$A$1:$I$89,3,0)*0.475*44/12</f>
        <v>4.4188087487224781</v>
      </c>
      <c r="BR86" s="23">
        <f>EXP(-LN(2)/2)*BR85+(1-EXP(-LN(2)/2))/(LN(2)/2)*BL86*BO86*VLOOKUP('Données projet'!$B$11,Paramètres!$A$1:$I$89,3,0)*0.475*44/12</f>
        <v>8.5701290440798951E-8</v>
      </c>
      <c r="BS86" s="24">
        <f t="shared" si="63"/>
        <v>12.447944335356288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1.2710188457276673E-13</v>
      </c>
      <c r="P87" s="14">
        <f t="shared" si="87"/>
        <v>1.856866851063998E-12</v>
      </c>
      <c r="Q87" s="22">
        <f t="shared" si="54"/>
        <v>3.4554122145673649E-12</v>
      </c>
      <c r="R87" s="62">
        <f t="shared" si="55"/>
        <v>293.33333333333678</v>
      </c>
      <c r="S87" s="62">
        <f ca="1">AVERAGE(OFFSET($R$3,0,0,'Données projet'!$E$9+1,1))-AVERAGE(OFFSET($H$3,0,0,'Données projet'!$E$9+1,1))</f>
        <v>210.566504119093</v>
      </c>
      <c r="T87" s="62">
        <f t="shared" si="88"/>
        <v>365.95065044620048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2.884090913476212</v>
      </c>
      <c r="AA87" s="23">
        <f>EXP(-LN(2)/25)*AA86+(1-EXP(-LN(2)/25))/(LN(2)/25)*Calculateur!V87*Calculateur!X87*VLOOKUP('Données projet'!$B$9,Paramètres!$A$1:$I$89,3,0)*0.475*44/12</f>
        <v>0.96543170567357695</v>
      </c>
      <c r="AB87" s="23">
        <f>EXP(-LN(2)/2)*AB86+(1-EXP(-LN(2)/2))/(LN(2)/2)*V87*Y87*VLOOKUP('Données projet'!$B$9,Paramètres!$A$1:$I$89,3,0)*0.475*44/12</f>
        <v>3.2297797611708269E-8</v>
      </c>
      <c r="AC87" s="24">
        <f t="shared" si="57"/>
        <v>3.8495226514475869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295.01137243247126</v>
      </c>
      <c r="AO87" s="62">
        <f t="shared" si="90"/>
        <v>221.9773436301067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1.2496717345736006</v>
      </c>
      <c r="AV87" s="23">
        <f>EXP(-LN(2)/25)*AV86+(1-EXP(-LN(2)/25))/(LN(2)/25)*Calculateur!AQ87*Calculateur!AS87*VLOOKUP('Données projet'!$B$10,Paramètres!$A$1:$I$89,3,0)*0.475*44/12</f>
        <v>0.54101937472482164</v>
      </c>
      <c r="AW87" s="23">
        <f>EXP(-LN(2)/2)*AW86+(1-EXP(-LN(2)/2))/(LN(2)/2)*AQ87*AT87*VLOOKUP('Données projet'!$B$10,Paramètres!$A$1:$I$89,3,0)*0.475*44/12</f>
        <v>2.5727466203244165E-8</v>
      </c>
      <c r="AX87" s="23">
        <f t="shared" si="60"/>
        <v>1.7906911350258883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projet'!$B$11,Paramètres!$A$1:$I$89,3,0)*VLOOKUP('Données projet'!$B$11,Paramètres!$A$1:$I$89,5,0)</f>
        <v>-3.1036506698001178E-14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159.92263609041913</v>
      </c>
      <c r="BJ87" s="62">
        <f t="shared" si="92"/>
        <v>271.78119133009307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7.871689051048322</v>
      </c>
      <c r="BQ87" s="23">
        <f>EXP(-LN(2)/25)*BQ86+(1-EXP(-LN(2)/25))/(LN(2)/25)*Calculateur!BL87*Calculateur!BN87*VLOOKUP('Données projet'!$B$11,Paramètres!$A$1:$I$89,3,0)*0.475*44/12</f>
        <v>4.2979761911136087</v>
      </c>
      <c r="BR87" s="23">
        <f>EXP(-LN(2)/2)*BR86+(1-EXP(-LN(2)/2))/(LN(2)/2)*BL87*BO87*VLOOKUP('Données projet'!$B$11,Paramètres!$A$1:$I$89,3,0)*0.475*44/12</f>
        <v>6.0599963627126781E-8</v>
      </c>
      <c r="BS87" s="24">
        <f t="shared" si="63"/>
        <v>12.169665302761894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1.2710188457276673E-13</v>
      </c>
      <c r="P88" s="14">
        <f t="shared" si="87"/>
        <v>1.856866851063998E-12</v>
      </c>
      <c r="Q88" s="22">
        <f t="shared" si="54"/>
        <v>3.4554122145673649E-12</v>
      </c>
      <c r="R88" s="62">
        <f t="shared" si="55"/>
        <v>293.33333333333678</v>
      </c>
      <c r="S88" s="62">
        <f ca="1">AVERAGE(OFFSET($R$3,0,0,'Données projet'!$E$9+1,1))-AVERAGE(OFFSET($H$3,0,0,'Données projet'!$E$9+1,1))</f>
        <v>210.566504119093</v>
      </c>
      <c r="T88" s="62">
        <f t="shared" si="88"/>
        <v>365.95065044620048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2.8275356497847017</v>
      </c>
      <c r="AA88" s="23">
        <f>EXP(-LN(2)/25)*AA87+(1-EXP(-LN(2)/25))/(LN(2)/25)*Calculateur!V88*Calculateur!X88*VLOOKUP('Données projet'!$B$9,Paramètres!$A$1:$I$89,3,0)*0.475*44/12</f>
        <v>0.93903192491208609</v>
      </c>
      <c r="AB88" s="23">
        <f>EXP(-LN(2)/2)*AB87+(1-EXP(-LN(2)/2))/(LN(2)/2)*V88*Y88*VLOOKUP('Données projet'!$B$9,Paramètres!$A$1:$I$89,3,0)*0.475*44/12</f>
        <v>2.2837991708629596E-8</v>
      </c>
      <c r="AC88" s="24">
        <f t="shared" si="57"/>
        <v>3.7665675975347792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295.01137243247126</v>
      </c>
      <c r="AO88" s="62">
        <f t="shared" si="90"/>
        <v>221.9773436301067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1.225166434083107</v>
      </c>
      <c r="AV88" s="23">
        <f>EXP(-LN(2)/25)*AV87+(1-EXP(-LN(2)/25))/(LN(2)/25)*Calculateur!AQ88*Calculateur!AS88*VLOOKUP('Données projet'!$B$10,Paramètres!$A$1:$I$89,3,0)*0.475*44/12</f>
        <v>0.52622517147199899</v>
      </c>
      <c r="AW88" s="23">
        <f>EXP(-LN(2)/2)*AW87+(1-EXP(-LN(2)/2))/(LN(2)/2)*AQ88*AT88*VLOOKUP('Données projet'!$B$10,Paramètres!$A$1:$I$89,3,0)*0.475*44/12</f>
        <v>1.8192065815061668E-8</v>
      </c>
      <c r="AX88" s="23">
        <f t="shared" si="60"/>
        <v>1.7513916237471718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projet'!$B$11,Paramètres!$A$1:$I$89,3,0)*VLOOKUP('Données projet'!$B$11,Paramètres!$A$1:$I$89,5,0)</f>
        <v>-3.1036506698001178E-14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159.92263609041913</v>
      </c>
      <c r="BJ88" s="62">
        <f t="shared" si="92"/>
        <v>271.78119133009307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7.7173300300135006</v>
      </c>
      <c r="BQ88" s="23">
        <f>EXP(-LN(2)/25)*BQ87+(1-EXP(-LN(2)/25))/(LN(2)/25)*Calculateur!BL88*Calculateur!BN88*VLOOKUP('Données projet'!$B$11,Paramètres!$A$1:$I$89,3,0)*0.475*44/12</f>
        <v>4.1804478061468622</v>
      </c>
      <c r="BR88" s="23">
        <f>EXP(-LN(2)/2)*BR87+(1-EXP(-LN(2)/2))/(LN(2)/2)*BL88*BO88*VLOOKUP('Données projet'!$B$11,Paramètres!$A$1:$I$89,3,0)*0.475*44/12</f>
        <v>4.2850645220399475E-8</v>
      </c>
      <c r="BS88" s="24">
        <f t="shared" si="63"/>
        <v>11.897777879011008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1.2710188457276673E-13</v>
      </c>
      <c r="P89" s="14">
        <f t="shared" si="87"/>
        <v>1.856866851063998E-12</v>
      </c>
      <c r="Q89" s="22">
        <f t="shared" si="54"/>
        <v>3.4554122145673649E-12</v>
      </c>
      <c r="R89" s="62">
        <f t="shared" si="55"/>
        <v>293.33333333333678</v>
      </c>
      <c r="S89" s="62">
        <f ca="1">AVERAGE(OFFSET($R$3,0,0,'Données projet'!$E$9+1,1))-AVERAGE(OFFSET($H$3,0,0,'Données projet'!$E$9+1,1))</f>
        <v>210.566504119093</v>
      </c>
      <c r="T89" s="62">
        <f t="shared" si="88"/>
        <v>365.95065044620048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2.7720894003188774</v>
      </c>
      <c r="AA89" s="23">
        <f>EXP(-LN(2)/25)*AA88+(1-EXP(-LN(2)/25))/(LN(2)/25)*Calculateur!V89*Calculateur!X89*VLOOKUP('Données projet'!$B$9,Paramètres!$A$1:$I$89,3,0)*0.475*44/12</f>
        <v>0.91335404754382232</v>
      </c>
      <c r="AB89" s="23">
        <f>EXP(-LN(2)/2)*AB88+(1-EXP(-LN(2)/2))/(LN(2)/2)*V89*Y89*VLOOKUP('Données projet'!$B$9,Paramètres!$A$1:$I$89,3,0)*0.475*44/12</f>
        <v>1.6148898805854135E-8</v>
      </c>
      <c r="AC89" s="24">
        <f t="shared" si="57"/>
        <v>3.6854434640115983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295.01137243247126</v>
      </c>
      <c r="AO89" s="62">
        <f t="shared" si="90"/>
        <v>221.9773436301067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1.2011416675884745</v>
      </c>
      <c r="AV89" s="23">
        <f>EXP(-LN(2)/25)*AV88+(1-EXP(-LN(2)/25))/(LN(2)/25)*Calculateur!AQ89*Calculateur!AS89*VLOOKUP('Données projet'!$B$10,Paramètres!$A$1:$I$89,3,0)*0.475*44/12</f>
        <v>0.51183551648511816</v>
      </c>
      <c r="AW89" s="23">
        <f>EXP(-LN(2)/2)*AW88+(1-EXP(-LN(2)/2))/(LN(2)/2)*AQ89*AT89*VLOOKUP('Données projet'!$B$10,Paramètres!$A$1:$I$89,3,0)*0.475*44/12</f>
        <v>1.2863733101622083E-8</v>
      </c>
      <c r="AX89" s="23">
        <f t="shared" si="60"/>
        <v>1.712977196937326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projet'!$B$11,Paramètres!$A$1:$I$89,3,0)*VLOOKUP('Données projet'!$B$11,Paramètres!$A$1:$I$89,5,0)</f>
        <v>-3.1036506698001178E-14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159.92263609041913</v>
      </c>
      <c r="BJ89" s="62">
        <f t="shared" si="92"/>
        <v>271.78119133009307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7.5659978952314662</v>
      </c>
      <c r="BQ89" s="23">
        <f>EXP(-LN(2)/25)*BQ88+(1-EXP(-LN(2)/25))/(LN(2)/25)*Calculateur!BL89*Calculateur!BN89*VLOOKUP('Données projet'!$B$11,Paramètres!$A$1:$I$89,3,0)*0.475*44/12</f>
        <v>4.0661332410475808</v>
      </c>
      <c r="BR89" s="23">
        <f>EXP(-LN(2)/2)*BR88+(1-EXP(-LN(2)/2))/(LN(2)/2)*BL89*BO89*VLOOKUP('Données projet'!$B$11,Paramètres!$A$1:$I$89,3,0)*0.475*44/12</f>
        <v>3.0299981813563391E-8</v>
      </c>
      <c r="BS89" s="24">
        <f t="shared" si="63"/>
        <v>11.632131166579027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1.2710188457276673E-13</v>
      </c>
      <c r="P90" s="14">
        <f t="shared" si="87"/>
        <v>1.856866851063998E-12</v>
      </c>
      <c r="Q90" s="22">
        <f t="shared" si="54"/>
        <v>3.4554122145673649E-12</v>
      </c>
      <c r="R90" s="62">
        <f t="shared" si="55"/>
        <v>293.33333333333678</v>
      </c>
      <c r="S90" s="62">
        <f ca="1">AVERAGE(OFFSET($R$3,0,0,'Données projet'!$E$9+1,1))-AVERAGE(OFFSET($H$3,0,0,'Données projet'!$E$9+1,1))</f>
        <v>210.566504119093</v>
      </c>
      <c r="T90" s="62">
        <f t="shared" si="88"/>
        <v>365.95065044620048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2.7177304179862052</v>
      </c>
      <c r="AA90" s="23">
        <f>EXP(-LN(2)/25)*AA89+(1-EXP(-LN(2)/25))/(LN(2)/25)*Calculateur!V90*Calculateur!X90*VLOOKUP('Données projet'!$B$9,Paramètres!$A$1:$I$89,3,0)*0.475*44/12</f>
        <v>0.88837833308253467</v>
      </c>
      <c r="AB90" s="23">
        <f>EXP(-LN(2)/2)*AB89+(1-EXP(-LN(2)/2))/(LN(2)/2)*V90*Y90*VLOOKUP('Données projet'!$B$9,Paramètres!$A$1:$I$89,3,0)*0.475*44/12</f>
        <v>1.1418995854314798E-8</v>
      </c>
      <c r="AC90" s="24">
        <f t="shared" si="57"/>
        <v>3.6061087624877359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295.01137243247126</v>
      </c>
      <c r="AO90" s="62">
        <f t="shared" si="90"/>
        <v>221.9773436301067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1.1775880121111411</v>
      </c>
      <c r="AV90" s="23">
        <f>EXP(-LN(2)/25)*AV89+(1-EXP(-LN(2)/25))/(LN(2)/25)*Calculateur!AQ90*Calculateur!AS90*VLOOKUP('Données projet'!$B$10,Paramètres!$A$1:$I$89,3,0)*0.475*44/12</f>
        <v>0.49783934737057262</v>
      </c>
      <c r="AW90" s="23">
        <f>EXP(-LN(2)/2)*AW89+(1-EXP(-LN(2)/2))/(LN(2)/2)*AQ90*AT90*VLOOKUP('Données projet'!$B$10,Paramètres!$A$1:$I$89,3,0)*0.475*44/12</f>
        <v>9.096032907530834E-9</v>
      </c>
      <c r="AX90" s="23">
        <f t="shared" si="60"/>
        <v>1.6754273685777465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projet'!$B$11,Paramètres!$A$1:$I$89,3,0)*VLOOKUP('Données projet'!$B$11,Paramètres!$A$1:$I$89,5,0)</f>
        <v>-3.1036506698001178E-14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159.92263609041913</v>
      </c>
      <c r="BJ90" s="62">
        <f t="shared" si="92"/>
        <v>271.78119133009307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7.4176332913090191</v>
      </c>
      <c r="BQ90" s="23">
        <f>EXP(-LN(2)/25)*BQ89+(1-EXP(-LN(2)/25))/(LN(2)/25)*Calculateur!BL90*Calculateur!BN90*VLOOKUP('Données projet'!$B$11,Paramètres!$A$1:$I$89,3,0)*0.475*44/12</f>
        <v>3.9549446137424806</v>
      </c>
      <c r="BR90" s="23">
        <f>EXP(-LN(2)/2)*BR89+(1-EXP(-LN(2)/2))/(LN(2)/2)*BL90*BO90*VLOOKUP('Données projet'!$B$11,Paramètres!$A$1:$I$89,3,0)*0.475*44/12</f>
        <v>2.1425322610199738E-8</v>
      </c>
      <c r="BS90" s="24">
        <f t="shared" si="63"/>
        <v>11.372577926476822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1.2710188457276673E-13</v>
      </c>
      <c r="P91" s="14">
        <f t="shared" si="87"/>
        <v>1.856866851063998E-12</v>
      </c>
      <c r="Q91" s="22">
        <f t="shared" si="54"/>
        <v>3.4554122145673649E-12</v>
      </c>
      <c r="R91" s="62">
        <f t="shared" si="55"/>
        <v>293.33333333333678</v>
      </c>
      <c r="S91" s="62">
        <f ca="1">AVERAGE(OFFSET($R$3,0,0,'Données projet'!$E$9+1,1))-AVERAGE(OFFSET($H$3,0,0,'Données projet'!$E$9+1,1))</f>
        <v>210.566504119093</v>
      </c>
      <c r="T91" s="62">
        <f t="shared" si="88"/>
        <v>365.95065044620048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2.6644373821413709</v>
      </c>
      <c r="AA91" s="23">
        <f>EXP(-LN(2)/25)*AA90+(1-EXP(-LN(2)/25))/(LN(2)/25)*Calculateur!V91*Calculateur!X91*VLOOKUP('Données projet'!$B$9,Paramètres!$A$1:$I$89,3,0)*0.475*44/12</f>
        <v>0.86408558084660658</v>
      </c>
      <c r="AB91" s="23">
        <f>EXP(-LN(2)/2)*AB90+(1-EXP(-LN(2)/2))/(LN(2)/2)*V91*Y91*VLOOKUP('Données projet'!$B$9,Paramètres!$A$1:$I$89,3,0)*0.475*44/12</f>
        <v>8.0744494029270673E-9</v>
      </c>
      <c r="AC91" s="24">
        <f t="shared" si="57"/>
        <v>3.5285229710624271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295.01137243247126</v>
      </c>
      <c r="AO91" s="62">
        <f t="shared" si="90"/>
        <v>221.9773436301067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1.154496229451407</v>
      </c>
      <c r="AV91" s="23">
        <f>EXP(-LN(2)/25)*AV90+(1-EXP(-LN(2)/25))/(LN(2)/25)*Calculateur!AQ91*Calculateur!AS91*VLOOKUP('Données projet'!$B$10,Paramètres!$A$1:$I$89,3,0)*0.475*44/12</f>
        <v>0.48422590423649087</v>
      </c>
      <c r="AW91" s="23">
        <f>EXP(-LN(2)/2)*AW90+(1-EXP(-LN(2)/2))/(LN(2)/2)*AQ91*AT91*VLOOKUP('Données projet'!$B$10,Paramètres!$A$1:$I$89,3,0)*0.475*44/12</f>
        <v>6.4318665508110413E-9</v>
      </c>
      <c r="AX91" s="23">
        <f t="shared" si="60"/>
        <v>1.6387221401197645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projet'!$B$11,Paramètres!$A$1:$I$89,3,0)*VLOOKUP('Données projet'!$B$11,Paramètres!$A$1:$I$89,5,0)</f>
        <v>-3.1036506698001178E-14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159.92263609041913</v>
      </c>
      <c r="BJ91" s="62">
        <f t="shared" si="92"/>
        <v>271.78119133009307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7.2721780267760181</v>
      </c>
      <c r="BQ91" s="23">
        <f>EXP(-LN(2)/25)*BQ90+(1-EXP(-LN(2)/25))/(LN(2)/25)*Calculateur!BL91*Calculateur!BN91*VLOOKUP('Données projet'!$B$11,Paramètres!$A$1:$I$89,3,0)*0.475*44/12</f>
        <v>3.8467964452981942</v>
      </c>
      <c r="BR91" s="23">
        <f>EXP(-LN(2)/2)*BR90+(1-EXP(-LN(2)/2))/(LN(2)/2)*BL91*BO91*VLOOKUP('Données projet'!$B$11,Paramètres!$A$1:$I$89,3,0)*0.475*44/12</f>
        <v>1.5149990906781695E-8</v>
      </c>
      <c r="BS91" s="24">
        <f t="shared" si="63"/>
        <v>11.118974487224204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1.2710188457276673E-13</v>
      </c>
      <c r="P92" s="14">
        <f t="shared" si="87"/>
        <v>1.856866851063998E-12</v>
      </c>
      <c r="Q92" s="22">
        <f t="shared" si="54"/>
        <v>3.4554122145673649E-12</v>
      </c>
      <c r="R92" s="62">
        <f t="shared" si="55"/>
        <v>293.33333333333678</v>
      </c>
      <c r="S92" s="62">
        <f ca="1">AVERAGE(OFFSET($R$3,0,0,'Données projet'!$E$9+1,1))-AVERAGE(OFFSET($H$3,0,0,'Données projet'!$E$9+1,1))</f>
        <v>210.566504119093</v>
      </c>
      <c r="T92" s="62">
        <f t="shared" si="88"/>
        <v>365.95065044620048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2.6121893902239117</v>
      </c>
      <c r="AA92" s="23">
        <f>EXP(-LN(2)/25)*AA91+(1-EXP(-LN(2)/25))/(LN(2)/25)*Calculateur!V92*Calculateur!X92*VLOOKUP('Données projet'!$B$9,Paramètres!$A$1:$I$89,3,0)*0.475*44/12</f>
        <v>0.84045711519807031</v>
      </c>
      <c r="AB92" s="23">
        <f>EXP(-LN(2)/2)*AB91+(1-EXP(-LN(2)/2))/(LN(2)/2)*V92*Y92*VLOOKUP('Données projet'!$B$9,Paramètres!$A$1:$I$89,3,0)*0.475*44/12</f>
        <v>5.7094979271573991E-9</v>
      </c>
      <c r="AC92" s="24">
        <f t="shared" si="57"/>
        <v>3.4526465111314799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295.01137243247126</v>
      </c>
      <c r="AO92" s="62">
        <f t="shared" si="90"/>
        <v>221.9773436301067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1.1318572625650336</v>
      </c>
      <c r="AV92" s="23">
        <f>EXP(-LN(2)/25)*AV91+(1-EXP(-LN(2)/25))/(LN(2)/25)*Calculateur!AQ92*Calculateur!AS92*VLOOKUP('Données projet'!$B$10,Paramètres!$A$1:$I$89,3,0)*0.475*44/12</f>
        <v>0.47098472142081044</v>
      </c>
      <c r="AW92" s="23">
        <f>EXP(-LN(2)/2)*AW91+(1-EXP(-LN(2)/2))/(LN(2)/2)*AQ92*AT92*VLOOKUP('Données projet'!$B$10,Paramètres!$A$1:$I$89,3,0)*0.475*44/12</f>
        <v>4.548016453765417E-9</v>
      </c>
      <c r="AX92" s="23">
        <f t="shared" si="60"/>
        <v>1.6028419885338605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projet'!$B$11,Paramètres!$A$1:$I$89,3,0)*VLOOKUP('Données projet'!$B$11,Paramètres!$A$1:$I$89,5,0)</f>
        <v>-3.1036506698001178E-14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159.92263609041913</v>
      </c>
      <c r="BJ92" s="62">
        <f t="shared" si="92"/>
        <v>271.78119133009307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7.1295750512615585</v>
      </c>
      <c r="BQ92" s="23">
        <f>EXP(-LN(2)/25)*BQ91+(1-EXP(-LN(2)/25))/(LN(2)/25)*Calculateur!BL92*Calculateur!BN92*VLOOKUP('Données projet'!$B$11,Paramètres!$A$1:$I$89,3,0)*0.475*44/12</f>
        <v>3.7416055942072819</v>
      </c>
      <c r="BR92" s="23">
        <f>EXP(-LN(2)/2)*BR91+(1-EXP(-LN(2)/2))/(LN(2)/2)*BL92*BO92*VLOOKUP('Données projet'!$B$11,Paramètres!$A$1:$I$89,3,0)*0.475*44/12</f>
        <v>1.0712661305099869E-8</v>
      </c>
      <c r="BS92" s="24">
        <f t="shared" si="63"/>
        <v>10.871180656181501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1.2710188457276673E-13</v>
      </c>
      <c r="P93" s="14">
        <f t="shared" si="87"/>
        <v>1.856866851063998E-12</v>
      </c>
      <c r="Q93" s="22">
        <f t="shared" si="54"/>
        <v>3.4554122145673649E-12</v>
      </c>
      <c r="R93" s="62">
        <f t="shared" si="55"/>
        <v>293.33333333333678</v>
      </c>
      <c r="S93" s="62">
        <f ca="1">AVERAGE(OFFSET($R$3,0,0,'Données projet'!$E$9+1,1))-AVERAGE(OFFSET($H$3,0,0,'Données projet'!$E$9+1,1))</f>
        <v>210.566504119093</v>
      </c>
      <c r="T93" s="62">
        <f t="shared" si="88"/>
        <v>365.95065044620048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2.5609659495598258</v>
      </c>
      <c r="AA93" s="23">
        <f>EXP(-LN(2)/25)*AA92+(1-EXP(-LN(2)/25))/(LN(2)/25)*Calculateur!V93*Calculateur!X93*VLOOKUP('Données projet'!$B$9,Paramètres!$A$1:$I$89,3,0)*0.475*44/12</f>
        <v>0.81747477118526024</v>
      </c>
      <c r="AB93" s="23">
        <f>EXP(-LN(2)/2)*AB92+(1-EXP(-LN(2)/2))/(LN(2)/2)*V93*Y93*VLOOKUP('Données projet'!$B$9,Paramètres!$A$1:$I$89,3,0)*0.475*44/12</f>
        <v>4.0372247014635336E-9</v>
      </c>
      <c r="AC93" s="24">
        <f t="shared" si="57"/>
        <v>3.3784407247823109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295.01137243247126</v>
      </c>
      <c r="AO93" s="62">
        <f t="shared" si="90"/>
        <v>221.9773436301067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1.1096622320108955</v>
      </c>
      <c r="AV93" s="23">
        <f>EXP(-LN(2)/25)*AV92+(1-EXP(-LN(2)/25))/(LN(2)/25)*Calculateur!AQ93*Calculateur!AS93*VLOOKUP('Données projet'!$B$10,Paramètres!$A$1:$I$89,3,0)*0.475*44/12</f>
        <v>0.45810561944554834</v>
      </c>
      <c r="AW93" s="23">
        <f>EXP(-LN(2)/2)*AW92+(1-EXP(-LN(2)/2))/(LN(2)/2)*AQ93*AT93*VLOOKUP('Données projet'!$B$10,Paramètres!$A$1:$I$89,3,0)*0.475*44/12</f>
        <v>3.2159332754055206E-9</v>
      </c>
      <c r="AX93" s="23">
        <f t="shared" si="60"/>
        <v>1.5677678546723772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projet'!$B$11,Paramètres!$A$1:$I$89,3,0)*VLOOKUP('Données projet'!$B$11,Paramètres!$A$1:$I$89,5,0)</f>
        <v>-3.1036506698001178E-14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159.92263609041913</v>
      </c>
      <c r="BJ93" s="62">
        <f t="shared" si="92"/>
        <v>271.78119133009307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6.9897684331177112</v>
      </c>
      <c r="BQ93" s="23">
        <f>EXP(-LN(2)/25)*BQ92+(1-EXP(-LN(2)/25))/(LN(2)/25)*Calculateur!BL93*Calculateur!BN93*VLOOKUP('Données projet'!$B$11,Paramètres!$A$1:$I$89,3,0)*0.475*44/12</f>
        <v>3.6392911924711973</v>
      </c>
      <c r="BR93" s="23">
        <f>EXP(-LN(2)/2)*BR92+(1-EXP(-LN(2)/2))/(LN(2)/2)*BL93*BO93*VLOOKUP('Données projet'!$B$11,Paramètres!$A$1:$I$89,3,0)*0.475*44/12</f>
        <v>7.5749954533908476E-9</v>
      </c>
      <c r="BS93" s="24">
        <f t="shared" si="63"/>
        <v>10.629059633163903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1.2710188457276673E-13</v>
      </c>
      <c r="P94" s="14">
        <f t="shared" si="87"/>
        <v>1.856866851063998E-12</v>
      </c>
      <c r="Q94" s="22">
        <f t="shared" si="54"/>
        <v>3.4554122145673649E-12</v>
      </c>
      <c r="R94" s="62">
        <f t="shared" si="55"/>
        <v>293.33333333333678</v>
      </c>
      <c r="S94" s="62">
        <f ca="1">AVERAGE(OFFSET($R$3,0,0,'Données projet'!$E$9+1,1))-AVERAGE(OFFSET($H$3,0,0,'Données projet'!$E$9+1,1))</f>
        <v>210.566504119093</v>
      </c>
      <c r="T94" s="62">
        <f t="shared" si="88"/>
        <v>365.95065044620048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2.5107469693239488</v>
      </c>
      <c r="AA94" s="23">
        <f>EXP(-LN(2)/25)*AA93+(1-EXP(-LN(2)/25))/(LN(2)/25)*Calculateur!V94*Calculateur!X94*VLOOKUP('Données projet'!$B$9,Paramètres!$A$1:$I$89,3,0)*0.475*44/12</f>
        <v>0.7951208805780694</v>
      </c>
      <c r="AB94" s="23">
        <f>EXP(-LN(2)/2)*AB93+(1-EXP(-LN(2)/2))/(LN(2)/2)*V94*Y94*VLOOKUP('Données projet'!$B$9,Paramètres!$A$1:$I$89,3,0)*0.475*44/12</f>
        <v>2.8547489635786995E-9</v>
      </c>
      <c r="AC94" s="24">
        <f t="shared" si="57"/>
        <v>3.3058678527567671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295.01137243247126</v>
      </c>
      <c r="AO94" s="62">
        <f t="shared" si="90"/>
        <v>221.9773436301067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1.0879024324682922</v>
      </c>
      <c r="AV94" s="23">
        <f>EXP(-LN(2)/25)*AV93+(1-EXP(-LN(2)/25))/(LN(2)/25)*Calculateur!AQ94*Calculateur!AS94*VLOOKUP('Données projet'!$B$10,Paramètres!$A$1:$I$89,3,0)*0.475*44/12</f>
        <v>0.44557869719108228</v>
      </c>
      <c r="AW94" s="23">
        <f>EXP(-LN(2)/2)*AW93+(1-EXP(-LN(2)/2))/(LN(2)/2)*AQ94*AT94*VLOOKUP('Données projet'!$B$10,Paramètres!$A$1:$I$89,3,0)*0.475*44/12</f>
        <v>2.2740082268827085E-9</v>
      </c>
      <c r="AX94" s="23">
        <f t="shared" si="60"/>
        <v>1.5334811319333828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projet'!$B$11,Paramètres!$A$1:$I$89,3,0)*VLOOKUP('Données projet'!$B$11,Paramètres!$A$1:$I$89,5,0)</f>
        <v>-3.1036506698001178E-14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159.92263609041913</v>
      </c>
      <c r="BJ94" s="62">
        <f t="shared" si="92"/>
        <v>271.78119133009307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6.8527033374820476</v>
      </c>
      <c r="BQ94" s="23">
        <f>EXP(-LN(2)/25)*BQ93+(1-EXP(-LN(2)/25))/(LN(2)/25)*Calculateur!BL94*Calculateur!BN94*VLOOKUP('Données projet'!$B$11,Paramètres!$A$1:$I$89,3,0)*0.475*44/12</f>
        <v>3.5397745834310661</v>
      </c>
      <c r="BR94" s="23">
        <f>EXP(-LN(2)/2)*BR93+(1-EXP(-LN(2)/2))/(LN(2)/2)*BL94*BO94*VLOOKUP('Données projet'!$B$11,Paramètres!$A$1:$I$89,3,0)*0.475*44/12</f>
        <v>5.3563306525499344E-9</v>
      </c>
      <c r="BS94" s="24">
        <f t="shared" si="63"/>
        <v>10.392477926269445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1.2710188457276673E-13</v>
      </c>
      <c r="P95" s="14">
        <f t="shared" si="87"/>
        <v>1.856866851063998E-12</v>
      </c>
      <c r="Q95" s="22">
        <f t="shared" si="54"/>
        <v>3.4554122145673649E-12</v>
      </c>
      <c r="R95" s="62">
        <f t="shared" si="55"/>
        <v>293.33333333333678</v>
      </c>
      <c r="S95" s="62">
        <f ca="1">AVERAGE(OFFSET($R$3,0,0,'Données projet'!$E$9+1,1))-AVERAGE(OFFSET($H$3,0,0,'Données projet'!$E$9+1,1))</f>
        <v>210.566504119093</v>
      </c>
      <c r="T95" s="62">
        <f t="shared" si="88"/>
        <v>365.95065044620048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2.4615127526599436</v>
      </c>
      <c r="AA95" s="23">
        <f>EXP(-LN(2)/25)*AA94+(1-EXP(-LN(2)/25))/(LN(2)/25)*Calculateur!V95*Calculateur!X95*VLOOKUP('Données projet'!$B$9,Paramètres!$A$1:$I$89,3,0)*0.475*44/12</f>
        <v>0.77337825828507223</v>
      </c>
      <c r="AB95" s="23">
        <f>EXP(-LN(2)/2)*AB94+(1-EXP(-LN(2)/2))/(LN(2)/2)*V95*Y95*VLOOKUP('Données projet'!$B$9,Paramètres!$A$1:$I$89,3,0)*0.475*44/12</f>
        <v>2.0186123507317668E-9</v>
      </c>
      <c r="AC95" s="24">
        <f t="shared" si="57"/>
        <v>3.2348910129636281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295.01137243247126</v>
      </c>
      <c r="AO95" s="62">
        <f t="shared" si="90"/>
        <v>221.9773436301067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1.0665693293225522</v>
      </c>
      <c r="AV95" s="23">
        <f>EXP(-LN(2)/25)*AV94+(1-EXP(-LN(2)/25))/(LN(2)/25)*Calculateur!AQ95*Calculateur!AS95*VLOOKUP('Données projet'!$B$10,Paramètres!$A$1:$I$89,3,0)*0.475*44/12</f>
        <v>0.43339432428442681</v>
      </c>
      <c r="AW95" s="23">
        <f>EXP(-LN(2)/2)*AW94+(1-EXP(-LN(2)/2))/(LN(2)/2)*AQ95*AT95*VLOOKUP('Données projet'!$B$10,Paramètres!$A$1:$I$89,3,0)*0.475*44/12</f>
        <v>1.6079666377027603E-9</v>
      </c>
      <c r="AX95" s="23">
        <f t="shared" si="60"/>
        <v>1.4999636552149456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projet'!$B$11,Paramètres!$A$1:$I$89,3,0)*VLOOKUP('Données projet'!$B$11,Paramètres!$A$1:$I$89,5,0)</f>
        <v>-3.1036506698001178E-14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159.92263609041913</v>
      </c>
      <c r="BJ95" s="62">
        <f t="shared" si="92"/>
        <v>271.78119133009307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6.7183260047703461</v>
      </c>
      <c r="BQ95" s="23">
        <f>EXP(-LN(2)/25)*BQ94+(1-EXP(-LN(2)/25))/(LN(2)/25)*Calculateur!BL95*Calculateur!BN95*VLOOKUP('Données projet'!$B$11,Paramètres!$A$1:$I$89,3,0)*0.475*44/12</f>
        <v>3.4429792612984884</v>
      </c>
      <c r="BR95" s="23">
        <f>EXP(-LN(2)/2)*BR94+(1-EXP(-LN(2)/2))/(LN(2)/2)*BL95*BO95*VLOOKUP('Données projet'!$B$11,Paramètres!$A$1:$I$89,3,0)*0.475*44/12</f>
        <v>3.7874977266954238E-9</v>
      </c>
      <c r="BS95" s="24">
        <f t="shared" si="63"/>
        <v>10.161305269856333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1.2710188457276673E-13</v>
      </c>
      <c r="P96" s="14">
        <f t="shared" si="87"/>
        <v>1.856866851063998E-12</v>
      </c>
      <c r="Q96" s="22">
        <f t="shared" si="54"/>
        <v>3.4554122145673649E-12</v>
      </c>
      <c r="R96" s="62">
        <f t="shared" si="55"/>
        <v>293.33333333333678</v>
      </c>
      <c r="S96" s="62">
        <f ca="1">AVERAGE(OFFSET($R$3,0,0,'Données projet'!$E$9+1,1))-AVERAGE(OFFSET($H$3,0,0,'Données projet'!$E$9+1,1))</f>
        <v>210.566504119093</v>
      </c>
      <c r="T96" s="62">
        <f t="shared" si="88"/>
        <v>365.95065044620048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2.4132439889548127</v>
      </c>
      <c r="AA96" s="23">
        <f>EXP(-LN(2)/25)*AA95+(1-EXP(-LN(2)/25))/(LN(2)/25)*Calculateur!V96*Calculateur!X96*VLOOKUP('Données projet'!$B$9,Paramètres!$A$1:$I$89,3,0)*0.475*44/12</f>
        <v>0.75223018914207196</v>
      </c>
      <c r="AB96" s="23">
        <f>EXP(-LN(2)/2)*AB95+(1-EXP(-LN(2)/2))/(LN(2)/2)*V96*Y96*VLOOKUP('Données projet'!$B$9,Paramètres!$A$1:$I$89,3,0)*0.475*44/12</f>
        <v>1.4273744817893498E-9</v>
      </c>
      <c r="AC96" s="24">
        <f t="shared" si="57"/>
        <v>3.1654741795242591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295.01137243247126</v>
      </c>
      <c r="AO96" s="62">
        <f t="shared" si="90"/>
        <v>221.9773436301067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1.045654555317592</v>
      </c>
      <c r="AV96" s="23">
        <f>EXP(-LN(2)/25)*AV95+(1-EXP(-LN(2)/25))/(LN(2)/25)*Calculateur!AQ96*Calculateur!AS96*VLOOKUP('Données projet'!$B$10,Paramètres!$A$1:$I$89,3,0)*0.475*44/12</f>
        <v>0.42154313369565216</v>
      </c>
      <c r="AW96" s="23">
        <f>EXP(-LN(2)/2)*AW95+(1-EXP(-LN(2)/2))/(LN(2)/2)*AQ96*AT96*VLOOKUP('Données projet'!$B$10,Paramètres!$A$1:$I$89,3,0)*0.475*44/12</f>
        <v>1.1370041134413543E-9</v>
      </c>
      <c r="AX96" s="23">
        <f t="shared" si="60"/>
        <v>1.4671976901502481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projet'!$B$11,Paramètres!$A$1:$I$89,3,0)*VLOOKUP('Données projet'!$B$11,Paramètres!$A$1:$I$89,5,0)</f>
        <v>-3.1036506698001178E-14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159.92263609041913</v>
      </c>
      <c r="BJ96" s="62">
        <f t="shared" si="92"/>
        <v>271.78119133009307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6.586583729591041</v>
      </c>
      <c r="BQ96" s="23">
        <f>EXP(-LN(2)/25)*BQ95+(1-EXP(-LN(2)/25))/(LN(2)/25)*Calculateur!BL96*Calculateur!BN96*VLOOKUP('Données projet'!$B$11,Paramètres!$A$1:$I$89,3,0)*0.475*44/12</f>
        <v>3.3488308123398709</v>
      </c>
      <c r="BR96" s="23">
        <f>EXP(-LN(2)/2)*BR95+(1-EXP(-LN(2)/2))/(LN(2)/2)*BL96*BO96*VLOOKUP('Données projet'!$B$11,Paramètres!$A$1:$I$89,3,0)*0.475*44/12</f>
        <v>2.6781653262749672E-9</v>
      </c>
      <c r="BS96" s="24">
        <f t="shared" si="63"/>
        <v>9.9354145446090776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1.2710188457276673E-13</v>
      </c>
      <c r="P97" s="14">
        <f t="shared" si="87"/>
        <v>1.856866851063998E-12</v>
      </c>
      <c r="Q97" s="22">
        <f t="shared" si="54"/>
        <v>3.4554122145673649E-12</v>
      </c>
      <c r="R97" s="62">
        <f t="shared" si="55"/>
        <v>293.33333333333678</v>
      </c>
      <c r="S97" s="62">
        <f ca="1">AVERAGE(OFFSET($R$3,0,0,'Données projet'!$E$9+1,1))-AVERAGE(OFFSET($H$3,0,0,'Données projet'!$E$9+1,1))</f>
        <v>210.566504119093</v>
      </c>
      <c r="T97" s="62">
        <f t="shared" si="88"/>
        <v>365.95065044620048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2.3659217462649007</v>
      </c>
      <c r="AA97" s="23">
        <f>EXP(-LN(2)/25)*AA96+(1-EXP(-LN(2)/25))/(LN(2)/25)*Calculateur!V97*Calculateur!X97*VLOOKUP('Données projet'!$B$9,Paramètres!$A$1:$I$89,3,0)*0.475*44/12</f>
        <v>0.73166041506191559</v>
      </c>
      <c r="AB97" s="23">
        <f>EXP(-LN(2)/2)*AB96+(1-EXP(-LN(2)/2))/(LN(2)/2)*V97*Y97*VLOOKUP('Données projet'!$B$9,Paramètres!$A$1:$I$89,3,0)*0.475*44/12</f>
        <v>1.0093061753658834E-9</v>
      </c>
      <c r="AC97" s="24">
        <f t="shared" si="57"/>
        <v>3.0975821623361224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295.01137243247126</v>
      </c>
      <c r="AO97" s="62">
        <f t="shared" si="90"/>
        <v>221.9773436301067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1.0251499072741166</v>
      </c>
      <c r="AV97" s="23">
        <f>EXP(-LN(2)/25)*AV96+(1-EXP(-LN(2)/25))/(LN(2)/25)*Calculateur!AQ97*Calculateur!AS97*VLOOKUP('Données projet'!$B$10,Paramètres!$A$1:$I$89,3,0)*0.475*44/12</f>
        <v>0.41001601453675462</v>
      </c>
      <c r="AW97" s="23">
        <f>EXP(-LN(2)/2)*AW96+(1-EXP(-LN(2)/2))/(LN(2)/2)*AQ97*AT97*VLOOKUP('Données projet'!$B$10,Paramètres!$A$1:$I$89,3,0)*0.475*44/12</f>
        <v>8.0398331885138016E-10</v>
      </c>
      <c r="AX97" s="23">
        <f t="shared" si="60"/>
        <v>1.4351659226148545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projet'!$B$11,Paramètres!$A$1:$I$89,3,0)*VLOOKUP('Données projet'!$B$11,Paramètres!$A$1:$I$89,5,0)</f>
        <v>-3.1036506698001178E-14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159.92263609041913</v>
      </c>
      <c r="BJ97" s="62">
        <f t="shared" si="92"/>
        <v>271.78119133009307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6.4574248400731484</v>
      </c>
      <c r="BQ97" s="23">
        <f>EXP(-LN(2)/25)*BQ96+(1-EXP(-LN(2)/25))/(LN(2)/25)*Calculateur!BL97*Calculateur!BN97*VLOOKUP('Données projet'!$B$11,Paramètres!$A$1:$I$89,3,0)*0.475*44/12</f>
        <v>3.2572568576690784</v>
      </c>
      <c r="BR97" s="23">
        <f>EXP(-LN(2)/2)*BR96+(1-EXP(-LN(2)/2))/(LN(2)/2)*BL97*BO97*VLOOKUP('Données projet'!$B$11,Paramètres!$A$1:$I$89,3,0)*0.475*44/12</f>
        <v>1.8937488633477119E-9</v>
      </c>
      <c r="BS97" s="24">
        <f t="shared" si="63"/>
        <v>9.7146816996359764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1.2710188457276673E-13</v>
      </c>
      <c r="P98" s="14">
        <f t="shared" si="87"/>
        <v>1.856866851063998E-12</v>
      </c>
      <c r="Q98" s="22">
        <f t="shared" si="54"/>
        <v>3.4554122145673649E-12</v>
      </c>
      <c r="R98" s="62">
        <f t="shared" si="55"/>
        <v>293.33333333333678</v>
      </c>
      <c r="S98" s="62">
        <f ca="1">AVERAGE(OFFSET($R$3,0,0,'Données projet'!$E$9+1,1))-AVERAGE(OFFSET($H$3,0,0,'Données projet'!$E$9+1,1))</f>
        <v>210.566504119093</v>
      </c>
      <c r="T98" s="62">
        <f t="shared" si="88"/>
        <v>365.95065044620048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2.3195274638904197</v>
      </c>
      <c r="AA98" s="23">
        <f>EXP(-LN(2)/25)*AA97+(1-EXP(-LN(2)/25))/(LN(2)/25)*Calculateur!V98*Calculateur!X98*VLOOKUP('Données projet'!$B$9,Paramètres!$A$1:$I$89,3,0)*0.475*44/12</f>
        <v>0.71165312253569857</v>
      </c>
      <c r="AB98" s="23">
        <f>EXP(-LN(2)/2)*AB97+(1-EXP(-LN(2)/2))/(LN(2)/2)*V98*Y98*VLOOKUP('Données projet'!$B$9,Paramètres!$A$1:$I$89,3,0)*0.475*44/12</f>
        <v>7.1368724089467488E-10</v>
      </c>
      <c r="AC98" s="24">
        <f t="shared" si="57"/>
        <v>3.0311805871398056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295.01137243247126</v>
      </c>
      <c r="AO98" s="62">
        <f t="shared" si="90"/>
        <v>221.9773436301067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1.0050473428721733</v>
      </c>
      <c r="AV98" s="23">
        <f>EXP(-LN(2)/25)*AV97+(1-EXP(-LN(2)/25))/(LN(2)/25)*Calculateur!AQ98*Calculateur!AS98*VLOOKUP('Données projet'!$B$10,Paramètres!$A$1:$I$89,3,0)*0.475*44/12</f>
        <v>0.39880410505744196</v>
      </c>
      <c r="AW98" s="23">
        <f>EXP(-LN(2)/2)*AW97+(1-EXP(-LN(2)/2))/(LN(2)/2)*AQ98*AT98*VLOOKUP('Données projet'!$B$10,Paramètres!$A$1:$I$89,3,0)*0.475*44/12</f>
        <v>5.6850205672067713E-10</v>
      </c>
      <c r="AX98" s="23">
        <f t="shared" si="60"/>
        <v>1.4038514484981175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projet'!$B$11,Paramètres!$A$1:$I$89,3,0)*VLOOKUP('Données projet'!$B$11,Paramètres!$A$1:$I$89,5,0)</f>
        <v>-3.1036506698001178E-14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159.92263609041913</v>
      </c>
      <c r="BJ98" s="62">
        <f t="shared" si="92"/>
        <v>271.78119133009307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6.3307986775995584</v>
      </c>
      <c r="BQ98" s="23">
        <f>EXP(-LN(2)/25)*BQ97+(1-EXP(-LN(2)/25))/(LN(2)/25)*Calculateur!BL98*Calculateur!BN98*VLOOKUP('Données projet'!$B$11,Paramètres!$A$1:$I$89,3,0)*0.475*44/12</f>
        <v>3.1681869976044239</v>
      </c>
      <c r="BR98" s="23">
        <f>EXP(-LN(2)/2)*BR97+(1-EXP(-LN(2)/2))/(LN(2)/2)*BL98*BO98*VLOOKUP('Données projet'!$B$11,Paramètres!$A$1:$I$89,3,0)*0.475*44/12</f>
        <v>1.3390826631374836E-9</v>
      </c>
      <c r="BS98" s="24">
        <f t="shared" si="63"/>
        <v>9.4989856765430662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1.2710188457276673E-13</v>
      </c>
      <c r="P99" s="14">
        <f t="shared" si="87"/>
        <v>1.856866851063998E-12</v>
      </c>
      <c r="Q99" s="22">
        <f t="shared" ref="Q99:Q130" si="107">(O99+P99)*0.475*44/12</f>
        <v>3.4554122145673649E-12</v>
      </c>
      <c r="R99" s="62">
        <f t="shared" si="55"/>
        <v>293.33333333333678</v>
      </c>
      <c r="S99" s="62">
        <f ca="1">AVERAGE(OFFSET($R$3,0,0,'Données projet'!$E$9+1,1))-AVERAGE(OFFSET($H$3,0,0,'Données projet'!$E$9+1,1))</f>
        <v>210.566504119093</v>
      </c>
      <c r="T99" s="62">
        <f t="shared" si="88"/>
        <v>365.95065044620048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2.2740429450955846</v>
      </c>
      <c r="AA99" s="23">
        <f>EXP(-LN(2)/25)*AA98+(1-EXP(-LN(2)/25))/(LN(2)/25)*Calculateur!V99*Calculateur!X99*VLOOKUP('Données projet'!$B$9,Paramètres!$A$1:$I$89,3,0)*0.475*44/12</f>
        <v>0.6921929304757487</v>
      </c>
      <c r="AB99" s="23">
        <f>EXP(-LN(2)/2)*AB98+(1-EXP(-LN(2)/2))/(LN(2)/2)*V99*Y99*VLOOKUP('Données projet'!$B$9,Paramètres!$A$1:$I$89,3,0)*0.475*44/12</f>
        <v>5.0465308768294171E-10</v>
      </c>
      <c r="AC99" s="24">
        <f t="shared" si="57"/>
        <v>2.9662358760759866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295.01137243247126</v>
      </c>
      <c r="AO99" s="62">
        <f t="shared" si="90"/>
        <v>221.9773436301067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0.98533897749679866</v>
      </c>
      <c r="AV99" s="23">
        <f>EXP(-LN(2)/25)*AV98+(1-EXP(-LN(2)/25))/(LN(2)/25)*Calculateur!AQ99*Calculateur!AS99*VLOOKUP('Données projet'!$B$10,Paramètres!$A$1:$I$89,3,0)*0.475*44/12</f>
        <v>0.3878987858324498</v>
      </c>
      <c r="AW99" s="23">
        <f>EXP(-LN(2)/2)*AW98+(1-EXP(-LN(2)/2))/(LN(2)/2)*AQ99*AT99*VLOOKUP('Données projet'!$B$10,Paramètres!$A$1:$I$89,3,0)*0.475*44/12</f>
        <v>4.0199165942569008E-10</v>
      </c>
      <c r="AX99" s="23">
        <f t="shared" si="60"/>
        <v>1.3732377637312401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projet'!$B$11,Paramètres!$A$1:$I$89,3,0)*VLOOKUP('Données projet'!$B$11,Paramètres!$A$1:$I$89,5,0)</f>
        <v>-3.1036506698001178E-14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159.92263609041913</v>
      </c>
      <c r="BJ99" s="62">
        <f t="shared" si="92"/>
        <v>271.78119133009307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6.2066555769377425</v>
      </c>
      <c r="BQ99" s="23">
        <f>EXP(-LN(2)/25)*BQ98+(1-EXP(-LN(2)/25))/(LN(2)/25)*Calculateur!BL99*Calculateur!BN99*VLOOKUP('Données projet'!$B$11,Paramètres!$A$1:$I$89,3,0)*0.475*44/12</f>
        <v>3.0815527575472177</v>
      </c>
      <c r="BR99" s="23">
        <f>EXP(-LN(2)/2)*BR98+(1-EXP(-LN(2)/2))/(LN(2)/2)*BL99*BO99*VLOOKUP('Données projet'!$B$11,Paramètres!$A$1:$I$89,3,0)*0.475*44/12</f>
        <v>9.4687443167385595E-10</v>
      </c>
      <c r="BS99" s="24">
        <f t="shared" si="63"/>
        <v>9.2882083354318343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1.2710188457276673E-13</v>
      </c>
      <c r="P100" s="14">
        <f t="shared" si="87"/>
        <v>1.856866851063998E-12</v>
      </c>
      <c r="Q100" s="22">
        <f t="shared" si="107"/>
        <v>3.4554122145673649E-12</v>
      </c>
      <c r="R100" s="62">
        <f t="shared" si="55"/>
        <v>293.33333333333678</v>
      </c>
      <c r="S100" s="62">
        <f ca="1">AVERAGE(OFFSET($R$3,0,0,'Données projet'!$E$9+1,1))-AVERAGE(OFFSET($H$3,0,0,'Données projet'!$E$9+1,1))</f>
        <v>210.566504119093</v>
      </c>
      <c r="T100" s="62">
        <f t="shared" si="88"/>
        <v>365.95065044620048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2.2294503499714988</v>
      </c>
      <c r="AA100" s="23">
        <f>EXP(-LN(2)/25)*AA99+(1-EXP(-LN(2)/25))/(LN(2)/25)*Calculateur!V100*Calculateur!X100*VLOOKUP('Données projet'!$B$9,Paramètres!$A$1:$I$89,3,0)*0.475*44/12</f>
        <v>0.67326487839104521</v>
      </c>
      <c r="AB100" s="23">
        <f>EXP(-LN(2)/2)*AB99+(1-EXP(-LN(2)/2))/(LN(2)/2)*V100*Y100*VLOOKUP('Données projet'!$B$9,Paramètres!$A$1:$I$89,3,0)*0.475*44/12</f>
        <v>3.5684362044733744E-10</v>
      </c>
      <c r="AC100" s="24">
        <f t="shared" si="57"/>
        <v>2.9027152287193876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295.01137243247126</v>
      </c>
      <c r="AO100" s="62">
        <f t="shared" si="90"/>
        <v>221.9773436301067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0.9660170811455191</v>
      </c>
      <c r="AV100" s="23">
        <f>EXP(-LN(2)/25)*AV99+(1-EXP(-LN(2)/25))/(LN(2)/25)*Calculateur!AQ100*Calculateur!AS100*VLOOKUP('Données projet'!$B$10,Paramètres!$A$1:$I$89,3,0)*0.475*44/12</f>
        <v>0.37729167313515088</v>
      </c>
      <c r="AW100" s="23">
        <f>EXP(-LN(2)/2)*AW99+(1-EXP(-LN(2)/2))/(LN(2)/2)*AQ100*AT100*VLOOKUP('Données projet'!$B$10,Paramètres!$A$1:$I$89,3,0)*0.475*44/12</f>
        <v>2.8425102836033856E-10</v>
      </c>
      <c r="AX100" s="23">
        <f t="shared" si="60"/>
        <v>1.3433087545649209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projet'!$B$11,Paramètres!$A$1:$I$89,3,0)*VLOOKUP('Données projet'!$B$11,Paramètres!$A$1:$I$89,5,0)</f>
        <v>-3.1036506698001178E-14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159.92263609041913</v>
      </c>
      <c r="BJ100" s="62">
        <f t="shared" si="92"/>
        <v>271.78119133009307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6.08494684676009</v>
      </c>
      <c r="BQ100" s="23">
        <f>EXP(-LN(2)/25)*BQ99+(1-EXP(-LN(2)/25))/(LN(2)/25)*Calculateur!BL100*Calculateur!BN100*VLOOKUP('Données projet'!$B$11,Paramètres!$A$1:$I$89,3,0)*0.475*44/12</f>
        <v>2.9972875353402726</v>
      </c>
      <c r="BR100" s="23">
        <f>EXP(-LN(2)/2)*BR99+(1-EXP(-LN(2)/2))/(LN(2)/2)*BL100*BO100*VLOOKUP('Données projet'!$B$11,Paramètres!$A$1:$I$89,3,0)*0.475*44/12</f>
        <v>6.695413315687418E-10</v>
      </c>
      <c r="BS100" s="24">
        <f t="shared" si="63"/>
        <v>9.0822343827699044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1.2710188457276673E-13</v>
      </c>
      <c r="P101" s="14">
        <f t="shared" si="87"/>
        <v>1.856866851063998E-12</v>
      </c>
      <c r="Q101" s="22">
        <f t="shared" si="107"/>
        <v>3.4554122145673649E-12</v>
      </c>
      <c r="R101" s="62">
        <f t="shared" si="55"/>
        <v>293.33333333333678</v>
      </c>
      <c r="S101" s="62">
        <f ca="1">AVERAGE(OFFSET($R$3,0,0,'Données projet'!$E$9+1,1))-AVERAGE(OFFSET($H$3,0,0,'Données projet'!$E$9+1,1))</f>
        <v>210.566504119093</v>
      </c>
      <c r="T101" s="62">
        <f t="shared" si="88"/>
        <v>365.95065044620048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2.1857321884389993</v>
      </c>
      <c r="AA101" s="23">
        <f>EXP(-LN(2)/25)*AA100+(1-EXP(-LN(2)/25))/(LN(2)/25)*Calculateur!V101*Calculateur!X101*VLOOKUP('Données projet'!$B$9,Paramètres!$A$1:$I$89,3,0)*0.475*44/12</f>
        <v>0.65485441488598084</v>
      </c>
      <c r="AB101" s="23">
        <f>EXP(-LN(2)/2)*AB100+(1-EXP(-LN(2)/2))/(LN(2)/2)*V101*Y101*VLOOKUP('Données projet'!$B$9,Paramètres!$A$1:$I$89,3,0)*0.475*44/12</f>
        <v>2.5232654384147085E-10</v>
      </c>
      <c r="AC101" s="24">
        <f t="shared" si="57"/>
        <v>2.8405866035773069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295.01137243247126</v>
      </c>
      <c r="AO101" s="62">
        <f t="shared" si="90"/>
        <v>221.9773436301067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0.94707407539649513</v>
      </c>
      <c r="AV101" s="23">
        <f>EXP(-LN(2)/25)*AV100+(1-EXP(-LN(2)/25))/(LN(2)/25)*Calculateur!AQ101*Calculateur!AS101*VLOOKUP('Données projet'!$B$10,Paramètres!$A$1:$I$89,3,0)*0.475*44/12</f>
        <v>0.36697461249236341</v>
      </c>
      <c r="AW101" s="23">
        <f>EXP(-LN(2)/2)*AW100+(1-EXP(-LN(2)/2))/(LN(2)/2)*AQ101*AT101*VLOOKUP('Données projet'!$B$10,Paramètres!$A$1:$I$89,3,0)*0.475*44/12</f>
        <v>2.0099582971284504E-10</v>
      </c>
      <c r="AX101" s="23">
        <f t="shared" si="60"/>
        <v>1.3140486880898543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projet'!$B$11,Paramètres!$A$1:$I$89,3,0)*VLOOKUP('Données projet'!$B$11,Paramètres!$A$1:$I$89,5,0)</f>
        <v>-3.1036506698001178E-14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159.92263609041913</v>
      </c>
      <c r="BJ101" s="62">
        <f t="shared" si="92"/>
        <v>271.78119133009307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5.9656247505462261</v>
      </c>
      <c r="BQ101" s="23">
        <f>EXP(-LN(2)/25)*BQ100+(1-EXP(-LN(2)/25))/(LN(2)/25)*Calculateur!BL101*Calculateur!BN101*VLOOKUP('Données projet'!$B$11,Paramètres!$A$1:$I$89,3,0)*0.475*44/12</f>
        <v>2.9153265500658918</v>
      </c>
      <c r="BR101" s="23">
        <f>EXP(-LN(2)/2)*BR100+(1-EXP(-LN(2)/2))/(LN(2)/2)*BL101*BO101*VLOOKUP('Données projet'!$B$11,Paramètres!$A$1:$I$89,3,0)*0.475*44/12</f>
        <v>4.7343721583692798E-10</v>
      </c>
      <c r="BS101" s="24">
        <f t="shared" si="63"/>
        <v>8.8809513010855543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1.2710188457276673E-13</v>
      </c>
      <c r="P102" s="14">
        <f t="shared" si="87"/>
        <v>1.856866851063998E-12</v>
      </c>
      <c r="Q102" s="22">
        <f t="shared" si="107"/>
        <v>3.4554122145673649E-12</v>
      </c>
      <c r="R102" s="62">
        <f t="shared" si="55"/>
        <v>293.33333333333678</v>
      </c>
      <c r="S102" s="62">
        <f ca="1">AVERAGE(OFFSET($R$3,0,0,'Données projet'!$E$9+1,1))-AVERAGE(OFFSET($H$3,0,0,'Données projet'!$E$9+1,1))</f>
        <v>210.566504119093</v>
      </c>
      <c r="T102" s="62">
        <f t="shared" si="88"/>
        <v>365.95065044620048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2.1428713133887065</v>
      </c>
      <c r="AA102" s="23">
        <f>EXP(-LN(2)/25)*AA101+(1-EXP(-LN(2)/25))/(LN(2)/25)*Calculateur!V102*Calculateur!X102*VLOOKUP('Données projet'!$B$9,Paramètres!$A$1:$I$89,3,0)*0.475*44/12</f>
        <v>0.6369473864736267</v>
      </c>
      <c r="AB102" s="23">
        <f>EXP(-LN(2)/2)*AB101+(1-EXP(-LN(2)/2))/(LN(2)/2)*V102*Y102*VLOOKUP('Données projet'!$B$9,Paramètres!$A$1:$I$89,3,0)*0.475*44/12</f>
        <v>1.7842181022366872E-10</v>
      </c>
      <c r="AC102" s="24">
        <f t="shared" si="57"/>
        <v>2.7798187000407548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295.01137243247126</v>
      </c>
      <c r="AO102" s="62">
        <f t="shared" si="90"/>
        <v>221.9773436301067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0.92850253043611686</v>
      </c>
      <c r="AV102" s="23">
        <f>EXP(-LN(2)/25)*AV101+(1-EXP(-LN(2)/25))/(LN(2)/25)*Calculateur!AQ102*Calculateur!AS102*VLOOKUP('Données projet'!$B$10,Paramètres!$A$1:$I$89,3,0)*0.475*44/12</f>
        <v>0.35693967241540359</v>
      </c>
      <c r="AW102" s="23">
        <f>EXP(-LN(2)/2)*AW101+(1-EXP(-LN(2)/2))/(LN(2)/2)*AQ102*AT102*VLOOKUP('Données projet'!$B$10,Paramètres!$A$1:$I$89,3,0)*0.475*44/12</f>
        <v>1.4212551418016928E-10</v>
      </c>
      <c r="AX102" s="23">
        <f t="shared" si="60"/>
        <v>1.2854422029936459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projet'!$B$11,Paramètres!$A$1:$I$89,3,0)*VLOOKUP('Données projet'!$B$11,Paramètres!$A$1:$I$89,5,0)</f>
        <v>-3.1036506698001178E-14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159.92263609041913</v>
      </c>
      <c r="BJ102" s="62">
        <f t="shared" si="92"/>
        <v>271.78119133009307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5.8486424878598235</v>
      </c>
      <c r="BQ102" s="23">
        <f>EXP(-LN(2)/25)*BQ101+(1-EXP(-LN(2)/25))/(LN(2)/25)*Calculateur!BL102*Calculateur!BN102*VLOOKUP('Données projet'!$B$11,Paramètres!$A$1:$I$89,3,0)*0.475*44/12</f>
        <v>2.8356067922439796</v>
      </c>
      <c r="BR102" s="23">
        <f>EXP(-LN(2)/2)*BR101+(1-EXP(-LN(2)/2))/(LN(2)/2)*BL102*BO102*VLOOKUP('Données projet'!$B$11,Paramètres!$A$1:$I$89,3,0)*0.475*44/12</f>
        <v>3.347706657843709E-10</v>
      </c>
      <c r="BS102" s="24">
        <f t="shared" si="63"/>
        <v>8.6842492804385731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1.2710188457276673E-13</v>
      </c>
      <c r="P103" s="14">
        <f t="shared" si="87"/>
        <v>1.856866851063998E-12</v>
      </c>
      <c r="Q103" s="22">
        <f t="shared" si="107"/>
        <v>3.4554122145673649E-12</v>
      </c>
      <c r="R103" s="62">
        <f t="shared" si="55"/>
        <v>293.33333333333678</v>
      </c>
      <c r="S103" s="62">
        <f ca="1">AVERAGE(OFFSET($R$3,0,0,'Données projet'!$E$9+1,1))-AVERAGE(OFFSET($H$3,0,0,'Données projet'!$E$9+1,1))</f>
        <v>210.566504119093</v>
      </c>
      <c r="T103" s="62">
        <f t="shared" si="88"/>
        <v>365.95065044620048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2.1008509139555973</v>
      </c>
      <c r="AA103" s="23">
        <f>EXP(-LN(2)/25)*AA102+(1-EXP(-LN(2)/25))/(LN(2)/25)*Calculateur!V103*Calculateur!X103*VLOOKUP('Données projet'!$B$9,Paramètres!$A$1:$I$89,3,0)*0.475*44/12</f>
        <v>0.61953002669489809</v>
      </c>
      <c r="AB103" s="23">
        <f>EXP(-LN(2)/2)*AB102+(1-EXP(-LN(2)/2))/(LN(2)/2)*V103*Y103*VLOOKUP('Données projet'!$B$9,Paramètres!$A$1:$I$89,3,0)*0.475*44/12</f>
        <v>1.2616327192073543E-10</v>
      </c>
      <c r="AC103" s="24">
        <f t="shared" si="57"/>
        <v>2.7203809407766584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295.01137243247126</v>
      </c>
      <c r="AO103" s="62">
        <f t="shared" si="90"/>
        <v>221.9773436301067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0.9102951621448877</v>
      </c>
      <c r="AV103" s="23">
        <f>EXP(-LN(2)/25)*AV102+(1-EXP(-LN(2)/25))/(LN(2)/25)*Calculateur!AQ103*Calculateur!AS103*VLOOKUP('Données projet'!$B$10,Paramètres!$A$1:$I$89,3,0)*0.475*44/12</f>
        <v>0.34717913830256281</v>
      </c>
      <c r="AW103" s="23">
        <f>EXP(-LN(2)/2)*AW102+(1-EXP(-LN(2)/2))/(LN(2)/2)*AQ103*AT103*VLOOKUP('Données projet'!$B$10,Paramètres!$A$1:$I$89,3,0)*0.475*44/12</f>
        <v>1.0049791485642252E-10</v>
      </c>
      <c r="AX103" s="23">
        <f t="shared" si="60"/>
        <v>1.2574743005479483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projet'!$B$11,Paramètres!$A$1:$I$89,3,0)*VLOOKUP('Données projet'!$B$11,Paramètres!$A$1:$I$89,5,0)</f>
        <v>-3.1036506698001178E-14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159.92263609041913</v>
      </c>
      <c r="BJ103" s="62">
        <f t="shared" si="92"/>
        <v>271.78119133009307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5.7339541759925661</v>
      </c>
      <c r="BQ103" s="23">
        <f>EXP(-LN(2)/25)*BQ102+(1-EXP(-LN(2)/25))/(LN(2)/25)*Calculateur!BL103*Calculateur!BN103*VLOOKUP('Données projet'!$B$11,Paramètres!$A$1:$I$89,3,0)*0.475*44/12</f>
        <v>2.7580669753919875</v>
      </c>
      <c r="BR103" s="23">
        <f>EXP(-LN(2)/2)*BR102+(1-EXP(-LN(2)/2))/(LN(2)/2)*BL103*BO103*VLOOKUP('Données projet'!$B$11,Paramètres!$A$1:$I$89,3,0)*0.475*44/12</f>
        <v>2.3671860791846399E-10</v>
      </c>
      <c r="BS103" s="24">
        <f t="shared" si="63"/>
        <v>8.4920211516212731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1.2710188457276673E-13</v>
      </c>
      <c r="P104" s="14">
        <f t="shared" si="87"/>
        <v>1.856866851063998E-12</v>
      </c>
      <c r="Q104" s="22">
        <f t="shared" si="107"/>
        <v>3.4554122145673649E-12</v>
      </c>
      <c r="R104" s="62">
        <f t="shared" si="55"/>
        <v>293.33333333333678</v>
      </c>
      <c r="S104" s="62">
        <f ca="1">AVERAGE(OFFSET($R$3,0,0,'Données projet'!$E$9+1,1))-AVERAGE(OFFSET($H$3,0,0,'Données projet'!$E$9+1,1))</f>
        <v>210.566504119093</v>
      </c>
      <c r="T104" s="62">
        <f t="shared" si="88"/>
        <v>365.95065044620048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2.0596545089254588</v>
      </c>
      <c r="AA104" s="23">
        <f>EXP(-LN(2)/25)*AA103+(1-EXP(-LN(2)/25))/(LN(2)/25)*Calculateur!V104*Calculateur!X104*VLOOKUP('Données projet'!$B$9,Paramètres!$A$1:$I$89,3,0)*0.475*44/12</f>
        <v>0.60258894553525799</v>
      </c>
      <c r="AB104" s="23">
        <f>EXP(-LN(2)/2)*AB103+(1-EXP(-LN(2)/2))/(LN(2)/2)*V104*Y104*VLOOKUP('Données projet'!$B$9,Paramètres!$A$1:$I$89,3,0)*0.475*44/12</f>
        <v>8.921090511183436E-11</v>
      </c>
      <c r="AC104" s="24">
        <f t="shared" si="57"/>
        <v>2.6622434545499276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295.01137243247126</v>
      </c>
      <c r="AO104" s="62">
        <f t="shared" si="90"/>
        <v>221.9773436301067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0.89244482924045143</v>
      </c>
      <c r="AV104" s="23">
        <f>EXP(-LN(2)/25)*AV103+(1-EXP(-LN(2)/25))/(LN(2)/25)*Calculateur!AQ104*Calculateur!AS104*VLOOKUP('Données projet'!$B$10,Paramètres!$A$1:$I$89,3,0)*0.475*44/12</f>
        <v>0.33768550650832185</v>
      </c>
      <c r="AW104" s="23">
        <f>EXP(-LN(2)/2)*AW103+(1-EXP(-LN(2)/2))/(LN(2)/2)*AQ104*AT104*VLOOKUP('Données projet'!$B$10,Paramètres!$A$1:$I$89,3,0)*0.475*44/12</f>
        <v>7.1062757090084641E-11</v>
      </c>
      <c r="AX104" s="23">
        <f t="shared" si="60"/>
        <v>1.2301303358198359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projet'!$B$11,Paramètres!$A$1:$I$89,3,0)*VLOOKUP('Données projet'!$B$11,Paramètres!$A$1:$I$89,5,0)</f>
        <v>-3.1036506698001178E-14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159.92263609041913</v>
      </c>
      <c r="BJ104" s="62">
        <f t="shared" si="92"/>
        <v>271.78119133009307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5.6215148319680628</v>
      </c>
      <c r="BQ104" s="23">
        <f>EXP(-LN(2)/25)*BQ103+(1-EXP(-LN(2)/25))/(LN(2)/25)*Calculateur!BL104*Calculateur!BN104*VLOOKUP('Données projet'!$B$11,Paramètres!$A$1:$I$89,3,0)*0.475*44/12</f>
        <v>2.6826474889094549</v>
      </c>
      <c r="BR104" s="23">
        <f>EXP(-LN(2)/2)*BR103+(1-EXP(-LN(2)/2))/(LN(2)/2)*BL104*BO104*VLOOKUP('Données projet'!$B$11,Paramètres!$A$1:$I$89,3,0)*0.475*44/12</f>
        <v>1.6738533289218545E-10</v>
      </c>
      <c r="BS104" s="24">
        <f t="shared" si="63"/>
        <v>8.3041623210449043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1.2710188457276673E-13</v>
      </c>
      <c r="P105" s="14">
        <f t="shared" si="87"/>
        <v>1.856866851063998E-12</v>
      </c>
      <c r="Q105" s="22">
        <f t="shared" si="107"/>
        <v>3.4554122145673649E-12</v>
      </c>
      <c r="R105" s="62">
        <f t="shared" si="55"/>
        <v>293.33333333333678</v>
      </c>
      <c r="S105" s="62">
        <f ca="1">AVERAGE(OFFSET($R$3,0,0,'Données projet'!$E$9+1,1))-AVERAGE(OFFSET($H$3,0,0,'Données projet'!$E$9+1,1))</f>
        <v>210.566504119093</v>
      </c>
      <c r="T105" s="62">
        <f t="shared" si="88"/>
        <v>365.95065044620048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2.019265940270635</v>
      </c>
      <c r="AA105" s="23">
        <f>EXP(-LN(2)/25)*AA104+(1-EXP(-LN(2)/25))/(LN(2)/25)*Calculateur!V105*Calculateur!X105*VLOOKUP('Données projet'!$B$9,Paramètres!$A$1:$I$89,3,0)*0.475*44/12</f>
        <v>0.58611111913082092</v>
      </c>
      <c r="AB105" s="23">
        <f>EXP(-LN(2)/2)*AB104+(1-EXP(-LN(2)/2))/(LN(2)/2)*V105*Y105*VLOOKUP('Données projet'!$B$9,Paramètres!$A$1:$I$89,3,0)*0.475*44/12</f>
        <v>6.3081635960367713E-11</v>
      </c>
      <c r="AC105" s="24">
        <f t="shared" si="57"/>
        <v>2.6053770594645376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295.01137243247126</v>
      </c>
      <c r="AO105" s="62">
        <f t="shared" si="90"/>
        <v>221.9773436301067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0.87494453047664311</v>
      </c>
      <c r="AV105" s="23">
        <f>EXP(-LN(2)/25)*AV104+(1-EXP(-LN(2)/25))/(LN(2)/25)*Calculateur!AQ105*Calculateur!AS105*VLOOKUP('Données projet'!$B$10,Paramètres!$A$1:$I$89,3,0)*0.475*44/12</f>
        <v>0.32845147857474277</v>
      </c>
      <c r="AW105" s="23">
        <f>EXP(-LN(2)/2)*AW104+(1-EXP(-LN(2)/2))/(LN(2)/2)*AQ105*AT105*VLOOKUP('Données projet'!$B$10,Paramètres!$A$1:$I$89,3,0)*0.475*44/12</f>
        <v>5.024895742821126E-11</v>
      </c>
      <c r="AX105" s="23">
        <f t="shared" si="60"/>
        <v>1.2033960091016349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projet'!$B$11,Paramètres!$A$1:$I$89,3,0)*VLOOKUP('Données projet'!$B$11,Paramètres!$A$1:$I$89,5,0)</f>
        <v>-3.1036506698001178E-14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159.92263609041913</v>
      </c>
      <c r="BJ105" s="62">
        <f t="shared" si="92"/>
        <v>271.78119133009307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5.511280354898652</v>
      </c>
      <c r="BQ105" s="23">
        <f>EXP(-LN(2)/25)*BQ104+(1-EXP(-LN(2)/25))/(LN(2)/25)*Calculateur!BL105*Calculateur!BN105*VLOOKUP('Données projet'!$B$11,Paramètres!$A$1:$I$89,3,0)*0.475*44/12</f>
        <v>2.6092903522509259</v>
      </c>
      <c r="BR105" s="23">
        <f>EXP(-LN(2)/2)*BR104+(1-EXP(-LN(2)/2))/(LN(2)/2)*BL105*BO105*VLOOKUP('Données projet'!$B$11,Paramètres!$A$1:$I$89,3,0)*0.475*44/12</f>
        <v>1.1835930395923199E-10</v>
      </c>
      <c r="BS105" s="24">
        <f t="shared" si="63"/>
        <v>8.1205707072679374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1.2710188457276673E-13</v>
      </c>
      <c r="P106" s="14">
        <f t="shared" si="87"/>
        <v>1.856866851063998E-12</v>
      </c>
      <c r="Q106" s="22">
        <f t="shared" si="107"/>
        <v>3.4554122145673649E-12</v>
      </c>
      <c r="R106" s="62">
        <f t="shared" si="55"/>
        <v>293.33333333333678</v>
      </c>
      <c r="S106" s="62">
        <f ca="1">AVERAGE(OFFSET($R$3,0,0,'Données projet'!$E$9+1,1))-AVERAGE(OFFSET($H$3,0,0,'Données projet'!$E$9+1,1))</f>
        <v>210.566504119093</v>
      </c>
      <c r="T106" s="62">
        <f t="shared" si="88"/>
        <v>365.95065044620048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1.979669366812538</v>
      </c>
      <c r="AA106" s="23">
        <f>EXP(-LN(2)/25)*AA105+(1-EXP(-LN(2)/25))/(LN(2)/25)*Calculateur!V106*Calculateur!X106*VLOOKUP('Données projet'!$B$9,Paramètres!$A$1:$I$89,3,0)*0.475*44/12</f>
        <v>0.57008387975594443</v>
      </c>
      <c r="AB106" s="23">
        <f>EXP(-LN(2)/2)*AB105+(1-EXP(-LN(2)/2))/(LN(2)/2)*V106*Y106*VLOOKUP('Données projet'!$B$9,Paramètres!$A$1:$I$89,3,0)*0.475*44/12</f>
        <v>4.460545255591718E-11</v>
      </c>
      <c r="AC106" s="24">
        <f t="shared" si="57"/>
        <v>2.5497532466130881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295.01137243247126</v>
      </c>
      <c r="AO106" s="62">
        <f t="shared" si="90"/>
        <v>221.9773436301067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0.85778740189746483</v>
      </c>
      <c r="AV106" s="23">
        <f>EXP(-LN(2)/25)*AV105+(1-EXP(-LN(2)/25))/(LN(2)/25)*Calculateur!AQ106*Calculateur!AS106*VLOOKUP('Données projet'!$B$10,Paramètres!$A$1:$I$89,3,0)*0.475*44/12</f>
        <v>0.31946995562060387</v>
      </c>
      <c r="AW106" s="23">
        <f>EXP(-LN(2)/2)*AW105+(1-EXP(-LN(2)/2))/(LN(2)/2)*AQ106*AT106*VLOOKUP('Données projet'!$B$10,Paramètres!$A$1:$I$89,3,0)*0.475*44/12</f>
        <v>3.553137854504232E-11</v>
      </c>
      <c r="AX106" s="23">
        <f t="shared" si="60"/>
        <v>1.1772573575536001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projet'!$B$11,Paramètres!$A$1:$I$89,3,0)*VLOOKUP('Données projet'!$B$11,Paramètres!$A$1:$I$89,5,0)</f>
        <v>-3.1036506698001178E-14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159.92263609041913</v>
      </c>
      <c r="BJ106" s="62">
        <f t="shared" si="92"/>
        <v>271.78119133009307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5.4032075086881806</v>
      </c>
      <c r="BQ106" s="23">
        <f>EXP(-LN(2)/25)*BQ105+(1-EXP(-LN(2)/25))/(LN(2)/25)*Calculateur!BL106*Calculateur!BN106*VLOOKUP('Données projet'!$B$11,Paramètres!$A$1:$I$89,3,0)*0.475*44/12</f>
        <v>2.5379391703520082</v>
      </c>
      <c r="BR106" s="23">
        <f>EXP(-LN(2)/2)*BR105+(1-EXP(-LN(2)/2))/(LN(2)/2)*BL106*BO106*VLOOKUP('Données projet'!$B$11,Paramètres!$A$1:$I$89,3,0)*0.475*44/12</f>
        <v>8.3692666446092725E-11</v>
      </c>
      <c r="BS106" s="24">
        <f t="shared" si="63"/>
        <v>7.9411466791238823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1.2710188457276673E-13</v>
      </c>
      <c r="P107" s="14">
        <f t="shared" si="87"/>
        <v>1.856866851063998E-12</v>
      </c>
      <c r="Q107" s="22">
        <f t="shared" si="107"/>
        <v>3.4554122145673649E-12</v>
      </c>
      <c r="R107" s="62">
        <f t="shared" si="55"/>
        <v>293.33333333333678</v>
      </c>
      <c r="S107" s="62">
        <f ca="1">AVERAGE(OFFSET($R$3,0,0,'Données projet'!$E$9+1,1))-AVERAGE(OFFSET($H$3,0,0,'Données projet'!$E$9+1,1))</f>
        <v>210.566504119093</v>
      </c>
      <c r="T107" s="62">
        <f t="shared" si="88"/>
        <v>365.95065044620048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1.9408492580084293</v>
      </c>
      <c r="AA107" s="23">
        <f>EXP(-LN(2)/25)*AA106+(1-EXP(-LN(2)/25))/(LN(2)/25)*Calculateur!V107*Calculateur!X107*VLOOKUP('Données projet'!$B$9,Paramètres!$A$1:$I$89,3,0)*0.475*44/12</f>
        <v>0.55449490608460983</v>
      </c>
      <c r="AB107" s="23">
        <f>EXP(-LN(2)/2)*AB106+(1-EXP(-LN(2)/2))/(LN(2)/2)*V107*Y107*VLOOKUP('Données projet'!$B$9,Paramètres!$A$1:$I$89,3,0)*0.475*44/12</f>
        <v>3.1540817980183857E-11</v>
      </c>
      <c r="AC107" s="24">
        <f t="shared" si="57"/>
        <v>2.4953441641245799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295.01137243247126</v>
      </c>
      <c r="AO107" s="62">
        <f t="shared" si="90"/>
        <v>221.9773436301067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0.84096671414490909</v>
      </c>
      <c r="AV107" s="23">
        <f>EXP(-LN(2)/25)*AV106+(1-EXP(-LN(2)/25))/(LN(2)/25)*Calculateur!AQ107*Calculateur!AS107*VLOOKUP('Données projet'!$B$10,Paramètres!$A$1:$I$89,3,0)*0.475*44/12</f>
        <v>0.31073403288396367</v>
      </c>
      <c r="AW107" s="23">
        <f>EXP(-LN(2)/2)*AW106+(1-EXP(-LN(2)/2))/(LN(2)/2)*AQ107*AT107*VLOOKUP('Données projet'!$B$10,Paramètres!$A$1:$I$89,3,0)*0.475*44/12</f>
        <v>2.512447871410563E-11</v>
      </c>
      <c r="AX107" s="23">
        <f t="shared" si="60"/>
        <v>1.1517007470539973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projet'!$B$11,Paramètres!$A$1:$I$89,3,0)*VLOOKUP('Données projet'!$B$11,Paramètres!$A$1:$I$89,5,0)</f>
        <v>-3.1036506698001178E-14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159.92263609041913</v>
      </c>
      <c r="BJ107" s="62">
        <f t="shared" si="92"/>
        <v>271.78119133009307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5.2972539050739691</v>
      </c>
      <c r="BQ107" s="23">
        <f>EXP(-LN(2)/25)*BQ106+(1-EXP(-LN(2)/25))/(LN(2)/25)*Calculateur!BL107*Calculateur!BN107*VLOOKUP('Données projet'!$B$11,Paramètres!$A$1:$I$89,3,0)*0.475*44/12</f>
        <v>2.4685390902743123</v>
      </c>
      <c r="BR107" s="23">
        <f>EXP(-LN(2)/2)*BR106+(1-EXP(-LN(2)/2))/(LN(2)/2)*BL107*BO107*VLOOKUP('Données projet'!$B$11,Paramètres!$A$1:$I$89,3,0)*0.475*44/12</f>
        <v>5.9179651979615997E-11</v>
      </c>
      <c r="BS107" s="24">
        <f t="shared" si="63"/>
        <v>7.7657929954074607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1.2710188457276673E-13</v>
      </c>
      <c r="P108" s="14">
        <f t="shared" si="87"/>
        <v>1.856866851063998E-12</v>
      </c>
      <c r="Q108" s="22">
        <f t="shared" si="107"/>
        <v>3.4554122145673649E-12</v>
      </c>
      <c r="R108" s="62">
        <f t="shared" si="55"/>
        <v>293.33333333333678</v>
      </c>
      <c r="S108" s="62">
        <f ca="1">AVERAGE(OFFSET($R$3,0,0,'Données projet'!$E$9+1,1))-AVERAGE(OFFSET($H$3,0,0,'Données projet'!$E$9+1,1))</f>
        <v>210.566504119093</v>
      </c>
      <c r="T108" s="62">
        <f t="shared" si="88"/>
        <v>365.95065044620048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1.9027903878600407</v>
      </c>
      <c r="AA108" s="23">
        <f>EXP(-LN(2)/25)*AA107+(1-EXP(-LN(2)/25))/(LN(2)/25)*Calculateur!V108*Calculateur!X108*VLOOKUP('Données projet'!$B$9,Paramètres!$A$1:$I$89,3,0)*0.475*44/12</f>
        <v>0.53933221371810636</v>
      </c>
      <c r="AB108" s="23">
        <f>EXP(-LN(2)/2)*AB107+(1-EXP(-LN(2)/2))/(LN(2)/2)*V108*Y108*VLOOKUP('Données projet'!$B$9,Paramètres!$A$1:$I$89,3,0)*0.475*44/12</f>
        <v>2.230272627795859E-11</v>
      </c>
      <c r="AC108" s="24">
        <f t="shared" si="57"/>
        <v>2.4421226016004498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295.01137243247126</v>
      </c>
      <c r="AO108" s="62">
        <f t="shared" si="90"/>
        <v>221.9773436301067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0.82447586981957455</v>
      </c>
      <c r="AV108" s="23">
        <f>EXP(-LN(2)/25)*AV107+(1-EXP(-LN(2)/25))/(LN(2)/25)*Calculateur!AQ108*Calculateur!AS108*VLOOKUP('Données projet'!$B$10,Paramètres!$A$1:$I$89,3,0)*0.475*44/12</f>
        <v>0.30223699441395907</v>
      </c>
      <c r="AW108" s="23">
        <f>EXP(-LN(2)/2)*AW107+(1-EXP(-LN(2)/2))/(LN(2)/2)*AQ108*AT108*VLOOKUP('Données projet'!$B$10,Paramètres!$A$1:$I$89,3,0)*0.475*44/12</f>
        <v>1.776568927252116E-11</v>
      </c>
      <c r="AX108" s="23">
        <f t="shared" si="60"/>
        <v>1.1267128642512994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projet'!$B$11,Paramètres!$A$1:$I$89,3,0)*VLOOKUP('Données projet'!$B$11,Paramètres!$A$1:$I$89,5,0)</f>
        <v>-3.1036506698001178E-14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159.92263609041913</v>
      </c>
      <c r="BJ108" s="62">
        <f t="shared" si="92"/>
        <v>271.78119133009307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5.1933779870013153</v>
      </c>
      <c r="BQ108" s="23">
        <f>EXP(-LN(2)/25)*BQ107+(1-EXP(-LN(2)/25))/(LN(2)/25)*Calculateur!BL108*Calculateur!BN108*VLOOKUP('Données projet'!$B$11,Paramètres!$A$1:$I$89,3,0)*0.475*44/12</f>
        <v>2.4010367590359323</v>
      </c>
      <c r="BR108" s="23">
        <f>EXP(-LN(2)/2)*BR107+(1-EXP(-LN(2)/2))/(LN(2)/2)*BL108*BO108*VLOOKUP('Données projet'!$B$11,Paramètres!$A$1:$I$89,3,0)*0.475*44/12</f>
        <v>4.1846333223046363E-11</v>
      </c>
      <c r="BS108" s="24">
        <f t="shared" si="63"/>
        <v>7.5944147460790941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1.2710188457276673E-13</v>
      </c>
      <c r="P109" s="14">
        <f t="shared" si="87"/>
        <v>1.856866851063998E-12</v>
      </c>
      <c r="Q109" s="22">
        <f t="shared" si="107"/>
        <v>3.4554122145673649E-12</v>
      </c>
      <c r="R109" s="62">
        <f t="shared" si="55"/>
        <v>293.33333333333678</v>
      </c>
      <c r="S109" s="62">
        <f ca="1">AVERAGE(OFFSET($R$3,0,0,'Données projet'!$E$9+1,1))-AVERAGE(OFFSET($H$3,0,0,'Données projet'!$E$9+1,1))</f>
        <v>210.566504119093</v>
      </c>
      <c r="T109" s="62">
        <f t="shared" si="88"/>
        <v>365.95065044620048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1.8654778289416434</v>
      </c>
      <c r="AA109" s="23">
        <f>EXP(-LN(2)/25)*AA108+(1-EXP(-LN(2)/25))/(LN(2)/25)*Calculateur!V109*Calculateur!X109*VLOOKUP('Données projet'!$B$9,Paramètres!$A$1:$I$89,3,0)*0.475*44/12</f>
        <v>0.5245841459717363</v>
      </c>
      <c r="AB109" s="23">
        <f>EXP(-LN(2)/2)*AB108+(1-EXP(-LN(2)/2))/(LN(2)/2)*V109*Y109*VLOOKUP('Données projet'!$B$9,Paramètres!$A$1:$I$89,3,0)*0.475*44/12</f>
        <v>1.5770408990091928E-11</v>
      </c>
      <c r="AC109" s="24">
        <f t="shared" si="57"/>
        <v>2.3900619749291501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295.01137243247126</v>
      </c>
      <c r="AO109" s="62">
        <f t="shared" si="90"/>
        <v>221.9773436301067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0.8083084008930379</v>
      </c>
      <c r="AV109" s="23">
        <f>EXP(-LN(2)/25)*AV108+(1-EXP(-LN(2)/25))/(LN(2)/25)*Calculateur!AQ109*Calculateur!AS109*VLOOKUP('Données projet'!$B$10,Paramètres!$A$1:$I$89,3,0)*0.475*44/12</f>
        <v>0.29397230790775658</v>
      </c>
      <c r="AW109" s="23">
        <f>EXP(-LN(2)/2)*AW108+(1-EXP(-LN(2)/2))/(LN(2)/2)*AQ109*AT109*VLOOKUP('Données projet'!$B$10,Paramètres!$A$1:$I$89,3,0)*0.475*44/12</f>
        <v>1.2562239357052815E-11</v>
      </c>
      <c r="AX109" s="23">
        <f t="shared" si="60"/>
        <v>1.1022807088133566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projet'!$B$11,Paramètres!$A$1:$I$89,3,0)*VLOOKUP('Données projet'!$B$11,Paramètres!$A$1:$I$89,5,0)</f>
        <v>-3.1036506698001178E-14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159.92263609041913</v>
      </c>
      <c r="BJ109" s="62">
        <f t="shared" si="92"/>
        <v>271.78119133009307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5.0915390123240121</v>
      </c>
      <c r="BQ109" s="23">
        <f>EXP(-LN(2)/25)*BQ108+(1-EXP(-LN(2)/25))/(LN(2)/25)*Calculateur!BL109*Calculateur!BN109*VLOOKUP('Données projet'!$B$11,Paramètres!$A$1:$I$89,3,0)*0.475*44/12</f>
        <v>2.3353802825950591</v>
      </c>
      <c r="BR109" s="23">
        <f>EXP(-LN(2)/2)*BR108+(1-EXP(-LN(2)/2))/(LN(2)/2)*BL109*BO109*VLOOKUP('Données projet'!$B$11,Paramètres!$A$1:$I$89,3,0)*0.475*44/12</f>
        <v>2.9589825989807999E-11</v>
      </c>
      <c r="BS109" s="24">
        <f t="shared" si="63"/>
        <v>7.4269192949486609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1.2710188457276673E-13</v>
      </c>
      <c r="P110" s="14">
        <f t="shared" si="87"/>
        <v>1.856866851063998E-12</v>
      </c>
      <c r="Q110" s="22">
        <f t="shared" si="107"/>
        <v>3.4554122145673649E-12</v>
      </c>
      <c r="R110" s="62">
        <f t="shared" si="55"/>
        <v>293.33333333333678</v>
      </c>
      <c r="S110" s="62">
        <f ca="1">AVERAGE(OFFSET($R$3,0,0,'Données projet'!$E$9+1,1))-AVERAGE(OFFSET($H$3,0,0,'Données projet'!$E$9+1,1))</f>
        <v>210.566504119093</v>
      </c>
      <c r="T110" s="62">
        <f t="shared" si="88"/>
        <v>365.95065044620048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1.8288969465452221</v>
      </c>
      <c r="AA110" s="23">
        <f>EXP(-LN(2)/25)*AA109+(1-EXP(-LN(2)/25))/(LN(2)/25)*Calculateur!V110*Calculateur!X110*VLOOKUP('Données projet'!$B$9,Paramètres!$A$1:$I$89,3,0)*0.475*44/12</f>
        <v>0.51023936491345789</v>
      </c>
      <c r="AB110" s="23">
        <f>EXP(-LN(2)/2)*AB109+(1-EXP(-LN(2)/2))/(LN(2)/2)*V110*Y110*VLOOKUP('Données projet'!$B$9,Paramètres!$A$1:$I$89,3,0)*0.475*44/12</f>
        <v>1.1151363138979295E-11</v>
      </c>
      <c r="AC110" s="24">
        <f t="shared" si="57"/>
        <v>2.3391363114698316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295.01137243247126</v>
      </c>
      <c r="AO110" s="62">
        <f t="shared" si="90"/>
        <v>221.9773436301067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0.79245796617096831</v>
      </c>
      <c r="AV110" s="23">
        <f>EXP(-LN(2)/25)*AV109+(1-EXP(-LN(2)/25))/(LN(2)/25)*Calculateur!AQ110*Calculateur!AS110*VLOOKUP('Données projet'!$B$10,Paramètres!$A$1:$I$89,3,0)*0.475*44/12</f>
        <v>0.28593361968868719</v>
      </c>
      <c r="AW110" s="23">
        <f>EXP(-LN(2)/2)*AW109+(1-EXP(-LN(2)/2))/(LN(2)/2)*AQ110*AT110*VLOOKUP('Données projet'!$B$10,Paramètres!$A$1:$I$89,3,0)*0.475*44/12</f>
        <v>8.8828446362605801E-12</v>
      </c>
      <c r="AX110" s="23">
        <f t="shared" si="60"/>
        <v>1.0783915858685384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projet'!$B$11,Paramètres!$A$1:$I$89,3,0)*VLOOKUP('Données projet'!$B$11,Paramètres!$A$1:$I$89,5,0)</f>
        <v>-3.1036506698001178E-14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159.92263609041913</v>
      </c>
      <c r="BJ110" s="62">
        <f t="shared" si="92"/>
        <v>271.78119133009307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4.9916970378244896</v>
      </c>
      <c r="BQ110" s="23">
        <f>EXP(-LN(2)/25)*BQ109+(1-EXP(-LN(2)/25))/(LN(2)/25)*Calculateur!BL110*Calculateur!BN110*VLOOKUP('Données projet'!$B$11,Paramètres!$A$1:$I$89,3,0)*0.475*44/12</f>
        <v>2.271519185955186</v>
      </c>
      <c r="BR110" s="23">
        <f>EXP(-LN(2)/2)*BR109+(1-EXP(-LN(2)/2))/(LN(2)/2)*BL110*BO110*VLOOKUP('Données projet'!$B$11,Paramètres!$A$1:$I$89,3,0)*0.475*44/12</f>
        <v>2.0923166611523181E-11</v>
      </c>
      <c r="BS110" s="24">
        <f t="shared" si="63"/>
        <v>7.2632162238005984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1.2710188457276673E-13</v>
      </c>
      <c r="P111" s="14">
        <f t="shared" si="87"/>
        <v>1.856866851063998E-12</v>
      </c>
      <c r="Q111" s="22">
        <f t="shared" si="107"/>
        <v>3.4554122145673649E-12</v>
      </c>
      <c r="R111" s="62">
        <f t="shared" si="55"/>
        <v>293.33333333333678</v>
      </c>
      <c r="S111" s="62">
        <f ca="1">AVERAGE(OFFSET($R$3,0,0,'Données projet'!$E$9+1,1))-AVERAGE(OFFSET($H$3,0,0,'Données projet'!$E$9+1,1))</f>
        <v>210.566504119093</v>
      </c>
      <c r="T111" s="62">
        <f t="shared" si="88"/>
        <v>365.95065044620048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1.7930333929404594</v>
      </c>
      <c r="AA111" s="23">
        <f>EXP(-LN(2)/25)*AA110+(1-EXP(-LN(2)/25))/(LN(2)/25)*Calculateur!V111*Calculateur!X111*VLOOKUP('Données projet'!$B$9,Paramètres!$A$1:$I$89,3,0)*0.475*44/12</f>
        <v>0.49628684264757733</v>
      </c>
      <c r="AB111" s="23">
        <f>EXP(-LN(2)/2)*AB110+(1-EXP(-LN(2)/2))/(LN(2)/2)*V111*Y111*VLOOKUP('Données projet'!$B$9,Paramètres!$A$1:$I$89,3,0)*0.475*44/12</f>
        <v>7.8852044950459642E-12</v>
      </c>
      <c r="AC111" s="24">
        <f t="shared" si="57"/>
        <v>2.2893202355959219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295.01137243247126</v>
      </c>
      <c r="AO111" s="62">
        <f t="shared" si="90"/>
        <v>221.9773436301067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0.77691834880598798</v>
      </c>
      <c r="AV111" s="23">
        <f>EXP(-LN(2)/25)*AV110+(1-EXP(-LN(2)/25))/(LN(2)/25)*Calculateur!AQ111*Calculateur!AS111*VLOOKUP('Données projet'!$B$10,Paramètres!$A$1:$I$89,3,0)*0.475*44/12</f>
        <v>0.27811474982170448</v>
      </c>
      <c r="AW111" s="23">
        <f>EXP(-LN(2)/2)*AW110+(1-EXP(-LN(2)/2))/(LN(2)/2)*AQ111*AT111*VLOOKUP('Données projet'!$B$10,Paramètres!$A$1:$I$89,3,0)*0.475*44/12</f>
        <v>6.2811196785264075E-12</v>
      </c>
      <c r="AX111" s="23">
        <f t="shared" si="60"/>
        <v>1.0550330986339738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projet'!$B$11,Paramètres!$A$1:$I$89,3,0)*VLOOKUP('Données projet'!$B$11,Paramètres!$A$1:$I$89,5,0)</f>
        <v>-3.1036506698001178E-14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159.92263609041913</v>
      </c>
      <c r="BJ111" s="62">
        <f t="shared" si="92"/>
        <v>271.78119133009307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4.8938129035473121</v>
      </c>
      <c r="BQ111" s="23">
        <f>EXP(-LN(2)/25)*BQ110+(1-EXP(-LN(2)/25))/(LN(2)/25)*Calculateur!BL111*Calculateur!BN111*VLOOKUP('Données projet'!$B$11,Paramètres!$A$1:$I$89,3,0)*0.475*44/12</f>
        <v>2.209404374361239</v>
      </c>
      <c r="BR111" s="23">
        <f>EXP(-LN(2)/2)*BR110+(1-EXP(-LN(2)/2))/(LN(2)/2)*BL111*BO111*VLOOKUP('Données projet'!$B$11,Paramètres!$A$1:$I$89,3,0)*0.475*44/12</f>
        <v>1.4794912994903999E-11</v>
      </c>
      <c r="BS111" s="24">
        <f t="shared" si="63"/>
        <v>7.1032172779233465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1.2710188457276673E-13</v>
      </c>
      <c r="P112" s="14">
        <f t="shared" si="87"/>
        <v>1.856866851063998E-12</v>
      </c>
      <c r="Q112" s="22">
        <f t="shared" si="107"/>
        <v>3.4554122145673649E-12</v>
      </c>
      <c r="R112" s="62">
        <f t="shared" si="55"/>
        <v>293.33333333333678</v>
      </c>
      <c r="S112" s="62">
        <f ca="1">AVERAGE(OFFSET($R$3,0,0,'Données projet'!$E$9+1,1))-AVERAGE(OFFSET($H$3,0,0,'Données projet'!$E$9+1,1))</f>
        <v>210.566504119093</v>
      </c>
      <c r="T112" s="62">
        <f t="shared" si="88"/>
        <v>365.95065044620048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1.7578731017472784</v>
      </c>
      <c r="AA112" s="23">
        <f>EXP(-LN(2)/25)*AA111+(1-EXP(-LN(2)/25))/(LN(2)/25)*Calculateur!V112*Calculateur!X112*VLOOKUP('Données projet'!$B$9,Paramètres!$A$1:$I$89,3,0)*0.475*44/12</f>
        <v>0.48271585283678853</v>
      </c>
      <c r="AB112" s="23">
        <f>EXP(-LN(2)/2)*AB111+(1-EXP(-LN(2)/2))/(LN(2)/2)*V112*Y112*VLOOKUP('Données projet'!$B$9,Paramètres!$A$1:$I$89,3,0)*0.475*44/12</f>
        <v>5.5756815694896475E-12</v>
      </c>
      <c r="AC112" s="24">
        <f t="shared" si="57"/>
        <v>2.2405889545896422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295.01137243247126</v>
      </c>
      <c r="AO112" s="62">
        <f t="shared" si="90"/>
        <v>221.9773436301067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0.76168345385930425</v>
      </c>
      <c r="AV112" s="23">
        <f>EXP(-LN(2)/25)*AV111+(1-EXP(-LN(2)/25))/(LN(2)/25)*Calculateur!AQ112*Calculateur!AS112*VLOOKUP('Données projet'!$B$10,Paramètres!$A$1:$I$89,3,0)*0.475*44/12</f>
        <v>0.27050968736241093</v>
      </c>
      <c r="AW112" s="23">
        <f>EXP(-LN(2)/2)*AW111+(1-EXP(-LN(2)/2))/(LN(2)/2)*AQ112*AT112*VLOOKUP('Données projet'!$B$10,Paramètres!$A$1:$I$89,3,0)*0.475*44/12</f>
        <v>4.4414223181302901E-12</v>
      </c>
      <c r="AX112" s="23">
        <f t="shared" si="60"/>
        <v>1.0321931412261565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projet'!$B$11,Paramètres!$A$1:$I$89,3,0)*VLOOKUP('Données projet'!$B$11,Paramètres!$A$1:$I$89,5,0)</f>
        <v>-3.1036506698001178E-14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159.92263609041913</v>
      </c>
      <c r="BJ112" s="62">
        <f t="shared" si="92"/>
        <v>271.78119133009307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4.7978482174398831</v>
      </c>
      <c r="BQ112" s="23">
        <f>EXP(-LN(2)/25)*BQ111+(1-EXP(-LN(2)/25))/(LN(2)/25)*Calculateur!BL112*Calculateur!BN112*VLOOKUP('Données projet'!$B$11,Paramètres!$A$1:$I$89,3,0)*0.475*44/12</f>
        <v>2.1489880955568044</v>
      </c>
      <c r="BR112" s="23">
        <f>EXP(-LN(2)/2)*BR111+(1-EXP(-LN(2)/2))/(LN(2)/2)*BL112*BO112*VLOOKUP('Données projet'!$B$11,Paramètres!$A$1:$I$89,3,0)*0.475*44/12</f>
        <v>1.0461583305761591E-11</v>
      </c>
      <c r="BS112" s="24">
        <f t="shared" si="63"/>
        <v>6.9468363130071493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1.2710188457276673E-13</v>
      </c>
      <c r="P113" s="14">
        <f t="shared" si="87"/>
        <v>1.856866851063998E-12</v>
      </c>
      <c r="Q113" s="22">
        <f t="shared" si="107"/>
        <v>3.4554122145673649E-12</v>
      </c>
      <c r="R113" s="62">
        <f t="shared" si="55"/>
        <v>293.33333333333678</v>
      </c>
      <c r="S113" s="62">
        <f ca="1">AVERAGE(OFFSET($R$3,0,0,'Données projet'!$E$9+1,1))-AVERAGE(OFFSET($H$3,0,0,'Données projet'!$E$9+1,1))</f>
        <v>210.566504119093</v>
      </c>
      <c r="T113" s="62">
        <f t="shared" si="88"/>
        <v>365.95065044620048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1.7234022824187356</v>
      </c>
      <c r="AA113" s="23">
        <f>EXP(-LN(2)/25)*AA112+(1-EXP(-LN(2)/25))/(LN(2)/25)*Calculateur!V113*Calculateur!X113*VLOOKUP('Données projet'!$B$9,Paramètres!$A$1:$I$89,3,0)*0.475*44/12</f>
        <v>0.4695159624560431</v>
      </c>
      <c r="AB113" s="23">
        <f>EXP(-LN(2)/2)*AB112+(1-EXP(-LN(2)/2))/(LN(2)/2)*V113*Y113*VLOOKUP('Données projet'!$B$9,Paramètres!$A$1:$I$89,3,0)*0.475*44/12</f>
        <v>3.9426022475229821E-12</v>
      </c>
      <c r="AC113" s="24">
        <f t="shared" si="57"/>
        <v>2.1929182448787214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295.01137243247126</v>
      </c>
      <c r="AO113" s="62">
        <f t="shared" si="90"/>
        <v>221.9773436301067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0.74674730591015659</v>
      </c>
      <c r="AV113" s="23">
        <f>EXP(-LN(2)/25)*AV112+(1-EXP(-LN(2)/25))/(LN(2)/25)*Calculateur!AQ113*Calculateur!AS113*VLOOKUP('Données projet'!$B$10,Paramètres!$A$1:$I$89,3,0)*0.475*44/12</f>
        <v>0.2631125857359996</v>
      </c>
      <c r="AW113" s="23">
        <f>EXP(-LN(2)/2)*AW112+(1-EXP(-LN(2)/2))/(LN(2)/2)*AQ113*AT113*VLOOKUP('Données projet'!$B$10,Paramètres!$A$1:$I$89,3,0)*0.475*44/12</f>
        <v>3.1405598392632037E-12</v>
      </c>
      <c r="AX113" s="23">
        <f t="shared" si="60"/>
        <v>1.0098598916492967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projet'!$B$11,Paramètres!$A$1:$I$89,3,0)*VLOOKUP('Données projet'!$B$11,Paramètres!$A$1:$I$89,5,0)</f>
        <v>-3.1036506698001178E-14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159.92263609041913</v>
      </c>
      <c r="BJ113" s="62">
        <f t="shared" si="92"/>
        <v>271.78119133009307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4.7037653402943418</v>
      </c>
      <c r="BQ113" s="23">
        <f>EXP(-LN(2)/25)*BQ112+(1-EXP(-LN(2)/25))/(LN(2)/25)*Calculateur!BL113*Calculateur!BN113*VLOOKUP('Données projet'!$B$11,Paramètres!$A$1:$I$89,3,0)*0.475*44/12</f>
        <v>2.0902239030734311</v>
      </c>
      <c r="BR113" s="23">
        <f>EXP(-LN(2)/2)*BR112+(1-EXP(-LN(2)/2))/(LN(2)/2)*BL113*BO113*VLOOKUP('Données projet'!$B$11,Paramètres!$A$1:$I$89,3,0)*0.475*44/12</f>
        <v>7.3974564974519996E-12</v>
      </c>
      <c r="BS113" s="24">
        <f t="shared" si="63"/>
        <v>6.7939892433751705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1.2710188457276673E-13</v>
      </c>
      <c r="P114" s="14">
        <f t="shared" si="87"/>
        <v>1.856866851063998E-12</v>
      </c>
      <c r="Q114" s="22">
        <f t="shared" si="107"/>
        <v>3.4554122145673649E-12</v>
      </c>
      <c r="R114" s="62">
        <f t="shared" si="55"/>
        <v>293.33333333333678</v>
      </c>
      <c r="S114" s="62">
        <f ca="1">AVERAGE(OFFSET($R$3,0,0,'Données projet'!$E$9+1,1))-AVERAGE(OFFSET($H$3,0,0,'Données projet'!$E$9+1,1))</f>
        <v>210.566504119093</v>
      </c>
      <c r="T114" s="62">
        <f t="shared" si="88"/>
        <v>365.95065044620048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1.6896074148321019</v>
      </c>
      <c r="AA114" s="23">
        <f>EXP(-LN(2)/25)*AA113+(1-EXP(-LN(2)/25))/(LN(2)/25)*Calculateur!V114*Calculateur!X114*VLOOKUP('Données projet'!$B$9,Paramètres!$A$1:$I$89,3,0)*0.475*44/12</f>
        <v>0.45667702377191122</v>
      </c>
      <c r="AB114" s="23">
        <f>EXP(-LN(2)/2)*AB113+(1-EXP(-LN(2)/2))/(LN(2)/2)*V114*Y114*VLOOKUP('Données projet'!$B$9,Paramètres!$A$1:$I$89,3,0)*0.475*44/12</f>
        <v>2.7878407847448238E-12</v>
      </c>
      <c r="AC114" s="24">
        <f t="shared" si="57"/>
        <v>2.1462844386068012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295.01137243247126</v>
      </c>
      <c r="AO114" s="62">
        <f t="shared" si="90"/>
        <v>221.9773436301067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0.73210404671214102</v>
      </c>
      <c r="AV114" s="23">
        <f>EXP(-LN(2)/25)*AV113+(1-EXP(-LN(2)/25))/(LN(2)/25)*Calculateur!AQ114*Calculateur!AS114*VLOOKUP('Données projet'!$B$10,Paramètres!$A$1:$I$89,3,0)*0.475*44/12</f>
        <v>0.25591775824255919</v>
      </c>
      <c r="AW114" s="23">
        <f>EXP(-LN(2)/2)*AW113+(1-EXP(-LN(2)/2))/(LN(2)/2)*AQ114*AT114*VLOOKUP('Données projet'!$B$10,Paramètres!$A$1:$I$89,3,0)*0.475*44/12</f>
        <v>2.220711159065145E-12</v>
      </c>
      <c r="AX114" s="23">
        <f t="shared" si="60"/>
        <v>0.98802180495692093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projet'!$B$11,Paramètres!$A$1:$I$89,3,0)*VLOOKUP('Données projet'!$B$11,Paramètres!$A$1:$I$89,5,0)</f>
        <v>-3.1036506698001178E-14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159.92263609041913</v>
      </c>
      <c r="BJ114" s="62">
        <f t="shared" si="92"/>
        <v>271.78119133009307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4.611527370984736</v>
      </c>
      <c r="BQ114" s="23">
        <f>EXP(-LN(2)/25)*BQ113+(1-EXP(-LN(2)/25))/(LN(2)/25)*Calculateur!BL114*Calculateur!BN114*VLOOKUP('Données projet'!$B$11,Paramètres!$A$1:$I$89,3,0)*0.475*44/12</f>
        <v>2.0330666205237904</v>
      </c>
      <c r="BR114" s="23">
        <f>EXP(-LN(2)/2)*BR113+(1-EXP(-LN(2)/2))/(LN(2)/2)*BL114*BO114*VLOOKUP('Données projet'!$B$11,Paramètres!$A$1:$I$89,3,0)*0.475*44/12</f>
        <v>5.2307916528807953E-12</v>
      </c>
      <c r="BS114" s="24">
        <f t="shared" si="63"/>
        <v>6.6445939915137568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1.2710188457276673E-13</v>
      </c>
      <c r="P115" s="14">
        <f t="shared" si="87"/>
        <v>1.856866851063998E-12</v>
      </c>
      <c r="Q115" s="22">
        <f t="shared" si="107"/>
        <v>3.4554122145673649E-12</v>
      </c>
      <c r="R115" s="62">
        <f t="shared" si="55"/>
        <v>293.33333333333678</v>
      </c>
      <c r="S115" s="62">
        <f ca="1">AVERAGE(OFFSET($R$3,0,0,'Données projet'!$E$9+1,1))-AVERAGE(OFFSET($H$3,0,0,'Données projet'!$E$9+1,1))</f>
        <v>210.566504119093</v>
      </c>
      <c r="T115" s="62">
        <f t="shared" si="88"/>
        <v>365.95065044620048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1.6564752439860082</v>
      </c>
      <c r="AA115" s="23">
        <f>EXP(-LN(2)/25)*AA114+(1-EXP(-LN(2)/25))/(LN(2)/25)*Calculateur!V115*Calculateur!X115*VLOOKUP('Données projet'!$B$9,Paramètres!$A$1:$I$89,3,0)*0.475*44/12</f>
        <v>0.44418916654126739</v>
      </c>
      <c r="AB115" s="23">
        <f>EXP(-LN(2)/2)*AB114+(1-EXP(-LN(2)/2))/(LN(2)/2)*V115*Y115*VLOOKUP('Données projet'!$B$9,Paramètres!$A$1:$I$89,3,0)*0.475*44/12</f>
        <v>1.971301123761491E-12</v>
      </c>
      <c r="AC115" s="24">
        <f t="shared" si="57"/>
        <v>2.1006644105292467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295.01137243247126</v>
      </c>
      <c r="AO115" s="62">
        <f t="shared" si="90"/>
        <v>221.9773436301067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0.71774793289549232</v>
      </c>
      <c r="AV115" s="23">
        <f>EXP(-LN(2)/25)*AV114+(1-EXP(-LN(2)/25))/(LN(2)/25)*Calculateur!AQ115*Calculateur!AS115*VLOOKUP('Données projet'!$B$10,Paramètres!$A$1:$I$89,3,0)*0.475*44/12</f>
        <v>0.24891967368528642</v>
      </c>
      <c r="AW115" s="23">
        <f>EXP(-LN(2)/2)*AW114+(1-EXP(-LN(2)/2))/(LN(2)/2)*AQ115*AT115*VLOOKUP('Données projet'!$B$10,Paramètres!$A$1:$I$89,3,0)*0.475*44/12</f>
        <v>1.5702799196316019E-12</v>
      </c>
      <c r="AX115" s="23">
        <f t="shared" si="60"/>
        <v>0.96666760658234907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projet'!$B$11,Paramètres!$A$1:$I$89,3,0)*VLOOKUP('Données projet'!$B$11,Paramètres!$A$1:$I$89,5,0)</f>
        <v>-3.1036506698001178E-14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159.92263609041913</v>
      </c>
      <c r="BJ115" s="62">
        <f t="shared" si="92"/>
        <v>271.78119133009307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4.5210981319936856</v>
      </c>
      <c r="BQ115" s="23">
        <f>EXP(-LN(2)/25)*BQ114+(1-EXP(-LN(2)/25))/(LN(2)/25)*Calculateur!BL115*Calculateur!BN115*VLOOKUP('Données projet'!$B$11,Paramètres!$A$1:$I$89,3,0)*0.475*44/12</f>
        <v>1.9774723068712403</v>
      </c>
      <c r="BR115" s="23">
        <f>EXP(-LN(2)/2)*BR114+(1-EXP(-LN(2)/2))/(LN(2)/2)*BL115*BO115*VLOOKUP('Données projet'!$B$11,Paramètres!$A$1:$I$89,3,0)*0.475*44/12</f>
        <v>3.6987282487259998E-12</v>
      </c>
      <c r="BS115" s="24">
        <f t="shared" si="63"/>
        <v>6.4985704388686241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1.2710188457276673E-13</v>
      </c>
      <c r="P116" s="14">
        <f t="shared" si="87"/>
        <v>1.856866851063998E-12</v>
      </c>
      <c r="Q116" s="22">
        <f t="shared" si="107"/>
        <v>3.4554122145673649E-12</v>
      </c>
      <c r="R116" s="62">
        <f t="shared" si="55"/>
        <v>293.33333333333678</v>
      </c>
      <c r="S116" s="62">
        <f ca="1">AVERAGE(OFFSET($R$3,0,0,'Données projet'!$E$9+1,1))-AVERAGE(OFFSET($H$3,0,0,'Données projet'!$E$9+1,1))</f>
        <v>210.566504119093</v>
      </c>
      <c r="T116" s="62">
        <f t="shared" si="88"/>
        <v>365.95065044620048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1.6239927748015777</v>
      </c>
      <c r="AA116" s="23">
        <f>EXP(-LN(2)/25)*AA115+(1-EXP(-LN(2)/25))/(LN(2)/25)*Calculateur!V116*Calculateur!X116*VLOOKUP('Données projet'!$B$9,Paramètres!$A$1:$I$89,3,0)*0.475*44/12</f>
        <v>0.43204279042330335</v>
      </c>
      <c r="AB116" s="23">
        <f>EXP(-LN(2)/2)*AB115+(1-EXP(-LN(2)/2))/(LN(2)/2)*V116*Y116*VLOOKUP('Données projet'!$B$9,Paramètres!$A$1:$I$89,3,0)*0.475*44/12</f>
        <v>1.3939203923724119E-12</v>
      </c>
      <c r="AC116" s="24">
        <f t="shared" si="57"/>
        <v>2.0560355652262752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295.01137243247126</v>
      </c>
      <c r="AO116" s="62">
        <f t="shared" si="90"/>
        <v>221.9773436301067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0.70367333371442331</v>
      </c>
      <c r="AV116" s="23">
        <f>EXP(-LN(2)/25)*AV115+(1-EXP(-LN(2)/25))/(LN(2)/25)*Calculateur!AQ116*Calculateur!AS116*VLOOKUP('Données projet'!$B$10,Paramètres!$A$1:$I$89,3,0)*0.475*44/12</f>
        <v>0.24211295211824554</v>
      </c>
      <c r="AW116" s="23">
        <f>EXP(-LN(2)/2)*AW115+(1-EXP(-LN(2)/2))/(LN(2)/2)*AQ116*AT116*VLOOKUP('Données projet'!$B$10,Paramètres!$A$1:$I$89,3,0)*0.475*44/12</f>
        <v>1.1103555795325725E-12</v>
      </c>
      <c r="AX116" s="23">
        <f t="shared" si="60"/>
        <v>0.94578628583377922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projet'!$B$11,Paramètres!$A$1:$I$89,3,0)*VLOOKUP('Données projet'!$B$11,Paramètres!$A$1:$I$89,5,0)</f>
        <v>-3.1036506698001178E-14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159.92263609041913</v>
      </c>
      <c r="BJ116" s="62">
        <f t="shared" si="92"/>
        <v>271.78119133009307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4.4324421552228594</v>
      </c>
      <c r="BQ116" s="23">
        <f>EXP(-LN(2)/25)*BQ115+(1-EXP(-LN(2)/25))/(LN(2)/25)*Calculateur!BL116*Calculateur!BN116*VLOOKUP('Données projet'!$B$11,Paramètres!$A$1:$I$89,3,0)*0.475*44/12</f>
        <v>1.9233982226490971</v>
      </c>
      <c r="BR116" s="23">
        <f>EXP(-LN(2)/2)*BR115+(1-EXP(-LN(2)/2))/(LN(2)/2)*BL116*BO116*VLOOKUP('Données projet'!$B$11,Paramètres!$A$1:$I$89,3,0)*0.475*44/12</f>
        <v>2.6153958264403977E-12</v>
      </c>
      <c r="BS116" s="24">
        <f t="shared" si="63"/>
        <v>6.3558403778745722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1.2710188457276673E-13</v>
      </c>
      <c r="P117" s="14">
        <f t="shared" si="87"/>
        <v>1.856866851063998E-12</v>
      </c>
      <c r="Q117" s="22">
        <f t="shared" si="107"/>
        <v>3.4554122145673649E-12</v>
      </c>
      <c r="R117" s="62">
        <f t="shared" si="55"/>
        <v>293.33333333333678</v>
      </c>
      <c r="S117" s="62">
        <f ca="1">AVERAGE(OFFSET($R$3,0,0,'Données projet'!$E$9+1,1))-AVERAGE(OFFSET($H$3,0,0,'Données projet'!$E$9+1,1))</f>
        <v>210.566504119093</v>
      </c>
      <c r="T117" s="62">
        <f t="shared" si="88"/>
        <v>365.95065044620048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1.5921472670255039</v>
      </c>
      <c r="AA117" s="23">
        <f>EXP(-LN(2)/25)*AA116+(1-EXP(-LN(2)/25))/(LN(2)/25)*Calculateur!V117*Calculateur!X117*VLOOKUP('Données projet'!$B$9,Paramètres!$A$1:$I$89,3,0)*0.475*44/12</f>
        <v>0.42022855759903521</v>
      </c>
      <c r="AB117" s="23">
        <f>EXP(-LN(2)/2)*AB116+(1-EXP(-LN(2)/2))/(LN(2)/2)*V117*Y117*VLOOKUP('Données projet'!$B$9,Paramètres!$A$1:$I$89,3,0)*0.475*44/12</f>
        <v>9.8565056188074552E-13</v>
      </c>
      <c r="AC117" s="24">
        <f t="shared" si="57"/>
        <v>2.0123758246255243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295.01137243247126</v>
      </c>
      <c r="AO117" s="62">
        <f t="shared" si="90"/>
        <v>221.9773436301067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0.68987472883863721</v>
      </c>
      <c r="AV117" s="23">
        <f>EXP(-LN(2)/25)*AV116+(1-EXP(-LN(2)/25))/(LN(2)/25)*Calculateur!AQ117*Calculateur!AS117*VLOOKUP('Données projet'!$B$10,Paramètres!$A$1:$I$89,3,0)*0.475*44/12</f>
        <v>0.23549236071040533</v>
      </c>
      <c r="AW117" s="23">
        <f>EXP(-LN(2)/2)*AW116+(1-EXP(-LN(2)/2))/(LN(2)/2)*AQ117*AT117*VLOOKUP('Données projet'!$B$10,Paramètres!$A$1:$I$89,3,0)*0.475*44/12</f>
        <v>7.8513995981580094E-13</v>
      </c>
      <c r="AX117" s="23">
        <f t="shared" si="60"/>
        <v>0.92536708954982771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projet'!$B$11,Paramètres!$A$1:$I$89,3,0)*VLOOKUP('Données projet'!$B$11,Paramètres!$A$1:$I$89,5,0)</f>
        <v>-3.1036506698001178E-14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159.92263609041913</v>
      </c>
      <c r="BJ117" s="62">
        <f t="shared" si="92"/>
        <v>271.78119133009307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4.345524668081703</v>
      </c>
      <c r="BQ117" s="23">
        <f>EXP(-LN(2)/25)*BQ116+(1-EXP(-LN(2)/25))/(LN(2)/25)*Calculateur!BL117*Calculateur!BN117*VLOOKUP('Données projet'!$B$11,Paramètres!$A$1:$I$89,3,0)*0.475*44/12</f>
        <v>1.8708027971036409</v>
      </c>
      <c r="BR117" s="23">
        <f>EXP(-LN(2)/2)*BR116+(1-EXP(-LN(2)/2))/(LN(2)/2)*BL117*BO117*VLOOKUP('Données projet'!$B$11,Paramètres!$A$1:$I$89,3,0)*0.475*44/12</f>
        <v>1.8493641243629999E-12</v>
      </c>
      <c r="BS117" s="24">
        <f t="shared" si="63"/>
        <v>6.2163274651871934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1.2710188457276673E-13</v>
      </c>
      <c r="P118" s="14">
        <f t="shared" si="87"/>
        <v>1.856866851063998E-12</v>
      </c>
      <c r="Q118" s="22">
        <f t="shared" si="107"/>
        <v>3.4554122145673649E-12</v>
      </c>
      <c r="R118" s="62">
        <f t="shared" si="55"/>
        <v>293.33333333333678</v>
      </c>
      <c r="S118" s="62">
        <f ca="1">AVERAGE(OFFSET($R$3,0,0,'Données projet'!$E$9+1,1))-AVERAGE(OFFSET($H$3,0,0,'Données projet'!$E$9+1,1))</f>
        <v>210.566504119093</v>
      </c>
      <c r="T118" s="62">
        <f t="shared" si="88"/>
        <v>365.95065044620048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1.5609262302330771</v>
      </c>
      <c r="AA118" s="23">
        <f>EXP(-LN(2)/25)*AA117+(1-EXP(-LN(2)/25))/(LN(2)/25)*Calculateur!V118*Calculateur!X118*VLOOKUP('Données projet'!$B$9,Paramètres!$A$1:$I$89,3,0)*0.475*44/12</f>
        <v>0.40873738559263018</v>
      </c>
      <c r="AB118" s="23">
        <f>EXP(-LN(2)/2)*AB117+(1-EXP(-LN(2)/2))/(LN(2)/2)*V118*Y118*VLOOKUP('Données projet'!$B$9,Paramètres!$A$1:$I$89,3,0)*0.475*44/12</f>
        <v>6.9696019618620594E-13</v>
      </c>
      <c r="AC118" s="24">
        <f t="shared" si="57"/>
        <v>1.9696636158264043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295.01137243247126</v>
      </c>
      <c r="AO118" s="62">
        <f t="shared" si="90"/>
        <v>221.9773436301067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0.6763467061881473</v>
      </c>
      <c r="AV118" s="23">
        <f>EXP(-LN(2)/25)*AV117+(1-EXP(-LN(2)/25))/(LN(2)/25)*Calculateur!AQ118*Calculateur!AS118*VLOOKUP('Données projet'!$B$10,Paramètres!$A$1:$I$89,3,0)*0.475*44/12</f>
        <v>0.22905280972277428</v>
      </c>
      <c r="AW118" s="23">
        <f>EXP(-LN(2)/2)*AW117+(1-EXP(-LN(2)/2))/(LN(2)/2)*AQ118*AT118*VLOOKUP('Données projet'!$B$10,Paramètres!$A$1:$I$89,3,0)*0.475*44/12</f>
        <v>5.5517778976628626E-13</v>
      </c>
      <c r="AX118" s="23">
        <f t="shared" si="60"/>
        <v>0.90539951591147683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projet'!$B$11,Paramètres!$A$1:$I$89,3,0)*VLOOKUP('Données projet'!$B$11,Paramètres!$A$1:$I$89,5,0)</f>
        <v>-3.1036506698001178E-14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159.92263609041913</v>
      </c>
      <c r="BJ118" s="62">
        <f t="shared" si="92"/>
        <v>271.78119133009307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4.2603115798489526</v>
      </c>
      <c r="BQ118" s="23">
        <f>EXP(-LN(2)/25)*BQ117+(1-EXP(-LN(2)/25))/(LN(2)/25)*Calculateur!BL118*Calculateur!BN118*VLOOKUP('Données projet'!$B$11,Paramètres!$A$1:$I$89,3,0)*0.475*44/12</f>
        <v>1.8196455962355986</v>
      </c>
      <c r="BR118" s="23">
        <f>EXP(-LN(2)/2)*BR117+(1-EXP(-LN(2)/2))/(LN(2)/2)*BL118*BO118*VLOOKUP('Données projet'!$B$11,Paramètres!$A$1:$I$89,3,0)*0.475*44/12</f>
        <v>1.3076979132201988E-12</v>
      </c>
      <c r="BS118" s="24">
        <f t="shared" si="63"/>
        <v>6.0799571760858591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1.2710188457276673E-13</v>
      </c>
      <c r="P119" s="14">
        <f t="shared" si="87"/>
        <v>1.856866851063998E-12</v>
      </c>
      <c r="Q119" s="22">
        <f t="shared" si="107"/>
        <v>3.4554122145673649E-12</v>
      </c>
      <c r="R119" s="62">
        <f t="shared" si="55"/>
        <v>293.33333333333678</v>
      </c>
      <c r="S119" s="62">
        <f ca="1">AVERAGE(OFFSET($R$3,0,0,'Données projet'!$E$9+1,1))-AVERAGE(OFFSET($H$3,0,0,'Données projet'!$E$9+1,1))</f>
        <v>210.566504119093</v>
      </c>
      <c r="T119" s="62">
        <f t="shared" si="88"/>
        <v>365.95065044620048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1.5303174189291977</v>
      </c>
      <c r="AA119" s="23">
        <f>EXP(-LN(2)/25)*AA118+(1-EXP(-LN(2)/25))/(LN(2)/25)*Calculateur!V119*Calculateur!X119*VLOOKUP('Données projet'!$B$9,Paramètres!$A$1:$I$89,3,0)*0.475*44/12</f>
        <v>0.39756044028903476</v>
      </c>
      <c r="AB119" s="23">
        <f>EXP(-LN(2)/2)*AB118+(1-EXP(-LN(2)/2))/(LN(2)/2)*V119*Y119*VLOOKUP('Données projet'!$B$9,Paramètres!$A$1:$I$89,3,0)*0.475*44/12</f>
        <v>4.9282528094037276E-13</v>
      </c>
      <c r="AC119" s="24">
        <f t="shared" si="57"/>
        <v>1.9278778592187251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295.01137243247126</v>
      </c>
      <c r="AO119" s="62">
        <f t="shared" si="90"/>
        <v>221.9773436301067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0.66308395981055446</v>
      </c>
      <c r="AV119" s="23">
        <f>EXP(-LN(2)/25)*AV118+(1-EXP(-LN(2)/25))/(LN(2)/25)*Calculateur!AQ119*Calculateur!AS119*VLOOKUP('Données projet'!$B$10,Paramètres!$A$1:$I$89,3,0)*0.475*44/12</f>
        <v>0.22278934859554125</v>
      </c>
      <c r="AW119" s="23">
        <f>EXP(-LN(2)/2)*AW118+(1-EXP(-LN(2)/2))/(LN(2)/2)*AQ119*AT119*VLOOKUP('Données projet'!$B$10,Paramètres!$A$1:$I$89,3,0)*0.475*44/12</f>
        <v>3.9256997990790047E-13</v>
      </c>
      <c r="AX119" s="23">
        <f t="shared" si="60"/>
        <v>0.88587330840648826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projet'!$B$11,Paramètres!$A$1:$I$89,3,0)*VLOOKUP('Données projet'!$B$11,Paramètres!$A$1:$I$89,5,0)</f>
        <v>-3.1036506698001178E-14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159.92263609041913</v>
      </c>
      <c r="BJ119" s="62">
        <f t="shared" si="92"/>
        <v>271.78119133009307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4.1767694683015941</v>
      </c>
      <c r="BQ119" s="23">
        <f>EXP(-LN(2)/25)*BQ118+(1-EXP(-LN(2)/25))/(LN(2)/25)*Calculateur!BL119*Calculateur!BN119*VLOOKUP('Données projet'!$B$11,Paramètres!$A$1:$I$89,3,0)*0.475*44/12</f>
        <v>1.7698872917155331</v>
      </c>
      <c r="BR119" s="23">
        <f>EXP(-LN(2)/2)*BR118+(1-EXP(-LN(2)/2))/(LN(2)/2)*BL119*BO119*VLOOKUP('Données projet'!$B$11,Paramètres!$A$1:$I$89,3,0)*0.475*44/12</f>
        <v>9.2468206218149995E-13</v>
      </c>
      <c r="BS119" s="24">
        <f t="shared" si="63"/>
        <v>5.946656760018052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1.2710188457276673E-13</v>
      </c>
      <c r="P120" s="14">
        <f t="shared" si="87"/>
        <v>1.856866851063998E-12</v>
      </c>
      <c r="Q120" s="22">
        <f t="shared" si="107"/>
        <v>3.4554122145673649E-12</v>
      </c>
      <c r="R120" s="62">
        <f t="shared" si="55"/>
        <v>293.33333333333678</v>
      </c>
      <c r="S120" s="62">
        <f ca="1">AVERAGE(OFFSET($R$3,0,0,'Données projet'!$E$9+1,1))-AVERAGE(OFFSET($H$3,0,0,'Données projet'!$E$9+1,1))</f>
        <v>210.566504119093</v>
      </c>
      <c r="T120" s="62">
        <f t="shared" si="88"/>
        <v>365.95065044620048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1.5003088277454559</v>
      </c>
      <c r="AA120" s="23">
        <f>EXP(-LN(2)/25)*AA119+(1-EXP(-LN(2)/25))/(LN(2)/25)*Calculateur!V120*Calculateur!X120*VLOOKUP('Données projet'!$B$9,Paramètres!$A$1:$I$89,3,0)*0.475*44/12</f>
        <v>0.38668912914253617</v>
      </c>
      <c r="AB120" s="23">
        <f>EXP(-LN(2)/2)*AB119+(1-EXP(-LN(2)/2))/(LN(2)/2)*V120*Y120*VLOOKUP('Données projet'!$B$9,Paramètres!$A$1:$I$89,3,0)*0.475*44/12</f>
        <v>3.4848009809310297E-13</v>
      </c>
      <c r="AC120" s="24">
        <f t="shared" si="57"/>
        <v>1.8869979568883404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295.01137243247126</v>
      </c>
      <c r="AO120" s="62">
        <f t="shared" si="90"/>
        <v>221.9773436301067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0.65008128779994967</v>
      </c>
      <c r="AV120" s="23">
        <f>EXP(-LN(2)/25)*AV119+(1-EXP(-LN(2)/25))/(LN(2)/25)*Calculateur!AQ120*Calculateur!AS120*VLOOKUP('Données projet'!$B$10,Paramètres!$A$1:$I$89,3,0)*0.475*44/12</f>
        <v>0.21669716214221352</v>
      </c>
      <c r="AW120" s="23">
        <f>EXP(-LN(2)/2)*AW119+(1-EXP(-LN(2)/2))/(LN(2)/2)*AQ120*AT120*VLOOKUP('Données projet'!$B$10,Paramètres!$A$1:$I$89,3,0)*0.475*44/12</f>
        <v>2.7758889488314313E-13</v>
      </c>
      <c r="AX120" s="23">
        <f t="shared" si="60"/>
        <v>0.86677844994244069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projet'!$B$11,Paramètres!$A$1:$I$89,3,0)*VLOOKUP('Données projet'!$B$11,Paramètres!$A$1:$I$89,5,0)</f>
        <v>-3.1036506698001178E-14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159.92263609041913</v>
      </c>
      <c r="BJ120" s="62">
        <f t="shared" si="92"/>
        <v>271.78119133009307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4.094865566606023</v>
      </c>
      <c r="BQ120" s="23">
        <f>EXP(-LN(2)/25)*BQ119+(1-EXP(-LN(2)/25))/(LN(2)/25)*Calculateur!BL120*Calculateur!BN120*VLOOKUP('Données projet'!$B$11,Paramètres!$A$1:$I$89,3,0)*0.475*44/12</f>
        <v>1.7214896306492442</v>
      </c>
      <c r="BR120" s="23">
        <f>EXP(-LN(2)/2)*BR119+(1-EXP(-LN(2)/2))/(LN(2)/2)*BL120*BO120*VLOOKUP('Données projet'!$B$11,Paramètres!$A$1:$I$89,3,0)*0.475*44/12</f>
        <v>6.5384895661009942E-13</v>
      </c>
      <c r="BS120" s="24">
        <f t="shared" si="63"/>
        <v>5.8163551972559207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1.2710188457276673E-13</v>
      </c>
      <c r="P121" s="14">
        <f t="shared" si="87"/>
        <v>1.856866851063998E-12</v>
      </c>
      <c r="Q121" s="22">
        <f t="shared" si="107"/>
        <v>3.4554122145673649E-12</v>
      </c>
      <c r="R121" s="62">
        <f t="shared" si="55"/>
        <v>293.33333333333678</v>
      </c>
      <c r="S121" s="62">
        <f ca="1">AVERAGE(OFFSET($R$3,0,0,'Données projet'!$E$9+1,1))-AVERAGE(OFFSET($H$3,0,0,'Données projet'!$E$9+1,1))</f>
        <v>210.566504119093</v>
      </c>
      <c r="T121" s="62">
        <f t="shared" si="88"/>
        <v>365.95065044620048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1.4708886867313939</v>
      </c>
      <c r="AA121" s="23">
        <f>EXP(-LN(2)/25)*AA120+(1-EXP(-LN(2)/25))/(LN(2)/25)*Calculateur!V121*Calculateur!X121*VLOOKUP('Données projet'!$B$9,Paramètres!$A$1:$I$89,3,0)*0.475*44/12</f>
        <v>0.37611509457103598</v>
      </c>
      <c r="AB121" s="23">
        <f>EXP(-LN(2)/2)*AB120+(1-EXP(-LN(2)/2))/(LN(2)/2)*V121*Y121*VLOOKUP('Données projet'!$B$9,Paramètres!$A$1:$I$89,3,0)*0.475*44/12</f>
        <v>2.4641264047018638E-13</v>
      </c>
      <c r="AC121" s="24">
        <f t="shared" si="57"/>
        <v>1.8470037813026763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295.01137243247126</v>
      </c>
      <c r="AO121" s="62">
        <f t="shared" si="90"/>
        <v>221.9773436301067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0.63733359025662606</v>
      </c>
      <c r="AV121" s="23">
        <f>EXP(-LN(2)/25)*AV120+(1-EXP(-LN(2)/25))/(LN(2)/25)*Calculateur!AQ121*Calculateur!AS121*VLOOKUP('Données projet'!$B$10,Paramètres!$A$1:$I$89,3,0)*0.475*44/12</f>
        <v>0.21077156684782619</v>
      </c>
      <c r="AW121" s="23">
        <f>EXP(-LN(2)/2)*AW120+(1-EXP(-LN(2)/2))/(LN(2)/2)*AQ121*AT121*VLOOKUP('Données projet'!$B$10,Paramètres!$A$1:$I$89,3,0)*0.475*44/12</f>
        <v>1.9628498995395023E-13</v>
      </c>
      <c r="AX121" s="23">
        <f t="shared" si="60"/>
        <v>0.84810515710464851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projet'!$B$11,Paramètres!$A$1:$I$89,3,0)*VLOOKUP('Données projet'!$B$11,Paramètres!$A$1:$I$89,5,0)</f>
        <v>-3.1036506698001178E-14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159.92263609041913</v>
      </c>
      <c r="BJ121" s="62">
        <f t="shared" si="92"/>
        <v>271.78119133009307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4.0145677504662549</v>
      </c>
      <c r="BQ121" s="23">
        <f>EXP(-LN(2)/25)*BQ120+(1-EXP(-LN(2)/25))/(LN(2)/25)*Calculateur!BL121*Calculateur!BN121*VLOOKUP('Données projet'!$B$11,Paramètres!$A$1:$I$89,3,0)*0.475*44/12</f>
        <v>1.6744154061699354</v>
      </c>
      <c r="BR121" s="23">
        <f>EXP(-LN(2)/2)*BR120+(1-EXP(-LN(2)/2))/(LN(2)/2)*BL121*BO121*VLOOKUP('Données projet'!$B$11,Paramètres!$A$1:$I$89,3,0)*0.475*44/12</f>
        <v>4.6234103109074998E-13</v>
      </c>
      <c r="BS121" s="24">
        <f t="shared" si="63"/>
        <v>5.6889831566366533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1.2710188457276673E-13</v>
      </c>
      <c r="P122" s="14">
        <f t="shared" si="87"/>
        <v>1.856866851063998E-12</v>
      </c>
      <c r="Q122" s="22">
        <f t="shared" si="107"/>
        <v>3.4554122145673649E-12</v>
      </c>
      <c r="R122" s="62">
        <f t="shared" si="55"/>
        <v>293.33333333333678</v>
      </c>
      <c r="S122" s="62">
        <f ca="1">AVERAGE(OFFSET($R$3,0,0,'Données projet'!$E$9+1,1))-AVERAGE(OFFSET($H$3,0,0,'Données projet'!$E$9+1,1))</f>
        <v>210.566504119093</v>
      </c>
      <c r="T122" s="62">
        <f t="shared" si="88"/>
        <v>365.95065044620048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1.4420454567381036</v>
      </c>
      <c r="AA122" s="23">
        <f>EXP(-LN(2)/25)*AA121+(1-EXP(-LN(2)/25))/(LN(2)/25)*Calculateur!V122*Calculateur!X122*VLOOKUP('Données projet'!$B$9,Paramètres!$A$1:$I$89,3,0)*0.475*44/12</f>
        <v>0.3658302075309578</v>
      </c>
      <c r="AB122" s="23">
        <f>EXP(-LN(2)/2)*AB121+(1-EXP(-LN(2)/2))/(LN(2)/2)*V122*Y122*VLOOKUP('Données projet'!$B$9,Paramètres!$A$1:$I$89,3,0)*0.475*44/12</f>
        <v>1.7424004904655148E-13</v>
      </c>
      <c r="AC122" s="24">
        <f t="shared" si="57"/>
        <v>1.8078756642692357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295.01137243247126</v>
      </c>
      <c r="AO122" s="62">
        <f t="shared" si="90"/>
        <v>221.9773436301067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0.6248358672867993</v>
      </c>
      <c r="AV122" s="23">
        <f>EXP(-LN(2)/25)*AV121+(1-EXP(-LN(2)/25))/(LN(2)/25)*Calculateur!AQ122*Calculateur!AS122*VLOOKUP('Données projet'!$B$10,Paramètres!$A$1:$I$89,3,0)*0.475*44/12</f>
        <v>0.2050080072683774</v>
      </c>
      <c r="AW122" s="23">
        <f>EXP(-LN(2)/2)*AW121+(1-EXP(-LN(2)/2))/(LN(2)/2)*AQ122*AT122*VLOOKUP('Données projet'!$B$10,Paramètres!$A$1:$I$89,3,0)*0.475*44/12</f>
        <v>1.3879444744157156E-13</v>
      </c>
      <c r="AX122" s="23">
        <f t="shared" si="60"/>
        <v>0.8298438745553155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projet'!$B$11,Paramètres!$A$1:$I$89,3,0)*VLOOKUP('Données projet'!$B$11,Paramètres!$A$1:$I$89,5,0)</f>
        <v>-3.1036506698001178E-14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159.92263609041913</v>
      </c>
      <c r="BJ122" s="62">
        <f t="shared" si="92"/>
        <v>271.78119133009307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3.9358445255241561</v>
      </c>
      <c r="BQ122" s="23">
        <f>EXP(-LN(2)/25)*BQ121+(1-EXP(-LN(2)/25))/(LN(2)/25)*Calculateur!BL122*Calculateur!BN122*VLOOKUP('Données projet'!$B$11,Paramètres!$A$1:$I$89,3,0)*0.475*44/12</f>
        <v>1.6286284288345392</v>
      </c>
      <c r="BR122" s="23">
        <f>EXP(-LN(2)/2)*BR121+(1-EXP(-LN(2)/2))/(LN(2)/2)*BL122*BO122*VLOOKUP('Données projet'!$B$11,Paramètres!$A$1:$I$89,3,0)*0.475*44/12</f>
        <v>3.2692447830504971E-13</v>
      </c>
      <c r="BS122" s="24">
        <f t="shared" si="63"/>
        <v>5.5644729543590223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1.2710188457276673E-13</v>
      </c>
      <c r="P123" s="14">
        <f t="shared" si="87"/>
        <v>1.856866851063998E-12</v>
      </c>
      <c r="Q123" s="22">
        <f t="shared" si="107"/>
        <v>3.4554122145673649E-12</v>
      </c>
      <c r="R123" s="62">
        <f t="shared" si="55"/>
        <v>293.33333333333678</v>
      </c>
      <c r="S123" s="62">
        <f ca="1">AVERAGE(OFFSET($R$3,0,0,'Données projet'!$E$9+1,1))-AVERAGE(OFFSET($H$3,0,0,'Données projet'!$E$9+1,1))</f>
        <v>210.566504119093</v>
      </c>
      <c r="T123" s="62">
        <f t="shared" si="88"/>
        <v>365.95065044620048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1.4137678248923486</v>
      </c>
      <c r="AA123" s="23">
        <f>EXP(-LN(2)/25)*AA122+(1-EXP(-LN(2)/25))/(LN(2)/25)*Calculateur!V123*Calculateur!X123*VLOOKUP('Données projet'!$B$9,Paramètres!$A$1:$I$89,3,0)*0.475*44/12</f>
        <v>0.35582656126784928</v>
      </c>
      <c r="AB123" s="23">
        <f>EXP(-LN(2)/2)*AB122+(1-EXP(-LN(2)/2))/(LN(2)/2)*V123*Y123*VLOOKUP('Données projet'!$B$9,Paramètres!$A$1:$I$89,3,0)*0.475*44/12</f>
        <v>1.2320632023509319E-13</v>
      </c>
      <c r="AC123" s="24">
        <f t="shared" si="57"/>
        <v>1.7695943861603212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295.01137243247126</v>
      </c>
      <c r="AO123" s="62">
        <f t="shared" si="90"/>
        <v>221.9773436301067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0.6125832170415525</v>
      </c>
      <c r="AV123" s="23">
        <f>EXP(-LN(2)/25)*AV122+(1-EXP(-LN(2)/25))/(LN(2)/25)*Calculateur!AQ123*Calculateur!AS123*VLOOKUP('Données projet'!$B$10,Paramètres!$A$1:$I$89,3,0)*0.475*44/12</f>
        <v>0.19940205252872106</v>
      </c>
      <c r="AW123" s="23">
        <f>EXP(-LN(2)/2)*AW122+(1-EXP(-LN(2)/2))/(LN(2)/2)*AQ123*AT123*VLOOKUP('Données projet'!$B$10,Paramètres!$A$1:$I$89,3,0)*0.475*44/12</f>
        <v>9.8142494976975117E-14</v>
      </c>
      <c r="AX123" s="23">
        <f t="shared" si="60"/>
        <v>0.81198526957037176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projet'!$B$11,Paramètres!$A$1:$I$89,3,0)*VLOOKUP('Données projet'!$B$11,Paramètres!$A$1:$I$89,5,0)</f>
        <v>-3.1036506698001178E-14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159.92263609041913</v>
      </c>
      <c r="BJ123" s="62">
        <f t="shared" si="92"/>
        <v>271.78119133009307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3.8586650150067454</v>
      </c>
      <c r="BQ123" s="23">
        <f>EXP(-LN(2)/25)*BQ122+(1-EXP(-LN(2)/25))/(LN(2)/25)*Calculateur!BL123*Calculateur!BN123*VLOOKUP('Données projet'!$B$11,Paramètres!$A$1:$I$89,3,0)*0.475*44/12</f>
        <v>1.584093498802212</v>
      </c>
      <c r="BR123" s="23">
        <f>EXP(-LN(2)/2)*BR122+(1-EXP(-LN(2)/2))/(LN(2)/2)*BL123*BO123*VLOOKUP('Données projet'!$B$11,Paramètres!$A$1:$I$89,3,0)*0.475*44/12</f>
        <v>2.3117051554537499E-13</v>
      </c>
      <c r="BS123" s="24">
        <f t="shared" si="63"/>
        <v>5.4427585138091885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1.2710188457276673E-13</v>
      </c>
      <c r="P124" s="14">
        <f t="shared" si="87"/>
        <v>1.856866851063998E-12</v>
      </c>
      <c r="Q124" s="22">
        <f t="shared" si="107"/>
        <v>3.4554122145673649E-12</v>
      </c>
      <c r="R124" s="62">
        <f t="shared" si="55"/>
        <v>293.33333333333678</v>
      </c>
      <c r="S124" s="62">
        <f ca="1">AVERAGE(OFFSET($R$3,0,0,'Données projet'!$E$9+1,1))-AVERAGE(OFFSET($H$3,0,0,'Données projet'!$E$9+1,1))</f>
        <v>210.566504119093</v>
      </c>
      <c r="T124" s="62">
        <f t="shared" si="88"/>
        <v>365.95065044620048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1.3860447001594365</v>
      </c>
      <c r="AA124" s="23">
        <f>EXP(-LN(2)/25)*AA123+(1-EXP(-LN(2)/25))/(LN(2)/25)*Calculateur!V124*Calculateur!X124*VLOOKUP('Données projet'!$B$9,Paramètres!$A$1:$I$89,3,0)*0.475*44/12</f>
        <v>0.34609646523787435</v>
      </c>
      <c r="AB124" s="23">
        <f>EXP(-LN(2)/2)*AB123+(1-EXP(-LN(2)/2))/(LN(2)/2)*V124*Y124*VLOOKUP('Données projet'!$B$9,Paramètres!$A$1:$I$89,3,0)*0.475*44/12</f>
        <v>8.7120024523275742E-14</v>
      </c>
      <c r="AC124" s="24">
        <f t="shared" si="57"/>
        <v>1.7321411653973979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295.01137243247126</v>
      </c>
      <c r="AO124" s="62">
        <f t="shared" si="90"/>
        <v>221.9773436301067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0.60057083379423626</v>
      </c>
      <c r="AV124" s="23">
        <f>EXP(-LN(2)/25)*AV123+(1-EXP(-LN(2)/25))/(LN(2)/25)*Calculateur!AQ124*Calculateur!AS124*VLOOKUP('Données projet'!$B$10,Paramètres!$A$1:$I$89,3,0)*0.475*44/12</f>
        <v>0.19394939291622498</v>
      </c>
      <c r="AW124" s="23">
        <f>EXP(-LN(2)/2)*AW123+(1-EXP(-LN(2)/2))/(LN(2)/2)*AQ124*AT124*VLOOKUP('Données projet'!$B$10,Paramètres!$A$1:$I$89,3,0)*0.475*44/12</f>
        <v>6.9397223720785782E-14</v>
      </c>
      <c r="AX124" s="23">
        <f t="shared" si="60"/>
        <v>0.79452022671053057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projet'!$B$11,Paramètres!$A$1:$I$89,3,0)*VLOOKUP('Données projet'!$B$11,Paramètres!$A$1:$I$89,5,0)</f>
        <v>-3.1036506698001178E-14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159.92263609041913</v>
      </c>
      <c r="BJ124" s="62">
        <f t="shared" si="92"/>
        <v>271.78119133009307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3.7829989476157282</v>
      </c>
      <c r="BQ124" s="23">
        <f>EXP(-LN(2)/25)*BQ123+(1-EXP(-LN(2)/25))/(LN(2)/25)*Calculateur!BL124*Calculateur!BN124*VLOOKUP('Données projet'!$B$11,Paramètres!$A$1:$I$89,3,0)*0.475*44/12</f>
        <v>1.5407763787736088</v>
      </c>
      <c r="BR124" s="23">
        <f>EXP(-LN(2)/2)*BR123+(1-EXP(-LN(2)/2))/(LN(2)/2)*BL124*BO124*VLOOKUP('Données projet'!$B$11,Paramètres!$A$1:$I$89,3,0)*0.475*44/12</f>
        <v>1.6346223915252485E-13</v>
      </c>
      <c r="BS124" s="24">
        <f t="shared" si="63"/>
        <v>5.3237753263895007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1.2710188457276673E-13</v>
      </c>
      <c r="P125" s="14">
        <f t="shared" si="87"/>
        <v>1.856866851063998E-12</v>
      </c>
      <c r="Q125" s="22">
        <f t="shared" si="107"/>
        <v>3.4554122145673649E-12</v>
      </c>
      <c r="R125" s="62">
        <f t="shared" si="55"/>
        <v>293.33333333333678</v>
      </c>
      <c r="S125" s="62">
        <f ca="1">AVERAGE(OFFSET($R$3,0,0,'Données projet'!$E$9+1,1))-AVERAGE(OFFSET($H$3,0,0,'Données projet'!$E$9+1,1))</f>
        <v>210.566504119093</v>
      </c>
      <c r="T125" s="62">
        <f t="shared" si="88"/>
        <v>365.95065044620048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1.3588652089931004</v>
      </c>
      <c r="AA125" s="23">
        <f>EXP(-LN(2)/25)*AA124+(1-EXP(-LN(2)/25))/(LN(2)/25)*Calculateur!V125*Calculateur!X125*VLOOKUP('Données projet'!$B$9,Paramètres!$A$1:$I$89,3,0)*0.475*44/12</f>
        <v>0.3366324391955226</v>
      </c>
      <c r="AB125" s="23">
        <f>EXP(-LN(2)/2)*AB124+(1-EXP(-LN(2)/2))/(LN(2)/2)*V125*Y125*VLOOKUP('Données projet'!$B$9,Paramètres!$A$1:$I$89,3,0)*0.475*44/12</f>
        <v>6.1603160117546595E-14</v>
      </c>
      <c r="AC125" s="24">
        <f t="shared" si="57"/>
        <v>1.6954976481886845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295.01137243247126</v>
      </c>
      <c r="AO125" s="62">
        <f t="shared" si="90"/>
        <v>221.9773436301067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0.58879400605556964</v>
      </c>
      <c r="AV125" s="23">
        <f>EXP(-LN(2)/25)*AV124+(1-EXP(-LN(2)/25))/(LN(2)/25)*Calculateur!AQ125*Calculateur!AS125*VLOOKUP('Données projet'!$B$10,Paramètres!$A$1:$I$89,3,0)*0.475*44/12</f>
        <v>0.18864583656757553</v>
      </c>
      <c r="AW125" s="23">
        <f>EXP(-LN(2)/2)*AW124+(1-EXP(-LN(2)/2))/(LN(2)/2)*AQ125*AT125*VLOOKUP('Données projet'!$B$10,Paramètres!$A$1:$I$89,3,0)*0.475*44/12</f>
        <v>4.9071247488487558E-14</v>
      </c>
      <c r="AX125" s="23">
        <f t="shared" si="60"/>
        <v>0.77743984262319421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projet'!$B$11,Paramètres!$A$1:$I$89,3,0)*VLOOKUP('Données projet'!$B$11,Paramètres!$A$1:$I$89,5,0)</f>
        <v>-3.1036506698001178E-14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159.92263609041913</v>
      </c>
      <c r="BJ125" s="62">
        <f t="shared" si="92"/>
        <v>271.78119133009307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3.7088166456545046</v>
      </c>
      <c r="BQ125" s="23">
        <f>EXP(-LN(2)/25)*BQ124+(1-EXP(-LN(2)/25))/(LN(2)/25)*Calculateur!BL125*Calculateur!BN125*VLOOKUP('Données projet'!$B$11,Paramètres!$A$1:$I$89,3,0)*0.475*44/12</f>
        <v>1.4986437676701363</v>
      </c>
      <c r="BR125" s="23">
        <f>EXP(-LN(2)/2)*BR124+(1-EXP(-LN(2)/2))/(LN(2)/2)*BL125*BO125*VLOOKUP('Données projet'!$B$11,Paramètres!$A$1:$I$89,3,0)*0.475*44/12</f>
        <v>1.1558525777268749E-13</v>
      </c>
      <c r="BS125" s="24">
        <f t="shared" si="63"/>
        <v>5.2074604133247568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1.2710188457276673E-13</v>
      </c>
      <c r="P126" s="14">
        <f t="shared" si="87"/>
        <v>1.856866851063998E-12</v>
      </c>
      <c r="Q126" s="22">
        <f t="shared" si="107"/>
        <v>3.4554122145673649E-12</v>
      </c>
      <c r="R126" s="62">
        <f t="shared" si="55"/>
        <v>293.33333333333678</v>
      </c>
      <c r="S126" s="62">
        <f ca="1">AVERAGE(OFFSET($R$3,0,0,'Données projet'!$E$9+1,1))-AVERAGE(OFFSET($H$3,0,0,'Données projet'!$E$9+1,1))</f>
        <v>210.566504119093</v>
      </c>
      <c r="T126" s="62">
        <f t="shared" si="88"/>
        <v>365.95065044620048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1.3322186910706835</v>
      </c>
      <c r="AA126" s="23">
        <f>EXP(-LN(2)/25)*AA125+(1-EXP(-LN(2)/25))/(LN(2)/25)*Calculateur!V126*Calculateur!X126*VLOOKUP('Données projet'!$B$9,Paramètres!$A$1:$I$89,3,0)*0.475*44/12</f>
        <v>0.32742720744299042</v>
      </c>
      <c r="AB126" s="23">
        <f>EXP(-LN(2)/2)*AB125+(1-EXP(-LN(2)/2))/(LN(2)/2)*V126*Y126*VLOOKUP('Données projet'!$B$9,Paramètres!$A$1:$I$89,3,0)*0.475*44/12</f>
        <v>4.3560012261637871E-14</v>
      </c>
      <c r="AC126" s="24">
        <f t="shared" si="57"/>
        <v>1.6596458985137175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295.01137243247126</v>
      </c>
      <c r="AO126" s="62">
        <f t="shared" si="90"/>
        <v>221.9773436301067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0.57724811472570259</v>
      </c>
      <c r="AV126" s="23">
        <f>EXP(-LN(2)/25)*AV125+(1-EXP(-LN(2)/25))/(LN(2)/25)*Calculateur!AQ126*Calculateur!AS126*VLOOKUP('Données projet'!$B$10,Paramètres!$A$1:$I$89,3,0)*0.475*44/12</f>
        <v>0.18348730624618179</v>
      </c>
      <c r="AW126" s="23">
        <f>EXP(-LN(2)/2)*AW125+(1-EXP(-LN(2)/2))/(LN(2)/2)*AQ126*AT126*VLOOKUP('Données projet'!$B$10,Paramètres!$A$1:$I$89,3,0)*0.475*44/12</f>
        <v>3.4698611860392891E-14</v>
      </c>
      <c r="AX126" s="23">
        <f t="shared" si="60"/>
        <v>0.76073542097191915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projet'!$B$11,Paramètres!$A$1:$I$89,3,0)*VLOOKUP('Données projet'!$B$11,Paramètres!$A$1:$I$89,5,0)</f>
        <v>-3.1036506698001178E-14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159.92263609041913</v>
      </c>
      <c r="BJ126" s="62">
        <f t="shared" si="92"/>
        <v>271.78119133009307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3.6360890133880046</v>
      </c>
      <c r="BQ126" s="23">
        <f>EXP(-LN(2)/25)*BQ125+(1-EXP(-LN(2)/25))/(LN(2)/25)*Calculateur!BL126*Calculateur!BN126*VLOOKUP('Données projet'!$B$11,Paramètres!$A$1:$I$89,3,0)*0.475*44/12</f>
        <v>1.4576632750329459</v>
      </c>
      <c r="BR126" s="23">
        <f>EXP(-LN(2)/2)*BR125+(1-EXP(-LN(2)/2))/(LN(2)/2)*BL126*BO126*VLOOKUP('Données projet'!$B$11,Paramètres!$A$1:$I$89,3,0)*0.475*44/12</f>
        <v>8.1731119576262427E-14</v>
      </c>
      <c r="BS126" s="24">
        <f t="shared" si="63"/>
        <v>5.0937522884210322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1.2710188457276673E-13</v>
      </c>
      <c r="P127" s="14">
        <f t="shared" si="87"/>
        <v>1.856866851063998E-12</v>
      </c>
      <c r="Q127" s="22">
        <f t="shared" si="107"/>
        <v>3.4554122145673649E-12</v>
      </c>
      <c r="R127" s="62">
        <f t="shared" si="55"/>
        <v>293.33333333333678</v>
      </c>
      <c r="S127" s="62">
        <f ca="1">AVERAGE(OFFSET($R$3,0,0,'Données projet'!$E$9+1,1))-AVERAGE(OFFSET($H$3,0,0,'Données projet'!$E$9+1,1))</f>
        <v>210.566504119093</v>
      </c>
      <c r="T127" s="62">
        <f t="shared" si="88"/>
        <v>365.95065044620048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1.3060946951119541</v>
      </c>
      <c r="AA127" s="23">
        <f>EXP(-LN(2)/25)*AA126+(1-EXP(-LN(2)/25))/(LN(2)/25)*Calculateur!V127*Calculateur!X127*VLOOKUP('Données projet'!$B$9,Paramètres!$A$1:$I$89,3,0)*0.475*44/12</f>
        <v>0.31847369323681335</v>
      </c>
      <c r="AB127" s="23">
        <f>EXP(-LN(2)/2)*AB126+(1-EXP(-LN(2)/2))/(LN(2)/2)*V127*Y127*VLOOKUP('Données projet'!$B$9,Paramètres!$A$1:$I$89,3,0)*0.475*44/12</f>
        <v>3.0801580058773297E-14</v>
      </c>
      <c r="AC127" s="24">
        <f t="shared" si="57"/>
        <v>1.6245683883487982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295.01137243247126</v>
      </c>
      <c r="AO127" s="62">
        <f t="shared" si="90"/>
        <v>221.9773436301067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0.56592863128251591</v>
      </c>
      <c r="AV127" s="23">
        <f>EXP(-LN(2)/25)*AV126+(1-EXP(-LN(2)/25))/(LN(2)/25)*Calculateur!AQ127*Calculateur!AS127*VLOOKUP('Données projet'!$B$10,Paramètres!$A$1:$I$89,3,0)*0.475*44/12</f>
        <v>0.17846983620770188</v>
      </c>
      <c r="AW127" s="23">
        <f>EXP(-LN(2)/2)*AW126+(1-EXP(-LN(2)/2))/(LN(2)/2)*AQ127*AT127*VLOOKUP('Données projet'!$B$10,Paramètres!$A$1:$I$89,3,0)*0.475*44/12</f>
        <v>2.4535623744243779E-14</v>
      </c>
      <c r="AX127" s="23">
        <f t="shared" si="60"/>
        <v>0.7443984674902423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projet'!$B$11,Paramètres!$A$1:$I$89,3,0)*VLOOKUP('Données projet'!$B$11,Paramètres!$A$1:$I$89,5,0)</f>
        <v>-3.1036506698001178E-14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159.92263609041913</v>
      </c>
      <c r="BJ127" s="62">
        <f t="shared" si="92"/>
        <v>271.78119133009307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3.5647875256307748</v>
      </c>
      <c r="BQ127" s="23">
        <f>EXP(-LN(2)/25)*BQ126+(1-EXP(-LN(2)/25))/(LN(2)/25)*Calculateur!BL127*Calculateur!BN127*VLOOKUP('Données projet'!$B$11,Paramètres!$A$1:$I$89,3,0)*0.475*44/12</f>
        <v>1.4178033961219898</v>
      </c>
      <c r="BR127" s="23">
        <f>EXP(-LN(2)/2)*BR126+(1-EXP(-LN(2)/2))/(LN(2)/2)*BL127*BO127*VLOOKUP('Données projet'!$B$11,Paramètres!$A$1:$I$89,3,0)*0.475*44/12</f>
        <v>5.7792628886343747E-14</v>
      </c>
      <c r="BS127" s="24">
        <f t="shared" si="63"/>
        <v>4.9825909217528226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1.2710188457276673E-13</v>
      </c>
      <c r="P128" s="14">
        <f t="shared" si="87"/>
        <v>1.856866851063998E-12</v>
      </c>
      <c r="Q128" s="22">
        <f t="shared" si="107"/>
        <v>3.4554122145673649E-12</v>
      </c>
      <c r="R128" s="62">
        <f t="shared" si="55"/>
        <v>293.33333333333678</v>
      </c>
      <c r="S128" s="62">
        <f ca="1">AVERAGE(OFFSET($R$3,0,0,'Données projet'!$E$9+1,1))-AVERAGE(OFFSET($H$3,0,0,'Données projet'!$E$9+1,1))</f>
        <v>210.566504119093</v>
      </c>
      <c r="T128" s="62">
        <f t="shared" si="88"/>
        <v>365.95065044620048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1.2804829747799111</v>
      </c>
      <c r="AA128" s="23">
        <f>EXP(-LN(2)/25)*AA127+(1-EXP(-LN(2)/25))/(LN(2)/25)*Calculateur!V128*Calculateur!X128*VLOOKUP('Données projet'!$B$9,Paramètres!$A$1:$I$89,3,0)*0.475*44/12</f>
        <v>0.30976501334744905</v>
      </c>
      <c r="AB128" s="23">
        <f>EXP(-LN(2)/2)*AB127+(1-EXP(-LN(2)/2))/(LN(2)/2)*V128*Y128*VLOOKUP('Données projet'!$B$9,Paramètres!$A$1:$I$89,3,0)*0.475*44/12</f>
        <v>2.1780006130818936E-14</v>
      </c>
      <c r="AC128" s="24">
        <f t="shared" si="57"/>
        <v>1.5902479881273819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295.01137243247126</v>
      </c>
      <c r="AO128" s="62">
        <f t="shared" si="90"/>
        <v>221.9773436301067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0.55483111600544688</v>
      </c>
      <c r="AV128" s="23">
        <f>EXP(-LN(2)/25)*AV127+(1-EXP(-LN(2)/25))/(LN(2)/25)*Calculateur!AQ128*Calculateur!AS128*VLOOKUP('Données projet'!$B$10,Paramètres!$A$1:$I$89,3,0)*0.475*44/12</f>
        <v>0.17358956915128149</v>
      </c>
      <c r="AW128" s="23">
        <f>EXP(-LN(2)/2)*AW127+(1-EXP(-LN(2)/2))/(LN(2)/2)*AQ128*AT128*VLOOKUP('Données projet'!$B$10,Paramètres!$A$1:$I$89,3,0)*0.475*44/12</f>
        <v>1.7349305930196446E-14</v>
      </c>
      <c r="AX128" s="23">
        <f t="shared" si="60"/>
        <v>0.72842068515674563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projet'!$B$11,Paramètres!$A$1:$I$89,3,0)*VLOOKUP('Données projet'!$B$11,Paramètres!$A$1:$I$89,5,0)</f>
        <v>-3.1036506698001178E-14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159.92263609041913</v>
      </c>
      <c r="BJ128" s="62">
        <f t="shared" si="92"/>
        <v>271.78119133009307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3.4948842165588512</v>
      </c>
      <c r="BQ128" s="23">
        <f>EXP(-LN(2)/25)*BQ127+(1-EXP(-LN(2)/25))/(LN(2)/25)*Calculateur!BL128*Calculateur!BN128*VLOOKUP('Données projet'!$B$11,Paramètres!$A$1:$I$89,3,0)*0.475*44/12</f>
        <v>1.3790334876959938</v>
      </c>
      <c r="BR128" s="23">
        <f>EXP(-LN(2)/2)*BR127+(1-EXP(-LN(2)/2))/(LN(2)/2)*BL128*BO128*VLOOKUP('Données projet'!$B$11,Paramètres!$A$1:$I$89,3,0)*0.475*44/12</f>
        <v>4.0865559788131214E-14</v>
      </c>
      <c r="BS128" s="24">
        <f t="shared" si="63"/>
        <v>4.873917704254886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1.2710188457276673E-13</v>
      </c>
      <c r="P129" s="14">
        <f t="shared" si="87"/>
        <v>1.856866851063998E-12</v>
      </c>
      <c r="Q129" s="22">
        <f t="shared" si="107"/>
        <v>3.4554122145673649E-12</v>
      </c>
      <c r="R129" s="62">
        <f t="shared" si="55"/>
        <v>293.33333333333678</v>
      </c>
      <c r="S129" s="62">
        <f ca="1">AVERAGE(OFFSET($R$3,0,0,'Données projet'!$E$9+1,1))-AVERAGE(OFFSET($H$3,0,0,'Données projet'!$E$9+1,1))</f>
        <v>210.566504119093</v>
      </c>
      <c r="T129" s="62">
        <f t="shared" si="88"/>
        <v>365.95065044620048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1.2553734846619726</v>
      </c>
      <c r="AA129" s="23">
        <f>EXP(-LN(2)/25)*AA128+(1-EXP(-LN(2)/25))/(LN(2)/25)*Calculateur!V129*Calculateur!X129*VLOOKUP('Données projet'!$B$9,Paramètres!$A$1:$I$89,3,0)*0.475*44/12</f>
        <v>0.301294472767629</v>
      </c>
      <c r="AB129" s="23">
        <f>EXP(-LN(2)/2)*AB128+(1-EXP(-LN(2)/2))/(LN(2)/2)*V129*Y129*VLOOKUP('Données projet'!$B$9,Paramètres!$A$1:$I$89,3,0)*0.475*44/12</f>
        <v>1.5400790029386649E-14</v>
      </c>
      <c r="AC129" s="24">
        <f t="shared" si="57"/>
        <v>1.5566679574296169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295.01137243247126</v>
      </c>
      <c r="AO129" s="62">
        <f t="shared" si="90"/>
        <v>221.9773436301067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0.54395121623414522</v>
      </c>
      <c r="AV129" s="23">
        <f>EXP(-LN(2)/25)*AV128+(1-EXP(-LN(2)/25))/(LN(2)/25)*Calculateur!AQ129*Calculateur!AS129*VLOOKUP('Données projet'!$B$10,Paramètres!$A$1:$I$89,3,0)*0.475*44/12</f>
        <v>0.16884275325416101</v>
      </c>
      <c r="AW129" s="23">
        <f>EXP(-LN(2)/2)*AW128+(1-EXP(-LN(2)/2))/(LN(2)/2)*AQ129*AT129*VLOOKUP('Données projet'!$B$10,Paramètres!$A$1:$I$89,3,0)*0.475*44/12</f>
        <v>1.226781187212189E-14</v>
      </c>
      <c r="AX129" s="23">
        <f t="shared" si="60"/>
        <v>0.71279396948831841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projet'!$B$11,Paramètres!$A$1:$I$89,3,0)*VLOOKUP('Données projet'!$B$11,Paramètres!$A$1:$I$89,5,0)</f>
        <v>-3.1036506698001178E-14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159.92263609041913</v>
      </c>
      <c r="BJ129" s="62">
        <f t="shared" si="92"/>
        <v>271.78119133009307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3.4263516687410194</v>
      </c>
      <c r="BQ129" s="23">
        <f>EXP(-LN(2)/25)*BQ128+(1-EXP(-LN(2)/25))/(LN(2)/25)*Calculateur!BL129*Calculateur!BN129*VLOOKUP('Données projet'!$B$11,Paramètres!$A$1:$I$89,3,0)*0.475*44/12</f>
        <v>1.3413237444547275</v>
      </c>
      <c r="BR129" s="23">
        <f>EXP(-LN(2)/2)*BR128+(1-EXP(-LN(2)/2))/(LN(2)/2)*BL129*BO129*VLOOKUP('Données projet'!$B$11,Paramètres!$A$1:$I$89,3,0)*0.475*44/12</f>
        <v>2.8896314443171874E-14</v>
      </c>
      <c r="BS129" s="24">
        <f t="shared" si="63"/>
        <v>4.7676754131957759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1.2710188457276673E-13</v>
      </c>
      <c r="P130" s="14">
        <f t="shared" si="87"/>
        <v>1.856866851063998E-12</v>
      </c>
      <c r="Q130" s="22">
        <f t="shared" si="107"/>
        <v>3.4554122145673649E-12</v>
      </c>
      <c r="R130" s="62">
        <f t="shared" si="55"/>
        <v>293.33333333333678</v>
      </c>
      <c r="S130" s="62">
        <f ca="1">AVERAGE(OFFSET($R$3,0,0,'Données projet'!$E$9+1,1))-AVERAGE(OFFSET($H$3,0,0,'Données projet'!$E$9+1,1))</f>
        <v>210.566504119093</v>
      </c>
      <c r="T130" s="62">
        <f t="shared" si="88"/>
        <v>365.95065044620048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1.2307563763299703</v>
      </c>
      <c r="AA130" s="23">
        <f>EXP(-LN(2)/25)*AA129+(1-EXP(-LN(2)/25))/(LN(2)/25)*Calculateur!V130*Calculateur!X130*VLOOKUP('Données projet'!$B$9,Paramètres!$A$1:$I$89,3,0)*0.475*44/12</f>
        <v>0.29305555956541046</v>
      </c>
      <c r="AB130" s="23">
        <f>EXP(-LN(2)/2)*AB129+(1-EXP(-LN(2)/2))/(LN(2)/2)*V130*Y130*VLOOKUP('Données projet'!$B$9,Paramètres!$A$1:$I$89,3,0)*0.475*44/12</f>
        <v>1.0890003065409468E-14</v>
      </c>
      <c r="AC130" s="24">
        <f t="shared" si="57"/>
        <v>1.5238119358953917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295.01137243247126</v>
      </c>
      <c r="AO130" s="62">
        <f t="shared" si="90"/>
        <v>221.9773436301067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0.53328466466127522</v>
      </c>
      <c r="AV130" s="23">
        <f>EXP(-LN(2)/25)*AV129+(1-EXP(-LN(2)/25))/(LN(2)/25)*Calculateur!AQ130*Calculateur!AS130*VLOOKUP('Données projet'!$B$10,Paramètres!$A$1:$I$89,3,0)*0.475*44/12</f>
        <v>0.16422573928737147</v>
      </c>
      <c r="AW130" s="23">
        <f>EXP(-LN(2)/2)*AW129+(1-EXP(-LN(2)/2))/(LN(2)/2)*AQ130*AT130*VLOOKUP('Données projet'!$B$10,Paramètres!$A$1:$I$89,3,0)*0.475*44/12</f>
        <v>8.6746529650982228E-15</v>
      </c>
      <c r="AX130" s="23">
        <f t="shared" si="60"/>
        <v>0.69751040394865538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projet'!$B$11,Paramètres!$A$1:$I$89,3,0)*VLOOKUP('Données projet'!$B$11,Paramètres!$A$1:$I$89,5,0)</f>
        <v>-3.1036506698001178E-14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159.92263609041913</v>
      </c>
      <c r="BJ130" s="62">
        <f t="shared" si="92"/>
        <v>271.78119133009307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3.3591630023851686</v>
      </c>
      <c r="BQ130" s="23">
        <f>EXP(-LN(2)/25)*BQ129+(1-EXP(-LN(2)/25))/(LN(2)/25)*Calculateur!BL130*Calculateur!BN130*VLOOKUP('Données projet'!$B$11,Paramètres!$A$1:$I$89,3,0)*0.475*44/12</f>
        <v>1.3046451761254629</v>
      </c>
      <c r="BR130" s="23">
        <f>EXP(-LN(2)/2)*BR129+(1-EXP(-LN(2)/2))/(LN(2)/2)*BL130*BO130*VLOOKUP('Données projet'!$B$11,Paramètres!$A$1:$I$89,3,0)*0.475*44/12</f>
        <v>2.0432779894065607E-14</v>
      </c>
      <c r="BS130" s="24">
        <f t="shared" si="63"/>
        <v>4.663808178510652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1.2710188457276673E-13</v>
      </c>
      <c r="P131" s="14">
        <f t="shared" si="87"/>
        <v>1.856866851063998E-12</v>
      </c>
      <c r="Q131" s="22">
        <f t="shared" ref="Q131:Q153" si="108">(O131+P131)*0.475*44/12</f>
        <v>3.4554122145673649E-12</v>
      </c>
      <c r="R131" s="62">
        <f t="shared" ref="R131:R194" si="109">Q131+(I131+J131)*44/12</f>
        <v>293.33333333333678</v>
      </c>
      <c r="S131" s="62">
        <f ca="1">AVERAGE(OFFSET($R$3,0,0,'Données projet'!$E$9+1,1))-AVERAGE(OFFSET($H$3,0,0,'Données projet'!$E$9+1,1))</f>
        <v>210.566504119093</v>
      </c>
      <c r="T131" s="62">
        <f t="shared" si="88"/>
        <v>365.95065044620048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1.2066219944774048</v>
      </c>
      <c r="AA131" s="23">
        <f>EXP(-LN(2)/25)*AA130+(1-EXP(-LN(2)/25))/(LN(2)/25)*Calculateur!V131*Calculateur!X131*VLOOKUP('Données projet'!$B$9,Paramètres!$A$1:$I$89,3,0)*0.475*44/12</f>
        <v>0.28504193987797222</v>
      </c>
      <c r="AB131" s="23">
        <f>EXP(-LN(2)/2)*AB130+(1-EXP(-LN(2)/2))/(LN(2)/2)*V131*Y131*VLOOKUP('Données projet'!$B$9,Paramètres!$A$1:$I$89,3,0)*0.475*44/12</f>
        <v>7.7003950146933244E-15</v>
      </c>
      <c r="AC131" s="24">
        <f t="shared" si="57"/>
        <v>1.4916639343553848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295.01137243247126</v>
      </c>
      <c r="AO131" s="62">
        <f t="shared" si="90"/>
        <v>221.9773436301067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0.52282727765879511</v>
      </c>
      <c r="AV131" s="23">
        <f>EXP(-LN(2)/25)*AV130+(1-EXP(-LN(2)/25))/(LN(2)/25)*Calculateur!AQ131*Calculateur!AS131*VLOOKUP('Données projet'!$B$10,Paramètres!$A$1:$I$89,3,0)*0.475*44/12</f>
        <v>0.15973497781030202</v>
      </c>
      <c r="AW131" s="23">
        <f>EXP(-LN(2)/2)*AW130+(1-EXP(-LN(2)/2))/(LN(2)/2)*AQ131*AT131*VLOOKUP('Données projet'!$B$10,Paramètres!$A$1:$I$89,3,0)*0.475*44/12</f>
        <v>6.1339059360609448E-15</v>
      </c>
      <c r="AX131" s="23">
        <f t="shared" si="60"/>
        <v>0.68256225546910321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projet'!$B$11,Paramètres!$A$1:$I$89,3,0)*VLOOKUP('Données projet'!$B$11,Paramètres!$A$1:$I$89,5,0)</f>
        <v>-3.1036506698001178E-14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159.92263609041913</v>
      </c>
      <c r="BJ131" s="62">
        <f t="shared" si="92"/>
        <v>271.78119133009307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3.2932918647955161</v>
      </c>
      <c r="BQ131" s="23">
        <f>EXP(-LN(2)/25)*BQ130+(1-EXP(-LN(2)/25))/(LN(2)/25)*Calculateur!BL131*Calculateur!BN131*VLOOKUP('Données projet'!$B$11,Paramètres!$A$1:$I$89,3,0)*0.475*44/12</f>
        <v>1.2689695851760041</v>
      </c>
      <c r="BR131" s="23">
        <f>EXP(-LN(2)/2)*BR130+(1-EXP(-LN(2)/2))/(LN(2)/2)*BL131*BO131*VLOOKUP('Données projet'!$B$11,Paramètres!$A$1:$I$89,3,0)*0.475*44/12</f>
        <v>1.4448157221585937E-14</v>
      </c>
      <c r="BS131" s="24">
        <f t="shared" si="63"/>
        <v>4.5622614499715342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1.2710188457276673E-13</v>
      </c>
      <c r="P132" s="14">
        <f t="shared" si="87"/>
        <v>1.856866851063998E-12</v>
      </c>
      <c r="Q132" s="22">
        <f t="shared" si="108"/>
        <v>3.4554122145673649E-12</v>
      </c>
      <c r="R132" s="62">
        <f t="shared" si="109"/>
        <v>293.33333333333678</v>
      </c>
      <c r="S132" s="62">
        <f ca="1">AVERAGE(OFFSET($R$3,0,0,'Données projet'!$E$9+1,1))-AVERAGE(OFFSET($H$3,0,0,'Données projet'!$E$9+1,1))</f>
        <v>210.566504119093</v>
      </c>
      <c r="T132" s="62">
        <f t="shared" si="88"/>
        <v>365.95065044620048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1.1829608731324488</v>
      </c>
      <c r="AA132" s="23">
        <f>EXP(-LN(2)/25)*AA131+(1-EXP(-LN(2)/25))/(LN(2)/25)*Calculateur!V132*Calculateur!X132*VLOOKUP('Données projet'!$B$9,Paramètres!$A$1:$I$89,3,0)*0.475*44/12</f>
        <v>0.27724745304230491</v>
      </c>
      <c r="AB132" s="23">
        <f>EXP(-LN(2)/2)*AB131+(1-EXP(-LN(2)/2))/(LN(2)/2)*V132*Y132*VLOOKUP('Données projet'!$B$9,Paramètres!$A$1:$I$89,3,0)*0.475*44/12</f>
        <v>5.4450015327047339E-15</v>
      </c>
      <c r="AC132" s="24">
        <f t="shared" ref="AC132:AC153" si="111">SUM(Z132:AB132)</f>
        <v>1.4602083261747592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295.01137243247126</v>
      </c>
      <c r="AO132" s="62">
        <f t="shared" si="90"/>
        <v>221.9773436301067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0.51257495363705741</v>
      </c>
      <c r="AV132" s="23">
        <f>EXP(-LN(2)/25)*AV131+(1-EXP(-LN(2)/25))/(LN(2)/25)*Calculateur!AQ132*Calculateur!AS132*VLOOKUP('Données projet'!$B$10,Paramètres!$A$1:$I$89,3,0)*0.475*44/12</f>
        <v>0.15536701644198192</v>
      </c>
      <c r="AW132" s="23">
        <f>EXP(-LN(2)/2)*AW131+(1-EXP(-LN(2)/2))/(LN(2)/2)*AQ132*AT132*VLOOKUP('Données projet'!$B$10,Paramètres!$A$1:$I$89,3,0)*0.475*44/12</f>
        <v>4.3373264825491114E-15</v>
      </c>
      <c r="AX132" s="23">
        <f t="shared" ref="AX132:AX153" si="114">SUM(AU132:AW132)</f>
        <v>0.66794197007904366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projet'!$B$11,Paramètres!$A$1:$I$89,3,0)*VLOOKUP('Données projet'!$B$11,Paramètres!$A$1:$I$89,5,0)</f>
        <v>-3.1036506698001178E-14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159.92263609041913</v>
      </c>
      <c r="BJ132" s="62">
        <f t="shared" si="92"/>
        <v>271.78119133009307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3.2287124200365698</v>
      </c>
      <c r="BQ132" s="23">
        <f>EXP(-LN(2)/25)*BQ131+(1-EXP(-LN(2)/25))/(LN(2)/25)*Calculateur!BL132*Calculateur!BN132*VLOOKUP('Données projet'!$B$11,Paramètres!$A$1:$I$89,3,0)*0.475*44/12</f>
        <v>1.2342695451371561</v>
      </c>
      <c r="BR132" s="23">
        <f>EXP(-LN(2)/2)*BR131+(1-EXP(-LN(2)/2))/(LN(2)/2)*BL132*BO132*VLOOKUP('Données projet'!$B$11,Paramètres!$A$1:$I$89,3,0)*0.475*44/12</f>
        <v>1.0216389947032803E-14</v>
      </c>
      <c r="BS132" s="24">
        <f t="shared" ref="BS132:BS153" si="117">SUM(BP132:BR132)</f>
        <v>4.4629819651737366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1.2710188457276673E-13</v>
      </c>
      <c r="P133" s="14">
        <f t="shared" ref="P133:P196" si="141">EXP(-1.0587+0.8836*LN(O133)+0.284)</f>
        <v>1.856866851063998E-12</v>
      </c>
      <c r="Q133" s="22">
        <f t="shared" si="108"/>
        <v>3.4554122145673649E-12</v>
      </c>
      <c r="R133" s="62">
        <f t="shared" si="109"/>
        <v>293.33333333333678</v>
      </c>
      <c r="S133" s="62">
        <f ca="1">AVERAGE(OFFSET($R$3,0,0,'Données projet'!$E$9+1,1))-AVERAGE(OFFSET($H$3,0,0,'Données projet'!$E$9+1,1))</f>
        <v>210.566504119093</v>
      </c>
      <c r="T133" s="62">
        <f t="shared" ref="T133:T196" si="142">$T$3</f>
        <v>365.95065044620048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1.1597637319452085</v>
      </c>
      <c r="AA133" s="23">
        <f>EXP(-LN(2)/25)*AA132+(1-EXP(-LN(2)/25))/(LN(2)/25)*Calculateur!V133*Calculateur!X133*VLOOKUP('Données projet'!$B$9,Paramètres!$A$1:$I$89,3,0)*0.475*44/12</f>
        <v>0.26966610685905318</v>
      </c>
      <c r="AB133" s="23">
        <f>EXP(-LN(2)/2)*AB132+(1-EXP(-LN(2)/2))/(LN(2)/2)*V133*Y133*VLOOKUP('Données projet'!$B$9,Paramètres!$A$1:$I$89,3,0)*0.475*44/12</f>
        <v>3.8501975073466622E-15</v>
      </c>
      <c r="AC133" s="24">
        <f t="shared" si="111"/>
        <v>1.4294298388042654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295.01137243247126</v>
      </c>
      <c r="AO133" s="62">
        <f t="shared" ref="AO133:AO196" si="144">$AO$3</f>
        <v>221.9773436301067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0.50252367143608578</v>
      </c>
      <c r="AV133" s="23">
        <f>EXP(-LN(2)/25)*AV132+(1-EXP(-LN(2)/25))/(LN(2)/25)*Calculateur!AQ133*Calculateur!AS133*VLOOKUP('Données projet'!$B$10,Paramètres!$A$1:$I$89,3,0)*0.475*44/12</f>
        <v>0.15111849720697962</v>
      </c>
      <c r="AW133" s="23">
        <f>EXP(-LN(2)/2)*AW132+(1-EXP(-LN(2)/2))/(LN(2)/2)*AQ133*AT133*VLOOKUP('Données projet'!$B$10,Paramètres!$A$1:$I$89,3,0)*0.475*44/12</f>
        <v>3.0669529680304724E-15</v>
      </c>
      <c r="AX133" s="23">
        <f t="shared" si="114"/>
        <v>0.65364216864306846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projet'!$B$11,Paramètres!$A$1:$I$89,3,0)*VLOOKUP('Données projet'!$B$11,Paramètres!$A$1:$I$89,5,0)</f>
        <v>-3.1036506698001178E-14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159.92263609041913</v>
      </c>
      <c r="BJ133" s="62">
        <f t="shared" ref="BJ133:BJ196" si="146">$BJ$3</f>
        <v>271.78119133009307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3.1653993387997748</v>
      </c>
      <c r="BQ133" s="23">
        <f>EXP(-LN(2)/25)*BQ132+(1-EXP(-LN(2)/25))/(LN(2)/25)*Calculateur!BL133*Calculateur!BN133*VLOOKUP('Données projet'!$B$11,Paramètres!$A$1:$I$89,3,0)*0.475*44/12</f>
        <v>1.2005183795179661</v>
      </c>
      <c r="BR133" s="23">
        <f>EXP(-LN(2)/2)*BR132+(1-EXP(-LN(2)/2))/(LN(2)/2)*BL133*BO133*VLOOKUP('Données projet'!$B$11,Paramètres!$A$1:$I$89,3,0)*0.475*44/12</f>
        <v>7.2240786107929684E-15</v>
      </c>
      <c r="BS133" s="24">
        <f t="shared" si="117"/>
        <v>4.365917718317748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1.2710188457276673E-13</v>
      </c>
      <c r="P134" s="14">
        <f t="shared" si="141"/>
        <v>1.856866851063998E-12</v>
      </c>
      <c r="Q134" s="22">
        <f t="shared" si="108"/>
        <v>3.4554122145673649E-12</v>
      </c>
      <c r="R134" s="62">
        <f t="shared" si="109"/>
        <v>293.33333333333678</v>
      </c>
      <c r="S134" s="62">
        <f ca="1">AVERAGE(OFFSET($R$3,0,0,'Données projet'!$E$9+1,1))-AVERAGE(OFFSET($H$3,0,0,'Données projet'!$E$9+1,1))</f>
        <v>210.566504119093</v>
      </c>
      <c r="T134" s="62">
        <f t="shared" si="142"/>
        <v>365.95065044620048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1.137021472547791</v>
      </c>
      <c r="AA134" s="23">
        <f>EXP(-LN(2)/25)*AA133+(1-EXP(-LN(2)/25))/(LN(2)/25)*Calculateur!V134*Calculateur!X134*VLOOKUP('Données projet'!$B$9,Paramètres!$A$1:$I$89,3,0)*0.475*44/12</f>
        <v>0.26229207298586815</v>
      </c>
      <c r="AB134" s="23">
        <f>EXP(-LN(2)/2)*AB133+(1-EXP(-LN(2)/2))/(LN(2)/2)*V134*Y134*VLOOKUP('Données projet'!$B$9,Paramètres!$A$1:$I$89,3,0)*0.475*44/12</f>
        <v>2.722500766352367E-15</v>
      </c>
      <c r="AC134" s="24">
        <f t="shared" si="111"/>
        <v>1.3993135455336618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295.01137243247126</v>
      </c>
      <c r="AO134" s="62">
        <f t="shared" si="144"/>
        <v>221.9773436301067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0.49266948874839844</v>
      </c>
      <c r="AV134" s="23">
        <f>EXP(-LN(2)/25)*AV133+(1-EXP(-LN(2)/25))/(LN(2)/25)*Calculateur!AQ134*Calculateur!AS134*VLOOKUP('Données projet'!$B$10,Paramètres!$A$1:$I$89,3,0)*0.475*44/12</f>
        <v>0.14698615395387837</v>
      </c>
      <c r="AW134" s="23">
        <f>EXP(-LN(2)/2)*AW133+(1-EXP(-LN(2)/2))/(LN(2)/2)*AQ134*AT134*VLOOKUP('Données projet'!$B$10,Paramètres!$A$1:$I$89,3,0)*0.475*44/12</f>
        <v>2.1686632412745557E-15</v>
      </c>
      <c r="AX134" s="23">
        <f t="shared" si="114"/>
        <v>0.63965564270227904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projet'!$B$11,Paramètres!$A$1:$I$89,3,0)*VLOOKUP('Données projet'!$B$11,Paramètres!$A$1:$I$89,5,0)</f>
        <v>-3.1036506698001178E-14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159.92263609041913</v>
      </c>
      <c r="BJ134" s="62">
        <f t="shared" si="146"/>
        <v>271.78119133009307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3.1033277884688668</v>
      </c>
      <c r="BQ134" s="23">
        <f>EXP(-LN(2)/25)*BQ133+(1-EXP(-LN(2)/25))/(LN(2)/25)*Calculateur!BL134*Calculateur!BN134*VLOOKUP('Données projet'!$B$11,Paramètres!$A$1:$I$89,3,0)*0.475*44/12</f>
        <v>1.1676901412975296</v>
      </c>
      <c r="BR134" s="23">
        <f>EXP(-LN(2)/2)*BR133+(1-EXP(-LN(2)/2))/(LN(2)/2)*BL134*BO134*VLOOKUP('Données projet'!$B$11,Paramètres!$A$1:$I$89,3,0)*0.475*44/12</f>
        <v>5.1081949735164017E-15</v>
      </c>
      <c r="BS134" s="24">
        <f t="shared" si="117"/>
        <v>4.2710179297664013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1.2710188457276673E-13</v>
      </c>
      <c r="P135" s="14">
        <f t="shared" si="141"/>
        <v>1.856866851063998E-12</v>
      </c>
      <c r="Q135" s="22">
        <f t="shared" si="108"/>
        <v>3.4554122145673649E-12</v>
      </c>
      <c r="R135" s="62">
        <f t="shared" si="109"/>
        <v>293.33333333333678</v>
      </c>
      <c r="S135" s="62">
        <f ca="1">AVERAGE(OFFSET($R$3,0,0,'Données projet'!$E$9+1,1))-AVERAGE(OFFSET($H$3,0,0,'Données projet'!$E$9+1,1))</f>
        <v>210.566504119093</v>
      </c>
      <c r="T135" s="62">
        <f t="shared" si="142"/>
        <v>365.95065044620048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1.1147251749857481</v>
      </c>
      <c r="AA135" s="23">
        <f>EXP(-LN(2)/25)*AA134+(1-EXP(-LN(2)/25))/(LN(2)/25)*Calculateur!V135*Calculateur!X135*VLOOKUP('Données projet'!$B$9,Paramètres!$A$1:$I$89,3,0)*0.475*44/12</f>
        <v>0.25511968245672895</v>
      </c>
      <c r="AB135" s="23">
        <f>EXP(-LN(2)/2)*AB134+(1-EXP(-LN(2)/2))/(LN(2)/2)*V135*Y135*VLOOKUP('Données projet'!$B$9,Paramètres!$A$1:$I$89,3,0)*0.475*44/12</f>
        <v>1.9250987536733311E-15</v>
      </c>
      <c r="AC135" s="24">
        <f t="shared" si="111"/>
        <v>1.3698448574424791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295.01137243247126</v>
      </c>
      <c r="AO135" s="62">
        <f t="shared" si="144"/>
        <v>221.9773436301067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0.48300854057275872</v>
      </c>
      <c r="AV135" s="23">
        <f>EXP(-LN(2)/25)*AV134+(1-EXP(-LN(2)/25))/(LN(2)/25)*Calculateur!AQ135*Calculateur!AS135*VLOOKUP('Données projet'!$B$10,Paramètres!$A$1:$I$89,3,0)*0.475*44/12</f>
        <v>0.14296680984434368</v>
      </c>
      <c r="AW135" s="23">
        <f>EXP(-LN(2)/2)*AW134+(1-EXP(-LN(2)/2))/(LN(2)/2)*AQ135*AT135*VLOOKUP('Données projet'!$B$10,Paramètres!$A$1:$I$89,3,0)*0.475*44/12</f>
        <v>1.5334764840152362E-15</v>
      </c>
      <c r="AX135" s="23">
        <f t="shared" si="114"/>
        <v>0.62597535041710395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projet'!$B$11,Paramètres!$A$1:$I$89,3,0)*VLOOKUP('Données projet'!$B$11,Paramètres!$A$1:$I$89,5,0)</f>
        <v>-3.1036506698001178E-14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159.92263609041913</v>
      </c>
      <c r="BJ135" s="62">
        <f t="shared" si="146"/>
        <v>271.78119133009307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3.0424734233800406</v>
      </c>
      <c r="BQ135" s="23">
        <f>EXP(-LN(2)/25)*BQ134+(1-EXP(-LN(2)/25))/(LN(2)/25)*Calculateur!BL135*Calculateur!BN135*VLOOKUP('Données projet'!$B$11,Paramètres!$A$1:$I$89,3,0)*0.475*44/12</f>
        <v>1.135759592977593</v>
      </c>
      <c r="BR135" s="23">
        <f>EXP(-LN(2)/2)*BR134+(1-EXP(-LN(2)/2))/(LN(2)/2)*BL135*BO135*VLOOKUP('Données projet'!$B$11,Paramètres!$A$1:$I$89,3,0)*0.475*44/12</f>
        <v>3.6120393053964842E-15</v>
      </c>
      <c r="BS135" s="24">
        <f t="shared" si="117"/>
        <v>4.1782330163576376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1.2710188457276673E-13</v>
      </c>
      <c r="P136" s="14">
        <f t="shared" si="141"/>
        <v>1.856866851063998E-12</v>
      </c>
      <c r="Q136" s="22">
        <f t="shared" si="108"/>
        <v>3.4554122145673649E-12</v>
      </c>
      <c r="R136" s="62">
        <f t="shared" si="109"/>
        <v>293.33333333333678</v>
      </c>
      <c r="S136" s="62">
        <f ca="1">AVERAGE(OFFSET($R$3,0,0,'Données projet'!$E$9+1,1))-AVERAGE(OFFSET($H$3,0,0,'Données projet'!$E$9+1,1))</f>
        <v>210.566504119093</v>
      </c>
      <c r="T136" s="62">
        <f t="shared" si="142"/>
        <v>365.95065044620048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1.0928660942194983</v>
      </c>
      <c r="AA136" s="23">
        <f>EXP(-LN(2)/25)*AA135+(1-EXP(-LN(2)/25))/(LN(2)/25)*Calculateur!V136*Calculateur!X136*VLOOKUP('Données projet'!$B$9,Paramètres!$A$1:$I$89,3,0)*0.475*44/12</f>
        <v>0.24814342132378867</v>
      </c>
      <c r="AB136" s="23">
        <f>EXP(-LN(2)/2)*AB135+(1-EXP(-LN(2)/2))/(LN(2)/2)*V136*Y136*VLOOKUP('Données projet'!$B$9,Paramètres!$A$1:$I$89,3,0)*0.475*44/12</f>
        <v>1.3612503831761835E-15</v>
      </c>
      <c r="AC136" s="24">
        <f t="shared" si="111"/>
        <v>1.3410095155432884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295.01137243247126</v>
      </c>
      <c r="AO136" s="62">
        <f t="shared" si="144"/>
        <v>221.9773436301067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0.47353703769824673</v>
      </c>
      <c r="AV136" s="23">
        <f>EXP(-LN(2)/25)*AV135+(1-EXP(-LN(2)/25))/(LN(2)/25)*Calculateur!AQ136*Calculateur!AS136*VLOOKUP('Données projet'!$B$10,Paramètres!$A$1:$I$89,3,0)*0.475*44/12</f>
        <v>0.13905737491085232</v>
      </c>
      <c r="AW136" s="23">
        <f>EXP(-LN(2)/2)*AW135+(1-EXP(-LN(2)/2))/(LN(2)/2)*AQ136*AT136*VLOOKUP('Données projet'!$B$10,Paramètres!$A$1:$I$89,3,0)*0.475*44/12</f>
        <v>1.0843316206372778E-15</v>
      </c>
      <c r="AX136" s="23">
        <f t="shared" si="114"/>
        <v>0.61259441260910019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projet'!$B$11,Paramètres!$A$1:$I$89,3,0)*VLOOKUP('Données projet'!$B$11,Paramètres!$A$1:$I$89,5,0)</f>
        <v>-3.1036506698001178E-14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159.92263609041913</v>
      </c>
      <c r="BJ136" s="62">
        <f t="shared" si="146"/>
        <v>271.78119133009307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2.9828123752731086</v>
      </c>
      <c r="BQ136" s="23">
        <f>EXP(-LN(2)/25)*BQ135+(1-EXP(-LN(2)/25))/(LN(2)/25)*Calculateur!BL136*Calculateur!BN136*VLOOKUP('Données projet'!$B$11,Paramètres!$A$1:$I$89,3,0)*0.475*44/12</f>
        <v>1.1047021871806195</v>
      </c>
      <c r="BR136" s="23">
        <f>EXP(-LN(2)/2)*BR135+(1-EXP(-LN(2)/2))/(LN(2)/2)*BL136*BO136*VLOOKUP('Données projet'!$B$11,Paramètres!$A$1:$I$89,3,0)*0.475*44/12</f>
        <v>2.5540974867582008E-15</v>
      </c>
      <c r="BS136" s="24">
        <f t="shared" si="117"/>
        <v>4.0875145624537312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1.2710188457276673E-13</v>
      </c>
      <c r="P137" s="14">
        <f t="shared" si="141"/>
        <v>1.856866851063998E-12</v>
      </c>
      <c r="Q137" s="22">
        <f t="shared" si="108"/>
        <v>3.4554122145673649E-12</v>
      </c>
      <c r="R137" s="62">
        <f t="shared" si="109"/>
        <v>293.33333333333678</v>
      </c>
      <c r="S137" s="62">
        <f ca="1">AVERAGE(OFFSET($R$3,0,0,'Données projet'!$E$9+1,1))-AVERAGE(OFFSET($H$3,0,0,'Données projet'!$E$9+1,1))</f>
        <v>210.566504119093</v>
      </c>
      <c r="T137" s="62">
        <f t="shared" si="142"/>
        <v>365.95065044620048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1.0714356566943519</v>
      </c>
      <c r="AA137" s="23">
        <f>EXP(-LN(2)/25)*AA136+(1-EXP(-LN(2)/25))/(LN(2)/25)*Calculateur!V137*Calculateur!X137*VLOOKUP('Données projet'!$B$9,Paramètres!$A$1:$I$89,3,0)*0.475*44/12</f>
        <v>0.24135792641839426</v>
      </c>
      <c r="AB137" s="23">
        <f>EXP(-LN(2)/2)*AB136+(1-EXP(-LN(2)/2))/(LN(2)/2)*V137*Y137*VLOOKUP('Données projet'!$B$9,Paramètres!$A$1:$I$89,3,0)*0.475*44/12</f>
        <v>9.6254937683666555E-16</v>
      </c>
      <c r="AC137" s="24">
        <f t="shared" si="111"/>
        <v>1.3127935831127471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295.01137243247126</v>
      </c>
      <c r="AO137" s="62">
        <f t="shared" si="144"/>
        <v>221.9773436301067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0.4642512652180576</v>
      </c>
      <c r="AV137" s="23">
        <f>EXP(-LN(2)/25)*AV136+(1-EXP(-LN(2)/25))/(LN(2)/25)*Calculateur!AQ137*Calculateur!AS137*VLOOKUP('Données projet'!$B$10,Paramètres!$A$1:$I$89,3,0)*0.475*44/12</f>
        <v>0.13525484368120555</v>
      </c>
      <c r="AW137" s="23">
        <f>EXP(-LN(2)/2)*AW136+(1-EXP(-LN(2)/2))/(LN(2)/2)*AQ137*AT137*VLOOKUP('Données projet'!$B$10,Paramètres!$A$1:$I$89,3,0)*0.475*44/12</f>
        <v>7.667382420076181E-16</v>
      </c>
      <c r="AX137" s="23">
        <f t="shared" si="114"/>
        <v>0.59950610889926392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projet'!$B$11,Paramètres!$A$1:$I$89,3,0)*VLOOKUP('Données projet'!$B$11,Paramètres!$A$1:$I$89,5,0)</f>
        <v>-3.1036506698001178E-14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159.92263609041913</v>
      </c>
      <c r="BJ137" s="62">
        <f t="shared" si="146"/>
        <v>271.78119133009307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2.9243212439299073</v>
      </c>
      <c r="BQ137" s="23">
        <f>EXP(-LN(2)/25)*BQ136+(1-EXP(-LN(2)/25))/(LN(2)/25)*Calculateur!BL137*Calculateur!BN137*VLOOKUP('Données projet'!$B$11,Paramètres!$A$1:$I$89,3,0)*0.475*44/12</f>
        <v>1.0744940477784022</v>
      </c>
      <c r="BR137" s="23">
        <f>EXP(-LN(2)/2)*BR136+(1-EXP(-LN(2)/2))/(LN(2)/2)*BL137*BO137*VLOOKUP('Données projet'!$B$11,Paramètres!$A$1:$I$89,3,0)*0.475*44/12</f>
        <v>1.8060196526982421E-15</v>
      </c>
      <c r="BS137" s="24">
        <f t="shared" si="117"/>
        <v>3.9988152917083113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1.2710188457276673E-13</v>
      </c>
      <c r="P138" s="14">
        <f t="shared" si="141"/>
        <v>1.856866851063998E-12</v>
      </c>
      <c r="Q138" s="22">
        <f t="shared" si="108"/>
        <v>3.4554122145673649E-12</v>
      </c>
      <c r="R138" s="62">
        <f t="shared" si="109"/>
        <v>293.33333333333678</v>
      </c>
      <c r="S138" s="62">
        <f ca="1">AVERAGE(OFFSET($R$3,0,0,'Données projet'!$E$9+1,1))-AVERAGE(OFFSET($H$3,0,0,'Données projet'!$E$9+1,1))</f>
        <v>210.566504119093</v>
      </c>
      <c r="T138" s="62">
        <f t="shared" si="142"/>
        <v>365.95065044620048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1.0504254569777973</v>
      </c>
      <c r="AA138" s="23">
        <f>EXP(-LN(2)/25)*AA137+(1-EXP(-LN(2)/25))/(LN(2)/25)*Calculateur!V138*Calculateur!X138*VLOOKUP('Données projet'!$B$9,Paramètres!$A$1:$I$89,3,0)*0.475*44/12</f>
        <v>0.23475798122802155</v>
      </c>
      <c r="AB138" s="23">
        <f>EXP(-LN(2)/2)*AB137+(1-EXP(-LN(2)/2))/(LN(2)/2)*V138*Y138*VLOOKUP('Données projet'!$B$9,Paramètres!$A$1:$I$89,3,0)*0.475*44/12</f>
        <v>6.8062519158809174E-16</v>
      </c>
      <c r="AC138" s="24">
        <f t="shared" si="111"/>
        <v>1.2851834382058196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295.01137243247126</v>
      </c>
      <c r="AO138" s="62">
        <f t="shared" si="144"/>
        <v>221.9773436301067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0.45514758107244302</v>
      </c>
      <c r="AV138" s="23">
        <f>EXP(-LN(2)/25)*AV137+(1-EXP(-LN(2)/25))/(LN(2)/25)*Calculateur!AQ138*Calculateur!AS138*VLOOKUP('Données projet'!$B$10,Paramètres!$A$1:$I$89,3,0)*0.475*44/12</f>
        <v>0.13155629286799989</v>
      </c>
      <c r="AW138" s="23">
        <f>EXP(-LN(2)/2)*AW137+(1-EXP(-LN(2)/2))/(LN(2)/2)*AQ138*AT138*VLOOKUP('Données projet'!$B$10,Paramètres!$A$1:$I$89,3,0)*0.475*44/12</f>
        <v>5.4216581031863892E-16</v>
      </c>
      <c r="AX138" s="23">
        <f t="shared" si="114"/>
        <v>0.58670387394044343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projet'!$B$11,Paramètres!$A$1:$I$89,3,0)*VLOOKUP('Données projet'!$B$11,Paramètres!$A$1:$I$89,5,0)</f>
        <v>-3.1036506698001178E-14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159.92263609041913</v>
      </c>
      <c r="BJ138" s="62">
        <f t="shared" si="146"/>
        <v>271.78119133009307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2.866977087996279</v>
      </c>
      <c r="BQ138" s="23">
        <f>EXP(-LN(2)/25)*BQ137+(1-EXP(-LN(2)/25))/(LN(2)/25)*Calculateur!BL138*Calculateur!BN138*VLOOKUP('Données projet'!$B$11,Paramètres!$A$1:$I$89,3,0)*0.475*44/12</f>
        <v>1.0451119515367155</v>
      </c>
      <c r="BR138" s="23">
        <f>EXP(-LN(2)/2)*BR137+(1-EXP(-LN(2)/2))/(LN(2)/2)*BL138*BO138*VLOOKUP('Données projet'!$B$11,Paramètres!$A$1:$I$89,3,0)*0.475*44/12</f>
        <v>1.2770487433791004E-15</v>
      </c>
      <c r="BS138" s="24">
        <f t="shared" si="117"/>
        <v>3.9120890395329959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1.2710188457276673E-13</v>
      </c>
      <c r="P139" s="14">
        <f t="shared" si="141"/>
        <v>1.856866851063998E-12</v>
      </c>
      <c r="Q139" s="22">
        <f t="shared" si="108"/>
        <v>3.4554122145673649E-12</v>
      </c>
      <c r="R139" s="62">
        <f t="shared" si="109"/>
        <v>293.33333333333678</v>
      </c>
      <c r="S139" s="62">
        <f ca="1">AVERAGE(OFFSET($R$3,0,0,'Données projet'!$E$9+1,1))-AVERAGE(OFFSET($H$3,0,0,'Données projet'!$E$9+1,1))</f>
        <v>210.566504119093</v>
      </c>
      <c r="T139" s="62">
        <f t="shared" si="142"/>
        <v>365.95065044620048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1.029827254462728</v>
      </c>
      <c r="AA139" s="23">
        <f>EXP(-LN(2)/25)*AA138+(1-EXP(-LN(2)/25))/(LN(2)/25)*Calculateur!V139*Calculateur!X139*VLOOKUP('Données projet'!$B$9,Paramètres!$A$1:$I$89,3,0)*0.475*44/12</f>
        <v>0.22833851188595561</v>
      </c>
      <c r="AB139" s="23">
        <f>EXP(-LN(2)/2)*AB138+(1-EXP(-LN(2)/2))/(LN(2)/2)*V139*Y139*VLOOKUP('Données projet'!$B$9,Paramètres!$A$1:$I$89,3,0)*0.475*44/12</f>
        <v>4.8127468841833277E-16</v>
      </c>
      <c r="AC139" s="24">
        <f t="shared" si="111"/>
        <v>1.258165766348684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295.01137243247126</v>
      </c>
      <c r="AO139" s="62">
        <f t="shared" si="144"/>
        <v>221.9773436301067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0.44622241462022488</v>
      </c>
      <c r="AV139" s="23">
        <f>EXP(-LN(2)/25)*AV138+(1-EXP(-LN(2)/25))/(LN(2)/25)*Calculateur!AQ139*Calculateur!AS139*VLOOKUP('Données projet'!$B$10,Paramètres!$A$1:$I$89,3,0)*0.475*44/12</f>
        <v>0.12795887912127965</v>
      </c>
      <c r="AW139" s="23">
        <f>EXP(-LN(2)/2)*AW138+(1-EXP(-LN(2)/2))/(LN(2)/2)*AQ139*AT139*VLOOKUP('Données projet'!$B$10,Paramètres!$A$1:$I$89,3,0)*0.475*44/12</f>
        <v>3.8336912100380905E-16</v>
      </c>
      <c r="AX139" s="23">
        <f t="shared" si="114"/>
        <v>0.57418129374150484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projet'!$B$11,Paramètres!$A$1:$I$89,3,0)*VLOOKUP('Données projet'!$B$11,Paramètres!$A$1:$I$89,5,0)</f>
        <v>-3.1036506698001178E-14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159.92263609041913</v>
      </c>
      <c r="BJ139" s="62">
        <f t="shared" si="146"/>
        <v>271.78119133009307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2.8107574159840274</v>
      </c>
      <c r="BQ139" s="23">
        <f>EXP(-LN(2)/25)*BQ138+(1-EXP(-LN(2)/25))/(LN(2)/25)*Calculateur!BL139*Calculateur!BN139*VLOOKUP('Données projet'!$B$11,Paramètres!$A$1:$I$89,3,0)*0.475*44/12</f>
        <v>1.0165333102618952</v>
      </c>
      <c r="BR139" s="23">
        <f>EXP(-LN(2)/2)*BR138+(1-EXP(-LN(2)/2))/(LN(2)/2)*BL139*BO139*VLOOKUP('Données projet'!$B$11,Paramètres!$A$1:$I$89,3,0)*0.475*44/12</f>
        <v>9.0300982634912105E-16</v>
      </c>
      <c r="BS139" s="24">
        <f t="shared" si="117"/>
        <v>3.8272907262459235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1.2710188457276673E-13</v>
      </c>
      <c r="P140" s="14">
        <f t="shared" si="141"/>
        <v>1.856866851063998E-12</v>
      </c>
      <c r="Q140" s="22">
        <f t="shared" si="108"/>
        <v>3.4554122145673649E-12</v>
      </c>
      <c r="R140" s="62">
        <f t="shared" si="109"/>
        <v>293.33333333333678</v>
      </c>
      <c r="S140" s="62">
        <f ca="1">AVERAGE(OFFSET($R$3,0,0,'Données projet'!$E$9+1,1))-AVERAGE(OFFSET($H$3,0,0,'Données projet'!$E$9+1,1))</f>
        <v>210.566504119093</v>
      </c>
      <c r="T140" s="62">
        <f t="shared" si="142"/>
        <v>365.95065044620048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1.0096329701353162</v>
      </c>
      <c r="AA140" s="23">
        <f>EXP(-LN(2)/25)*AA139+(1-EXP(-LN(2)/25))/(LN(2)/25)*Calculateur!V140*Calculateur!X140*VLOOKUP('Données projet'!$B$9,Paramètres!$A$1:$I$89,3,0)*0.475*44/12</f>
        <v>0.22209458327063369</v>
      </c>
      <c r="AB140" s="23">
        <f>EXP(-LN(2)/2)*AB139+(1-EXP(-LN(2)/2))/(LN(2)/2)*V140*Y140*VLOOKUP('Données projet'!$B$9,Paramètres!$A$1:$I$89,3,0)*0.475*44/12</f>
        <v>3.4031259579404587E-16</v>
      </c>
      <c r="AC140" s="24">
        <f t="shared" si="111"/>
        <v>1.2317275534059502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295.01137243247126</v>
      </c>
      <c r="AO140" s="62">
        <f t="shared" si="144"/>
        <v>221.9773436301067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0.43747226523832078</v>
      </c>
      <c r="AV140" s="23">
        <f>EXP(-LN(2)/25)*AV139+(1-EXP(-LN(2)/25))/(LN(2)/25)*Calculateur!AQ140*Calculateur!AS140*VLOOKUP('Données projet'!$B$10,Paramètres!$A$1:$I$89,3,0)*0.475*44/12</f>
        <v>0.12445983684264326</v>
      </c>
      <c r="AW140" s="23">
        <f>EXP(-LN(2)/2)*AW139+(1-EXP(-LN(2)/2))/(LN(2)/2)*AQ140*AT140*VLOOKUP('Données projet'!$B$10,Paramètres!$A$1:$I$89,3,0)*0.475*44/12</f>
        <v>2.7108290515931946E-16</v>
      </c>
      <c r="AX140" s="23">
        <f t="shared" si="114"/>
        <v>0.56193210208096422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projet'!$B$11,Paramètres!$A$1:$I$89,3,0)*VLOOKUP('Données projet'!$B$11,Paramètres!$A$1:$I$89,5,0)</f>
        <v>-3.1036506698001178E-14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159.92263609041913</v>
      </c>
      <c r="BJ140" s="62">
        <f t="shared" si="146"/>
        <v>271.78119133009307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2.755640177449322</v>
      </c>
      <c r="BQ140" s="23">
        <f>EXP(-LN(2)/25)*BQ139+(1-EXP(-LN(2)/25))/(LN(2)/25)*Calculateur!BL140*Calculateur!BN140*VLOOKUP('Données projet'!$B$11,Paramètres!$A$1:$I$89,3,0)*0.475*44/12</f>
        <v>0.98873615343562016</v>
      </c>
      <c r="BR140" s="23">
        <f>EXP(-LN(2)/2)*BR139+(1-EXP(-LN(2)/2))/(LN(2)/2)*BL140*BO140*VLOOKUP('Données projet'!$B$11,Paramètres!$A$1:$I$89,3,0)*0.475*44/12</f>
        <v>6.3852437168955021E-16</v>
      </c>
      <c r="BS140" s="24">
        <f t="shared" si="117"/>
        <v>3.7443763308849425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1.2710188457276673E-13</v>
      </c>
      <c r="P141" s="14">
        <f t="shared" si="141"/>
        <v>1.856866851063998E-12</v>
      </c>
      <c r="Q141" s="22">
        <f t="shared" si="108"/>
        <v>3.4554122145673649E-12</v>
      </c>
      <c r="R141" s="62">
        <f t="shared" si="109"/>
        <v>293.33333333333678</v>
      </c>
      <c r="S141" s="62">
        <f ca="1">AVERAGE(OFFSET($R$3,0,0,'Données projet'!$E$9+1,1))-AVERAGE(OFFSET($H$3,0,0,'Données projet'!$E$9+1,1))</f>
        <v>210.566504119093</v>
      </c>
      <c r="T141" s="62">
        <f t="shared" si="142"/>
        <v>365.95065044620048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0.98983468340626768</v>
      </c>
      <c r="AA141" s="23">
        <f>EXP(-LN(2)/25)*AA140+(1-EXP(-LN(2)/25))/(LN(2)/25)*Calculateur!V141*Calculateur!X141*VLOOKUP('Données projet'!$B$9,Paramètres!$A$1:$I$89,3,0)*0.475*44/12</f>
        <v>0.21602139521165167</v>
      </c>
      <c r="AB141" s="23">
        <f>EXP(-LN(2)/2)*AB140+(1-EXP(-LN(2)/2))/(LN(2)/2)*V141*Y141*VLOOKUP('Données projet'!$B$9,Paramètres!$A$1:$I$89,3,0)*0.475*44/12</f>
        <v>2.4063734420916639E-16</v>
      </c>
      <c r="AC141" s="24">
        <f t="shared" si="111"/>
        <v>1.2058560786179195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295.01137243247126</v>
      </c>
      <c r="AO141" s="62">
        <f t="shared" si="144"/>
        <v>221.9773436301067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0.42889370094873164</v>
      </c>
      <c r="AV141" s="23">
        <f>EXP(-LN(2)/25)*AV140+(1-EXP(-LN(2)/25))/(LN(2)/25)*Calculateur!AQ141*Calculateur!AS141*VLOOKUP('Données projet'!$B$10,Paramètres!$A$1:$I$89,3,0)*0.475*44/12</f>
        <v>0.12105647605912283</v>
      </c>
      <c r="AW141" s="23">
        <f>EXP(-LN(2)/2)*AW140+(1-EXP(-LN(2)/2))/(LN(2)/2)*AQ141*AT141*VLOOKUP('Données projet'!$B$10,Paramètres!$A$1:$I$89,3,0)*0.475*44/12</f>
        <v>1.9168456050190453E-16</v>
      </c>
      <c r="AX141" s="23">
        <f t="shared" si="114"/>
        <v>0.54995017700785465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projet'!$B$11,Paramètres!$A$1:$I$89,3,0)*VLOOKUP('Données projet'!$B$11,Paramètres!$A$1:$I$89,5,0)</f>
        <v>-3.1036506698001178E-14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159.92263609041913</v>
      </c>
      <c r="BJ141" s="62">
        <f t="shared" si="146"/>
        <v>271.78119133009307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2.7016037543440863</v>
      </c>
      <c r="BQ141" s="23">
        <f>EXP(-LN(2)/25)*BQ140+(1-EXP(-LN(2)/25))/(LN(2)/25)*Calculateur!BL141*Calculateur!BN141*VLOOKUP('Données projet'!$B$11,Paramètres!$A$1:$I$89,3,0)*0.475*44/12</f>
        <v>0.96169911132454855</v>
      </c>
      <c r="BR141" s="23">
        <f>EXP(-LN(2)/2)*BR140+(1-EXP(-LN(2)/2))/(LN(2)/2)*BL141*BO141*VLOOKUP('Données projet'!$B$11,Paramètres!$A$1:$I$89,3,0)*0.475*44/12</f>
        <v>4.5150491317456052E-16</v>
      </c>
      <c r="BS141" s="24">
        <f t="shared" si="117"/>
        <v>3.6633028656686353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1.2710188457276673E-13</v>
      </c>
      <c r="P142" s="14">
        <f t="shared" si="141"/>
        <v>1.856866851063998E-12</v>
      </c>
      <c r="Q142" s="22">
        <f t="shared" si="108"/>
        <v>3.4554122145673649E-12</v>
      </c>
      <c r="R142" s="62">
        <f t="shared" si="109"/>
        <v>293.33333333333678</v>
      </c>
      <c r="S142" s="62">
        <f ca="1">AVERAGE(OFFSET($R$3,0,0,'Données projet'!$E$9+1,1))-AVERAGE(OFFSET($H$3,0,0,'Données projet'!$E$9+1,1))</f>
        <v>210.566504119093</v>
      </c>
      <c r="T142" s="62">
        <f t="shared" si="142"/>
        <v>365.95065044620048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0.97042462900421333</v>
      </c>
      <c r="AA142" s="23">
        <f>EXP(-LN(2)/25)*AA141+(1-EXP(-LN(2)/25))/(LN(2)/25)*Calculateur!V142*Calculateur!X142*VLOOKUP('Données projet'!$B$9,Paramètres!$A$1:$I$89,3,0)*0.475*44/12</f>
        <v>0.21011427879951761</v>
      </c>
      <c r="AB142" s="23">
        <f>EXP(-LN(2)/2)*AB141+(1-EXP(-LN(2)/2))/(LN(2)/2)*V142*Y142*VLOOKUP('Données projet'!$B$9,Paramètres!$A$1:$I$89,3,0)*0.475*44/12</f>
        <v>1.7015629789702293E-16</v>
      </c>
      <c r="AC142" s="24">
        <f t="shared" si="111"/>
        <v>1.1805389078037312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295.01137243247126</v>
      </c>
      <c r="AO142" s="62">
        <f t="shared" si="144"/>
        <v>221.9773436301067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0.42048335707245382</v>
      </c>
      <c r="AV142" s="23">
        <f>EXP(-LN(2)/25)*AV141+(1-EXP(-LN(2)/25))/(LN(2)/25)*Calculateur!AQ142*Calculateur!AS142*VLOOKUP('Données projet'!$B$10,Paramètres!$A$1:$I$89,3,0)*0.475*44/12</f>
        <v>0.11774618035520272</v>
      </c>
      <c r="AW142" s="23">
        <f>EXP(-LN(2)/2)*AW141+(1-EXP(-LN(2)/2))/(LN(2)/2)*AQ142*AT142*VLOOKUP('Données projet'!$B$10,Paramètres!$A$1:$I$89,3,0)*0.475*44/12</f>
        <v>1.3554145257965973E-16</v>
      </c>
      <c r="AX142" s="23">
        <f t="shared" si="114"/>
        <v>0.53822953742765667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projet'!$B$11,Paramètres!$A$1:$I$89,3,0)*VLOOKUP('Données projet'!$B$11,Paramètres!$A$1:$I$89,5,0)</f>
        <v>-3.1036506698001178E-14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159.92263609041913</v>
      </c>
      <c r="BJ142" s="62">
        <f t="shared" si="146"/>
        <v>271.78119133009307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2.6486269525369805</v>
      </c>
      <c r="BQ142" s="23">
        <f>EXP(-LN(2)/25)*BQ141+(1-EXP(-LN(2)/25))/(LN(2)/25)*Calculateur!BL142*Calculateur!BN142*VLOOKUP('Données projet'!$B$11,Paramètres!$A$1:$I$89,3,0)*0.475*44/12</f>
        <v>0.93540139855182047</v>
      </c>
      <c r="BR142" s="23">
        <f>EXP(-LN(2)/2)*BR141+(1-EXP(-LN(2)/2))/(LN(2)/2)*BL142*BO142*VLOOKUP('Données projet'!$B$11,Paramètres!$A$1:$I$89,3,0)*0.475*44/12</f>
        <v>3.1926218584477511E-16</v>
      </c>
      <c r="BS142" s="24">
        <f t="shared" si="117"/>
        <v>3.5840283510888016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1.2710188457276673E-13</v>
      </c>
      <c r="P143" s="14">
        <f t="shared" si="141"/>
        <v>1.856866851063998E-12</v>
      </c>
      <c r="Q143" s="22">
        <f t="shared" si="108"/>
        <v>3.4554122145673649E-12</v>
      </c>
      <c r="R143" s="62">
        <f t="shared" si="109"/>
        <v>293.33333333333678</v>
      </c>
      <c r="S143" s="62">
        <f ca="1">AVERAGE(OFFSET($R$3,0,0,'Données projet'!$E$9+1,1))-AVERAGE(OFFSET($H$3,0,0,'Données projet'!$E$9+1,1))</f>
        <v>210.566504119093</v>
      </c>
      <c r="T143" s="62">
        <f t="shared" si="142"/>
        <v>365.95065044620048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0.95139519393001903</v>
      </c>
      <c r="AA143" s="23">
        <f>EXP(-LN(2)/25)*AA142+(1-EXP(-LN(2)/25))/(LN(2)/25)*Calculateur!V143*Calculateur!X143*VLOOKUP('Données projet'!$B$9,Paramètres!$A$1:$I$89,3,0)*0.475*44/12</f>
        <v>0.20436869279631509</v>
      </c>
      <c r="AB143" s="23">
        <f>EXP(-LN(2)/2)*AB142+(1-EXP(-LN(2)/2))/(LN(2)/2)*V143*Y143*VLOOKUP('Données projet'!$B$9,Paramètres!$A$1:$I$89,3,0)*0.475*44/12</f>
        <v>1.2031867210458319E-16</v>
      </c>
      <c r="AC143" s="24">
        <f t="shared" si="111"/>
        <v>1.1557638867263342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295.01137243247126</v>
      </c>
      <c r="AO143" s="62">
        <f t="shared" si="144"/>
        <v>221.9773436301067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0.41223793490978655</v>
      </c>
      <c r="AV143" s="23">
        <f>EXP(-LN(2)/25)*AV142+(1-EXP(-LN(2)/25))/(LN(2)/25)*Calculateur!AQ143*Calculateur!AS143*VLOOKUP('Données projet'!$B$10,Paramètres!$A$1:$I$89,3,0)*0.475*44/12</f>
        <v>0.1145264048613872</v>
      </c>
      <c r="AW143" s="23">
        <f>EXP(-LN(2)/2)*AW142+(1-EXP(-LN(2)/2))/(LN(2)/2)*AQ143*AT143*VLOOKUP('Données projet'!$B$10,Paramètres!$A$1:$I$89,3,0)*0.475*44/12</f>
        <v>9.5842280250952263E-17</v>
      </c>
      <c r="AX143" s="23">
        <f t="shared" si="114"/>
        <v>0.52676433977117387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projet'!$B$11,Paramètres!$A$1:$I$89,3,0)*VLOOKUP('Données projet'!$B$11,Paramètres!$A$1:$I$89,5,0)</f>
        <v>-3.1036506698001178E-14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159.92263609041913</v>
      </c>
      <c r="BJ143" s="62">
        <f t="shared" si="146"/>
        <v>271.78119133009307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2.5966889935006536</v>
      </c>
      <c r="BQ143" s="23">
        <f>EXP(-LN(2)/25)*BQ142+(1-EXP(-LN(2)/25))/(LN(2)/25)*Calculateur!BL143*Calculateur!BN143*VLOOKUP('Données projet'!$B$11,Paramètres!$A$1:$I$89,3,0)*0.475*44/12</f>
        <v>0.90982279811779931</v>
      </c>
      <c r="BR143" s="23">
        <f>EXP(-LN(2)/2)*BR142+(1-EXP(-LN(2)/2))/(LN(2)/2)*BL143*BO143*VLOOKUP('Données projet'!$B$11,Paramètres!$A$1:$I$89,3,0)*0.475*44/12</f>
        <v>2.2575245658728026E-16</v>
      </c>
      <c r="BS143" s="24">
        <f t="shared" si="117"/>
        <v>3.5065117916184536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1.2710188457276673E-13</v>
      </c>
      <c r="P144" s="14">
        <f t="shared" si="141"/>
        <v>1.856866851063998E-12</v>
      </c>
      <c r="Q144" s="22">
        <f t="shared" si="108"/>
        <v>3.4554122145673649E-12</v>
      </c>
      <c r="R144" s="62">
        <f t="shared" si="109"/>
        <v>293.33333333333678</v>
      </c>
      <c r="S144" s="62">
        <f ca="1">AVERAGE(OFFSET($R$3,0,0,'Données projet'!$E$9+1,1))-AVERAGE(OFFSET($H$3,0,0,'Données projet'!$E$9+1,1))</f>
        <v>210.566504119093</v>
      </c>
      <c r="T144" s="62">
        <f t="shared" si="142"/>
        <v>365.95065044620048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0.93273891447082036</v>
      </c>
      <c r="AA144" s="23">
        <f>EXP(-LN(2)/25)*AA143+(1-EXP(-LN(2)/25))/(LN(2)/25)*Calculateur!V144*Calculateur!X144*VLOOKUP('Données projet'!$B$9,Paramètres!$A$1:$I$89,3,0)*0.475*44/12</f>
        <v>0.19878022014451738</v>
      </c>
      <c r="AB144" s="23">
        <f>EXP(-LN(2)/2)*AB143+(1-EXP(-LN(2)/2))/(LN(2)/2)*V144*Y144*VLOOKUP('Données projet'!$B$9,Paramètres!$A$1:$I$89,3,0)*0.475*44/12</f>
        <v>8.5078148948511467E-17</v>
      </c>
      <c r="AC144" s="24">
        <f t="shared" si="111"/>
        <v>1.1315191346153377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295.01137243247126</v>
      </c>
      <c r="AO144" s="62">
        <f t="shared" si="144"/>
        <v>221.9773436301067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0.40415420044651829</v>
      </c>
      <c r="AV144" s="23">
        <f>EXP(-LN(2)/25)*AV143+(1-EXP(-LN(2)/25))/(LN(2)/25)*Calculateur!AQ144*Calculateur!AS144*VLOOKUP('Données projet'!$B$10,Paramètres!$A$1:$I$89,3,0)*0.475*44/12</f>
        <v>0.11139467429777068</v>
      </c>
      <c r="AW144" s="23">
        <f>EXP(-LN(2)/2)*AW143+(1-EXP(-LN(2)/2))/(LN(2)/2)*AQ144*AT144*VLOOKUP('Données projet'!$B$10,Paramètres!$A$1:$I$89,3,0)*0.475*44/12</f>
        <v>6.7770726289829865E-17</v>
      </c>
      <c r="AX144" s="23">
        <f t="shared" si="114"/>
        <v>0.51554887474428912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projet'!$B$11,Paramètres!$A$1:$I$89,3,0)*VLOOKUP('Données projet'!$B$11,Paramètres!$A$1:$I$89,5,0)</f>
        <v>-3.1036506698001178E-14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159.92263609041913</v>
      </c>
      <c r="BJ144" s="62">
        <f t="shared" si="146"/>
        <v>271.78119133009307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2.545769506162002</v>
      </c>
      <c r="BQ144" s="23">
        <f>EXP(-LN(2)/25)*BQ143+(1-EXP(-LN(2)/25))/(LN(2)/25)*Calculateur!BL144*Calculateur!BN144*VLOOKUP('Données projet'!$B$11,Paramètres!$A$1:$I$89,3,0)*0.475*44/12</f>
        <v>0.88494364585776653</v>
      </c>
      <c r="BR144" s="23">
        <f>EXP(-LN(2)/2)*BR143+(1-EXP(-LN(2)/2))/(LN(2)/2)*BL144*BO144*VLOOKUP('Données projet'!$B$11,Paramètres!$A$1:$I$89,3,0)*0.475*44/12</f>
        <v>1.5963109292238755E-16</v>
      </c>
      <c r="BS144" s="24">
        <f t="shared" si="117"/>
        <v>3.4307131520197687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1.2710188457276673E-13</v>
      </c>
      <c r="P145" s="14">
        <f t="shared" si="141"/>
        <v>1.856866851063998E-12</v>
      </c>
      <c r="Q145" s="22">
        <f t="shared" si="108"/>
        <v>3.4554122145673649E-12</v>
      </c>
      <c r="R145" s="62">
        <f t="shared" si="109"/>
        <v>293.33333333333678</v>
      </c>
      <c r="S145" s="62">
        <f ca="1">AVERAGE(OFFSET($R$3,0,0,'Données projet'!$E$9+1,1))-AVERAGE(OFFSET($H$3,0,0,'Données projet'!$E$9+1,1))</f>
        <v>210.566504119093</v>
      </c>
      <c r="T145" s="62">
        <f t="shared" si="142"/>
        <v>365.95065044620048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0.9144484732726097</v>
      </c>
      <c r="AA145" s="23">
        <f>EXP(-LN(2)/25)*AA144+(1-EXP(-LN(2)/25))/(LN(2)/25)*Calculateur!V145*Calculateur!X145*VLOOKUP('Données projet'!$B$9,Paramètres!$A$1:$I$89,3,0)*0.475*44/12</f>
        <v>0.19334456457126808</v>
      </c>
      <c r="AB145" s="23">
        <f>EXP(-LN(2)/2)*AB144+(1-EXP(-LN(2)/2))/(LN(2)/2)*V145*Y145*VLOOKUP('Données projet'!$B$9,Paramètres!$A$1:$I$89,3,0)*0.475*44/12</f>
        <v>6.0159336052291597E-17</v>
      </c>
      <c r="AC145" s="24">
        <f t="shared" si="111"/>
        <v>1.1077930378438778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295.01137243247126</v>
      </c>
      <c r="AO145" s="62">
        <f t="shared" si="144"/>
        <v>221.9773436301067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0.39622898308548354</v>
      </c>
      <c r="AV145" s="23">
        <f>EXP(-LN(2)/25)*AV144+(1-EXP(-LN(2)/25))/(LN(2)/25)*Calculateur!AQ145*Calculateur!AS145*VLOOKUP('Données projet'!$B$10,Paramètres!$A$1:$I$89,3,0)*0.475*44/12</f>
        <v>0.10834858107110681</v>
      </c>
      <c r="AW145" s="23">
        <f>EXP(-LN(2)/2)*AW144+(1-EXP(-LN(2)/2))/(LN(2)/2)*AQ145*AT145*VLOOKUP('Données projet'!$B$10,Paramètres!$A$1:$I$89,3,0)*0.475*44/12</f>
        <v>4.7921140125476131E-17</v>
      </c>
      <c r="AX145" s="23">
        <f t="shared" si="114"/>
        <v>0.50457756415659039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projet'!$B$11,Paramètres!$A$1:$I$89,3,0)*VLOOKUP('Données projet'!$B$11,Paramètres!$A$1:$I$89,5,0)</f>
        <v>-3.1036506698001178E-14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159.92263609041913</v>
      </c>
      <c r="BJ145" s="62">
        <f t="shared" si="146"/>
        <v>271.78119133009307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2.4958485189122412</v>
      </c>
      <c r="BQ145" s="23">
        <f>EXP(-LN(2)/25)*BQ144+(1-EXP(-LN(2)/25))/(LN(2)/25)*Calculateur!BL145*Calculateur!BN145*VLOOKUP('Données projet'!$B$11,Paramètres!$A$1:$I$89,3,0)*0.475*44/12</f>
        <v>0.8607448153246221</v>
      </c>
      <c r="BR145" s="23">
        <f>EXP(-LN(2)/2)*BR144+(1-EXP(-LN(2)/2))/(LN(2)/2)*BL145*BO145*VLOOKUP('Données projet'!$B$11,Paramètres!$A$1:$I$89,3,0)*0.475*44/12</f>
        <v>1.1287622829364013E-16</v>
      </c>
      <c r="BS145" s="24">
        <f t="shared" si="117"/>
        <v>3.3565933342368632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1.2710188457276673E-13</v>
      </c>
      <c r="P146" s="14">
        <f t="shared" si="141"/>
        <v>1.856866851063998E-12</v>
      </c>
      <c r="Q146" s="22">
        <f t="shared" si="108"/>
        <v>3.4554122145673649E-12</v>
      </c>
      <c r="R146" s="62">
        <f t="shared" si="109"/>
        <v>293.33333333333678</v>
      </c>
      <c r="S146" s="62">
        <f ca="1">AVERAGE(OFFSET($R$3,0,0,'Données projet'!$E$9+1,1))-AVERAGE(OFFSET($H$3,0,0,'Données projet'!$E$9+1,1))</f>
        <v>210.566504119093</v>
      </c>
      <c r="T146" s="62">
        <f t="shared" si="142"/>
        <v>365.95065044620048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0.89651669647022847</v>
      </c>
      <c r="AA146" s="23">
        <f>EXP(-LN(2)/25)*AA145+(1-EXP(-LN(2)/25))/(LN(2)/25)*Calculateur!V146*Calculateur!X146*VLOOKUP('Données projet'!$B$9,Paramètres!$A$1:$I$89,3,0)*0.475*44/12</f>
        <v>0.18805754728551799</v>
      </c>
      <c r="AB146" s="23">
        <f>EXP(-LN(2)/2)*AB145+(1-EXP(-LN(2)/2))/(LN(2)/2)*V146*Y146*VLOOKUP('Données projet'!$B$9,Paramètres!$A$1:$I$89,3,0)*0.475*44/12</f>
        <v>4.2539074474255734E-17</v>
      </c>
      <c r="AC146" s="24">
        <f t="shared" si="111"/>
        <v>1.0845742437557464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295.01137243247126</v>
      </c>
      <c r="AO146" s="62">
        <f t="shared" si="144"/>
        <v>221.9773436301067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0.38845917440299338</v>
      </c>
      <c r="AV146" s="23">
        <f>EXP(-LN(2)/25)*AV145+(1-EXP(-LN(2)/25))/(LN(2)/25)*Calculateur!AQ146*Calculateur!AS146*VLOOKUP('Données projet'!$B$10,Paramètres!$A$1:$I$89,3,0)*0.475*44/12</f>
        <v>0.10538578342391315</v>
      </c>
      <c r="AW146" s="23">
        <f>EXP(-LN(2)/2)*AW145+(1-EXP(-LN(2)/2))/(LN(2)/2)*AQ146*AT146*VLOOKUP('Données projet'!$B$10,Paramètres!$A$1:$I$89,3,0)*0.475*44/12</f>
        <v>3.3885363144914933E-17</v>
      </c>
      <c r="AX146" s="23">
        <f t="shared" si="114"/>
        <v>0.49384495782690657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projet'!$B$11,Paramètres!$A$1:$I$89,3,0)*VLOOKUP('Données projet'!$B$11,Paramètres!$A$1:$I$89,5,0)</f>
        <v>-3.1036506698001178E-14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159.92263609041913</v>
      </c>
      <c r="BJ146" s="62">
        <f t="shared" si="146"/>
        <v>271.78119133009307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2.4469064517736525</v>
      </c>
      <c r="BQ146" s="23">
        <f>EXP(-LN(2)/25)*BQ145+(1-EXP(-LN(2)/25))/(LN(2)/25)*Calculateur!BL146*Calculateur!BN146*VLOOKUP('Données projet'!$B$11,Paramètres!$A$1:$I$89,3,0)*0.475*44/12</f>
        <v>0.83720770308496772</v>
      </c>
      <c r="BR146" s="23">
        <f>EXP(-LN(2)/2)*BR145+(1-EXP(-LN(2)/2))/(LN(2)/2)*BL146*BO146*VLOOKUP('Données projet'!$B$11,Paramètres!$A$1:$I$89,3,0)*0.475*44/12</f>
        <v>7.9815546461193776E-17</v>
      </c>
      <c r="BS146" s="24">
        <f t="shared" si="117"/>
        <v>3.2841141548586203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1.2710188457276673E-13</v>
      </c>
      <c r="P147" s="14">
        <f t="shared" si="141"/>
        <v>1.856866851063998E-12</v>
      </c>
      <c r="Q147" s="22">
        <f t="shared" si="108"/>
        <v>3.4554122145673649E-12</v>
      </c>
      <c r="R147" s="62">
        <f t="shared" si="109"/>
        <v>293.33333333333678</v>
      </c>
      <c r="S147" s="62">
        <f ca="1">AVERAGE(OFFSET($R$3,0,0,'Données projet'!$E$9+1,1))-AVERAGE(OFFSET($H$3,0,0,'Données projet'!$E$9+1,1))</f>
        <v>210.566504119093</v>
      </c>
      <c r="T147" s="62">
        <f t="shared" si="142"/>
        <v>365.95065044620048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0.87893655087363798</v>
      </c>
      <c r="AA147" s="23">
        <f>EXP(-LN(2)/25)*AA146+(1-EXP(-LN(2)/25))/(LN(2)/25)*Calculateur!V147*Calculateur!X147*VLOOKUP('Données projet'!$B$9,Paramètres!$A$1:$I$89,3,0)*0.475*44/12</f>
        <v>0.1829151037654789</v>
      </c>
      <c r="AB147" s="23">
        <f>EXP(-LN(2)/2)*AB146+(1-EXP(-LN(2)/2))/(LN(2)/2)*V147*Y147*VLOOKUP('Données projet'!$B$9,Paramètres!$A$1:$I$89,3,0)*0.475*44/12</f>
        <v>3.0079668026145798E-17</v>
      </c>
      <c r="AC147" s="24">
        <f t="shared" si="111"/>
        <v>1.0618516546391168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295.01137243247126</v>
      </c>
      <c r="AO147" s="62">
        <f t="shared" si="144"/>
        <v>221.9773436301067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0.38084172692965151</v>
      </c>
      <c r="AV147" s="23">
        <f>EXP(-LN(2)/25)*AV146+(1-EXP(-LN(2)/25))/(LN(2)/25)*Calculateur!AQ147*Calculateur!AS147*VLOOKUP('Données projet'!$B$10,Paramètres!$A$1:$I$89,3,0)*0.475*44/12</f>
        <v>0.10250400363418875</v>
      </c>
      <c r="AW147" s="23">
        <f>EXP(-LN(2)/2)*AW146+(1-EXP(-LN(2)/2))/(LN(2)/2)*AQ147*AT147*VLOOKUP('Données projet'!$B$10,Paramètres!$A$1:$I$89,3,0)*0.475*44/12</f>
        <v>2.3960570062738066E-17</v>
      </c>
      <c r="AX147" s="23">
        <f t="shared" si="114"/>
        <v>0.48334573056384028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projet'!$B$11,Paramètres!$A$1:$I$89,3,0)*VLOOKUP('Données projet'!$B$11,Paramètres!$A$1:$I$89,5,0)</f>
        <v>-3.1036506698001178E-14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159.92263609041913</v>
      </c>
      <c r="BJ147" s="62">
        <f t="shared" si="146"/>
        <v>271.78119133009307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2.398924108719938</v>
      </c>
      <c r="BQ147" s="23">
        <f>EXP(-LN(2)/25)*BQ146+(1-EXP(-LN(2)/25))/(LN(2)/25)*Calculateur!BL147*Calculateur!BN147*VLOOKUP('Données projet'!$B$11,Paramètres!$A$1:$I$89,3,0)*0.475*44/12</f>
        <v>0.81431421441726959</v>
      </c>
      <c r="BR147" s="23">
        <f>EXP(-LN(2)/2)*BR146+(1-EXP(-LN(2)/2))/(LN(2)/2)*BL147*BO147*VLOOKUP('Données projet'!$B$11,Paramètres!$A$1:$I$89,3,0)*0.475*44/12</f>
        <v>5.6438114146820066E-17</v>
      </c>
      <c r="BS147" s="24">
        <f t="shared" si="117"/>
        <v>3.2132383231372077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1.2710188457276673E-13</v>
      </c>
      <c r="P148" s="14">
        <f t="shared" si="141"/>
        <v>1.856866851063998E-12</v>
      </c>
      <c r="Q148" s="22">
        <f t="shared" si="108"/>
        <v>3.4554122145673649E-12</v>
      </c>
      <c r="R148" s="62">
        <f t="shared" si="109"/>
        <v>293.33333333333678</v>
      </c>
      <c r="S148" s="62">
        <f ca="1">AVERAGE(OFFSET($R$3,0,0,'Données projet'!$E$9+1,1))-AVERAGE(OFFSET($H$3,0,0,'Données projet'!$E$9+1,1))</f>
        <v>210.566504119093</v>
      </c>
      <c r="T148" s="62">
        <f t="shared" si="142"/>
        <v>365.95065044620048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0.86170114120936669</v>
      </c>
      <c r="AA148" s="23">
        <f>EXP(-LN(2)/25)*AA147+(1-EXP(-LN(2)/25))/(LN(2)/25)*Calculateur!V148*Calculateur!X148*VLOOKUP('Données projet'!$B$9,Paramètres!$A$1:$I$89,3,0)*0.475*44/12</f>
        <v>0.17791328063392464</v>
      </c>
      <c r="AB148" s="23">
        <f>EXP(-LN(2)/2)*AB147+(1-EXP(-LN(2)/2))/(LN(2)/2)*V148*Y148*VLOOKUP('Données projet'!$B$9,Paramètres!$A$1:$I$89,3,0)*0.475*44/12</f>
        <v>2.1269537237127867E-17</v>
      </c>
      <c r="AC148" s="24">
        <f t="shared" si="111"/>
        <v>1.0396144218432912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295.01137243247126</v>
      </c>
      <c r="AO148" s="62">
        <f t="shared" si="144"/>
        <v>221.9773436301067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0.37337365295507768</v>
      </c>
      <c r="AV148" s="23">
        <f>EXP(-LN(2)/25)*AV147+(1-EXP(-LN(2)/25))/(LN(2)/25)*Calculateur!AQ148*Calculateur!AS148*VLOOKUP('Données projet'!$B$10,Paramètres!$A$1:$I$89,3,0)*0.475*44/12</f>
        <v>9.9701026264360587E-2</v>
      </c>
      <c r="AW148" s="23">
        <f>EXP(-LN(2)/2)*AW147+(1-EXP(-LN(2)/2))/(LN(2)/2)*AQ148*AT148*VLOOKUP('Données projet'!$B$10,Paramètres!$A$1:$I$89,3,0)*0.475*44/12</f>
        <v>1.6942681572457466E-17</v>
      </c>
      <c r="AX148" s="23">
        <f t="shared" si="114"/>
        <v>0.47307467921943824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projet'!$B$11,Paramètres!$A$1:$I$89,3,0)*VLOOKUP('Données projet'!$B$11,Paramètres!$A$1:$I$89,5,0)</f>
        <v>-3.1036506698001178E-14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159.92263609041913</v>
      </c>
      <c r="BJ148" s="62">
        <f t="shared" si="146"/>
        <v>271.78119133009307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2.3518826701471673</v>
      </c>
      <c r="BQ148" s="23">
        <f>EXP(-LN(2)/25)*BQ147+(1-EXP(-LN(2)/25))/(LN(2)/25)*Calculateur!BL148*Calculateur!BN148*VLOOKUP('Données projet'!$B$11,Paramètres!$A$1:$I$89,3,0)*0.475*44/12</f>
        <v>0.79204674940110598</v>
      </c>
      <c r="BR148" s="23">
        <f>EXP(-LN(2)/2)*BR147+(1-EXP(-LN(2)/2))/(LN(2)/2)*BL148*BO148*VLOOKUP('Données projet'!$B$11,Paramètres!$A$1:$I$89,3,0)*0.475*44/12</f>
        <v>3.9907773230596888E-17</v>
      </c>
      <c r="BS148" s="24">
        <f t="shared" si="117"/>
        <v>3.1439294195482734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1.2710188457276673E-13</v>
      </c>
      <c r="P149" s="14">
        <f t="shared" si="141"/>
        <v>1.856866851063998E-12</v>
      </c>
      <c r="Q149" s="22">
        <f t="shared" si="108"/>
        <v>3.4554122145673649E-12</v>
      </c>
      <c r="R149" s="62">
        <f t="shared" si="109"/>
        <v>293.33333333333678</v>
      </c>
      <c r="S149" s="62">
        <f ca="1">AVERAGE(OFFSET($R$3,0,0,'Données projet'!$E$9+1,1))-AVERAGE(OFFSET($H$3,0,0,'Données projet'!$E$9+1,1))</f>
        <v>210.566504119093</v>
      </c>
      <c r="T149" s="62">
        <f t="shared" si="142"/>
        <v>365.95065044620048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0.84480370741604982</v>
      </c>
      <c r="AA149" s="23">
        <f>EXP(-LN(2)/25)*AA148+(1-EXP(-LN(2)/25))/(LN(2)/25)*Calculateur!V149*Calculateur!X149*VLOOKUP('Données projet'!$B$9,Paramètres!$A$1:$I$89,3,0)*0.475*44/12</f>
        <v>0.17304823261893718</v>
      </c>
      <c r="AB149" s="23">
        <f>EXP(-LN(2)/2)*AB148+(1-EXP(-LN(2)/2))/(LN(2)/2)*V149*Y149*VLOOKUP('Données projet'!$B$9,Paramètres!$A$1:$I$89,3,0)*0.475*44/12</f>
        <v>1.5039834013072899E-17</v>
      </c>
      <c r="AC149" s="24">
        <f t="shared" si="111"/>
        <v>1.017851940034987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295.01137243247126</v>
      </c>
      <c r="AO149" s="62">
        <f t="shared" si="144"/>
        <v>221.9773436301067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0.3660520233560699</v>
      </c>
      <c r="AV149" s="23">
        <f>EXP(-LN(2)/25)*AV148+(1-EXP(-LN(2)/25))/(LN(2)/25)*Calculateur!AQ149*Calculateur!AS149*VLOOKUP('Données projet'!$B$10,Paramètres!$A$1:$I$89,3,0)*0.475*44/12</f>
        <v>9.6974696458112547E-2</v>
      </c>
      <c r="AW149" s="23">
        <f>EXP(-LN(2)/2)*AW148+(1-EXP(-LN(2)/2))/(LN(2)/2)*AQ149*AT149*VLOOKUP('Données projet'!$B$10,Paramètres!$A$1:$I$89,3,0)*0.475*44/12</f>
        <v>1.1980285031369033E-17</v>
      </c>
      <c r="AX149" s="23">
        <f t="shared" si="114"/>
        <v>0.46302671981418242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projet'!$B$11,Paramètres!$A$1:$I$89,3,0)*VLOOKUP('Données projet'!$B$11,Paramètres!$A$1:$I$89,5,0)</f>
        <v>-3.1036506698001178E-14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159.92263609041913</v>
      </c>
      <c r="BJ149" s="62">
        <f t="shared" si="146"/>
        <v>271.78119133009307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2.3057636854923644</v>
      </c>
      <c r="BQ149" s="23">
        <f>EXP(-LN(2)/25)*BQ148+(1-EXP(-LN(2)/25))/(LN(2)/25)*Calculateur!BL149*Calculateur!BN149*VLOOKUP('Données projet'!$B$11,Paramètres!$A$1:$I$89,3,0)*0.475*44/12</f>
        <v>0.77038818938680442</v>
      </c>
      <c r="BR149" s="23">
        <f>EXP(-LN(2)/2)*BR148+(1-EXP(-LN(2)/2))/(LN(2)/2)*BL149*BO149*VLOOKUP('Données projet'!$B$11,Paramètres!$A$1:$I$89,3,0)*0.475*44/12</f>
        <v>2.8219057073410033E-17</v>
      </c>
      <c r="BS149" s="24">
        <f t="shared" si="117"/>
        <v>3.076151874879169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1.2710188457276673E-13</v>
      </c>
      <c r="P150" s="14">
        <f t="shared" si="141"/>
        <v>1.856866851063998E-12</v>
      </c>
      <c r="Q150" s="22">
        <f t="shared" si="108"/>
        <v>3.4554122145673649E-12</v>
      </c>
      <c r="R150" s="62">
        <f t="shared" si="109"/>
        <v>293.33333333333678</v>
      </c>
      <c r="S150" s="62">
        <f ca="1">AVERAGE(OFFSET($R$3,0,0,'Données projet'!$E$9+1,1))-AVERAGE(OFFSET($H$3,0,0,'Données projet'!$E$9+1,1))</f>
        <v>210.566504119093</v>
      </c>
      <c r="T150" s="62">
        <f t="shared" si="142"/>
        <v>365.95065044620048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0.82823762199300299</v>
      </c>
      <c r="AA150" s="23">
        <f>EXP(-LN(2)/25)*AA149+(1-EXP(-LN(2)/25))/(LN(2)/25)*Calculateur!V150*Calculateur!X150*VLOOKUP('Données projet'!$B$9,Paramètres!$A$1:$I$89,3,0)*0.475*44/12</f>
        <v>0.1683162195977613</v>
      </c>
      <c r="AB150" s="23">
        <f>EXP(-LN(2)/2)*AB149+(1-EXP(-LN(2)/2))/(LN(2)/2)*V150*Y150*VLOOKUP('Données projet'!$B$9,Paramètres!$A$1:$I$89,3,0)*0.475*44/12</f>
        <v>1.0634768618563933E-17</v>
      </c>
      <c r="AC150" s="24">
        <f t="shared" si="111"/>
        <v>0.99655384159076432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295.01137243247126</v>
      </c>
      <c r="AO150" s="62">
        <f t="shared" si="144"/>
        <v>221.9773436301067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0.35887396644774555</v>
      </c>
      <c r="AV150" s="23">
        <f>EXP(-LN(2)/25)*AV149+(1-EXP(-LN(2)/25))/(LN(2)/25)*Calculateur!AQ150*Calculateur!AS150*VLOOKUP('Données projet'!$B$10,Paramètres!$A$1:$I$89,3,0)*0.475*44/12</f>
        <v>9.4322918283787818E-2</v>
      </c>
      <c r="AW150" s="23">
        <f>EXP(-LN(2)/2)*AW149+(1-EXP(-LN(2)/2))/(LN(2)/2)*AQ150*AT150*VLOOKUP('Données projet'!$B$10,Paramètres!$A$1:$I$89,3,0)*0.475*44/12</f>
        <v>8.4713407862287332E-18</v>
      </c>
      <c r="AX150" s="23">
        <f t="shared" si="114"/>
        <v>0.45319688473153336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projet'!$B$11,Paramètres!$A$1:$I$89,3,0)*VLOOKUP('Données projet'!$B$11,Paramètres!$A$1:$I$89,5,0)</f>
        <v>-3.1036506698001178E-14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159.92263609041913</v>
      </c>
      <c r="BJ150" s="62">
        <f t="shared" si="146"/>
        <v>271.78119133009307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2.2605490659968392</v>
      </c>
      <c r="BQ150" s="23">
        <f>EXP(-LN(2)/25)*BQ149+(1-EXP(-LN(2)/25))/(LN(2)/25)*Calculateur!BL150*Calculateur!BN150*VLOOKUP('Données projet'!$B$11,Paramètres!$A$1:$I$89,3,0)*0.475*44/12</f>
        <v>0.74932188383506815</v>
      </c>
      <c r="BR150" s="23">
        <f>EXP(-LN(2)/2)*BR149+(1-EXP(-LN(2)/2))/(LN(2)/2)*BL150*BO150*VLOOKUP('Données projet'!$B$11,Paramètres!$A$1:$I$89,3,0)*0.475*44/12</f>
        <v>1.9953886615298444E-17</v>
      </c>
      <c r="BS150" s="24">
        <f t="shared" si="117"/>
        <v>3.0098709498319076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1.2710188457276673E-13</v>
      </c>
      <c r="P151" s="14">
        <f t="shared" si="141"/>
        <v>1.856866851063998E-12</v>
      </c>
      <c r="Q151" s="22">
        <f t="shared" si="108"/>
        <v>3.4554122145673649E-12</v>
      </c>
      <c r="R151" s="62">
        <f t="shared" si="109"/>
        <v>293.33333333333678</v>
      </c>
      <c r="S151" s="62">
        <f ca="1">AVERAGE(OFFSET($R$3,0,0,'Données projet'!$E$9+1,1))-AVERAGE(OFFSET($H$3,0,0,'Données projet'!$E$9+1,1))</f>
        <v>210.566504119093</v>
      </c>
      <c r="T151" s="62">
        <f t="shared" si="142"/>
        <v>365.95065044620048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0.81199638740078772</v>
      </c>
      <c r="AA151" s="23">
        <f>EXP(-LN(2)/25)*AA150+(1-EXP(-LN(2)/25))/(LN(2)/25)*Calculateur!V151*Calculateur!X151*VLOOKUP('Données projet'!$B$9,Paramètres!$A$1:$I$89,3,0)*0.475*44/12</f>
        <v>0.16371360372149521</v>
      </c>
      <c r="AB151" s="23">
        <f>EXP(-LN(2)/2)*AB150+(1-EXP(-LN(2)/2))/(LN(2)/2)*V151*Y151*VLOOKUP('Données projet'!$B$9,Paramètres!$A$1:$I$89,3,0)*0.475*44/12</f>
        <v>7.5199170065364496E-18</v>
      </c>
      <c r="AC151" s="24">
        <f t="shared" si="111"/>
        <v>0.97570999112228296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295.01137243247126</v>
      </c>
      <c r="AO151" s="62">
        <f t="shared" si="144"/>
        <v>221.9773436301067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0.35183666685721104</v>
      </c>
      <c r="AV151" s="23">
        <f>EXP(-LN(2)/25)*AV150+(1-EXP(-LN(2)/25))/(LN(2)/25)*Calculateur!AQ151*Calculateur!AS151*VLOOKUP('Données projet'!$B$10,Paramètres!$A$1:$I$89,3,0)*0.475*44/12</f>
        <v>9.1743653123090949E-2</v>
      </c>
      <c r="AW151" s="23">
        <f>EXP(-LN(2)/2)*AW150+(1-EXP(-LN(2)/2))/(LN(2)/2)*AQ151*AT151*VLOOKUP('Données projet'!$B$10,Paramètres!$A$1:$I$89,3,0)*0.475*44/12</f>
        <v>5.9901425156845164E-18</v>
      </c>
      <c r="AX151" s="23">
        <f t="shared" si="114"/>
        <v>0.44358031998030201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projet'!$B$11,Paramètres!$A$1:$I$89,3,0)*VLOOKUP('Données projet'!$B$11,Paramètres!$A$1:$I$89,5,0)</f>
        <v>-3.1036506698001178E-14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159.92263609041913</v>
      </c>
      <c r="BJ151" s="62">
        <f t="shared" si="146"/>
        <v>271.78119133009307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2.2162210776114266</v>
      </c>
      <c r="BQ151" s="23">
        <f>EXP(-LN(2)/25)*BQ150+(1-EXP(-LN(2)/25))/(LN(2)/25)*Calculateur!BL151*Calculateur!BN151*VLOOKUP('Données projet'!$B$11,Paramètres!$A$1:$I$89,3,0)*0.475*44/12</f>
        <v>0.72883163751647295</v>
      </c>
      <c r="BR151" s="23">
        <f>EXP(-LN(2)/2)*BR150+(1-EXP(-LN(2)/2))/(LN(2)/2)*BL151*BO151*VLOOKUP('Données projet'!$B$11,Paramètres!$A$1:$I$89,3,0)*0.475*44/12</f>
        <v>1.4109528536705016E-17</v>
      </c>
      <c r="BS151" s="24">
        <f t="shared" si="117"/>
        <v>2.9450527151278996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1.2710188457276673E-13</v>
      </c>
      <c r="P152" s="14">
        <f t="shared" si="141"/>
        <v>1.856866851063998E-12</v>
      </c>
      <c r="Q152" s="22">
        <f t="shared" si="108"/>
        <v>3.4554122145673649E-12</v>
      </c>
      <c r="R152" s="62">
        <f t="shared" si="109"/>
        <v>293.33333333333678</v>
      </c>
      <c r="S152" s="62">
        <f ca="1">AVERAGE(OFFSET($R$3,0,0,'Données projet'!$E$9+1,1))-AVERAGE(OFFSET($H$3,0,0,'Données projet'!$E$9+1,1))</f>
        <v>210.566504119093</v>
      </c>
      <c r="T152" s="62">
        <f t="shared" si="142"/>
        <v>365.95065044620048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0.79607363351275084</v>
      </c>
      <c r="AA152" s="23">
        <f>EXP(-LN(2)/25)*AA151+(1-EXP(-LN(2)/25))/(LN(2)/25)*Calculateur!V152*Calculateur!X152*VLOOKUP('Données projet'!$B$9,Paramètres!$A$1:$I$89,3,0)*0.475*44/12</f>
        <v>0.15923684661840667</v>
      </c>
      <c r="AB152" s="23">
        <f>EXP(-LN(2)/2)*AB151+(1-EXP(-LN(2)/2))/(LN(2)/2)*V152*Y152*VLOOKUP('Données projet'!$B$9,Paramètres!$A$1:$I$89,3,0)*0.475*44/12</f>
        <v>5.3173843092819667E-18</v>
      </c>
      <c r="AC152" s="24">
        <f t="shared" si="111"/>
        <v>0.95531048013115749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295.01137243247126</v>
      </c>
      <c r="AO152" s="62">
        <f t="shared" si="144"/>
        <v>221.9773436301067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0.34493736441931799</v>
      </c>
      <c r="AV152" s="23">
        <f>EXP(-LN(2)/25)*AV151+(1-EXP(-LN(2)/25))/(LN(2)/25)*Calculateur!AQ152*Calculateur!AS152*VLOOKUP('Données projet'!$B$10,Paramètres!$A$1:$I$89,3,0)*0.475*44/12</f>
        <v>8.9234918103850994E-2</v>
      </c>
      <c r="AW152" s="23">
        <f>EXP(-LN(2)/2)*AW151+(1-EXP(-LN(2)/2))/(LN(2)/2)*AQ152*AT152*VLOOKUP('Données projet'!$B$10,Paramètres!$A$1:$I$89,3,0)*0.475*44/12</f>
        <v>4.2356703931143666E-18</v>
      </c>
      <c r="AX152" s="23">
        <f t="shared" si="114"/>
        <v>0.43417228252316897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projet'!$B$11,Paramètres!$A$1:$I$89,3,0)*VLOOKUP('Données projet'!$B$11,Paramètres!$A$1:$I$89,5,0)</f>
        <v>-3.1036506698001178E-14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159.92263609041913</v>
      </c>
      <c r="BJ152" s="62">
        <f t="shared" si="146"/>
        <v>271.78119133009307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2.1727623340408484</v>
      </c>
      <c r="BQ152" s="23">
        <f>EXP(-LN(2)/25)*BQ151+(1-EXP(-LN(2)/25))/(LN(2)/25)*Calculateur!BL152*Calculateur!BN152*VLOOKUP('Données projet'!$B$11,Paramètres!$A$1:$I$89,3,0)*0.475*44/12</f>
        <v>0.7089016980609949</v>
      </c>
      <c r="BR152" s="23">
        <f>EXP(-LN(2)/2)*BR151+(1-EXP(-LN(2)/2))/(LN(2)/2)*BL152*BO152*VLOOKUP('Données projet'!$B$11,Paramètres!$A$1:$I$89,3,0)*0.475*44/12</f>
        <v>9.9769433076492221E-18</v>
      </c>
      <c r="BS152" s="24">
        <f t="shared" si="117"/>
        <v>2.8816640321018432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1.2710188457276673E-13</v>
      </c>
      <c r="P153" s="14">
        <f t="shared" si="141"/>
        <v>1.856866851063998E-12</v>
      </c>
      <c r="Q153" s="22">
        <f t="shared" si="108"/>
        <v>3.4554122145673649E-12</v>
      </c>
      <c r="R153" s="62">
        <f t="shared" si="109"/>
        <v>293.33333333333678</v>
      </c>
      <c r="S153" s="62">
        <f ca="1">AVERAGE(OFFSET($R$3,0,0,'Données projet'!$E$9+1,1))-AVERAGE(OFFSET($H$3,0,0,'Données projet'!$E$9+1,1))</f>
        <v>210.566504119093</v>
      </c>
      <c r="T153" s="62">
        <f t="shared" si="142"/>
        <v>365.95065044620048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0.78046311511653743</v>
      </c>
      <c r="AA153" s="23">
        <f>EXP(-LN(2)/25)*AA152+(1-EXP(-LN(2)/25))/(LN(2)/25)*Calculateur!V153*Calculateur!X153*VLOOKUP('Données projet'!$B$9,Paramètres!$A$1:$I$89,3,0)*0.475*44/12</f>
        <v>0.15488250667372452</v>
      </c>
      <c r="AB153" s="23">
        <f>EXP(-LN(2)/2)*AB152+(1-EXP(-LN(2)/2))/(LN(2)/2)*V153*Y153*VLOOKUP('Données projet'!$B$9,Paramètres!$A$1:$I$89,3,0)*0.475*44/12</f>
        <v>3.7599585032682248E-18</v>
      </c>
      <c r="AC153" s="24">
        <f t="shared" si="111"/>
        <v>0.93534562179026193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295.01137243247126</v>
      </c>
      <c r="AO153" s="62">
        <f t="shared" si="144"/>
        <v>221.9773436301067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0.33817335309407309</v>
      </c>
      <c r="AV153" s="23">
        <f>EXP(-LN(2)/25)*AV152+(1-EXP(-LN(2)/25))/(LN(2)/25)*Calculateur!AQ153*Calculateur!AS153*VLOOKUP('Données projet'!$B$10,Paramètres!$A$1:$I$89,3,0)*0.475*44/12</f>
        <v>8.6794784575640799E-2</v>
      </c>
      <c r="AW153" s="23">
        <f>EXP(-LN(2)/2)*AW152+(1-EXP(-LN(2)/2))/(LN(2)/2)*AQ153*AT153*VLOOKUP('Données projet'!$B$10,Paramètres!$A$1:$I$89,3,0)*0.475*44/12</f>
        <v>2.9950712578422582E-18</v>
      </c>
      <c r="AX153" s="23">
        <f t="shared" si="114"/>
        <v>0.42496813766971386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projet'!$B$11,Paramètres!$A$1:$I$89,3,0)*VLOOKUP('Données projet'!$B$11,Paramètres!$A$1:$I$89,5,0)</f>
        <v>-3.1036506698001178E-14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159.92263609041913</v>
      </c>
      <c r="BJ153" s="62">
        <f t="shared" si="146"/>
        <v>271.78119133009307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2.1301557899244732</v>
      </c>
      <c r="BQ153" s="23">
        <f>EXP(-LN(2)/25)*BQ152+(1-EXP(-LN(2)/25))/(LN(2)/25)*Calculateur!BL153*Calculateur!BN153*VLOOKUP('Données projet'!$B$11,Paramètres!$A$1:$I$89,3,0)*0.475*44/12</f>
        <v>0.68951674384799688</v>
      </c>
      <c r="BR153" s="23">
        <f>EXP(-LN(2)/2)*BR152+(1-EXP(-LN(2)/2))/(LN(2)/2)*BL153*BO153*VLOOKUP('Données projet'!$B$11,Paramètres!$A$1:$I$89,3,0)*0.475*44/12</f>
        <v>7.0547642683525082E-18</v>
      </c>
      <c r="BS153" s="24">
        <f t="shared" si="117"/>
        <v>2.81967253377247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1.2710188457276673E-13</v>
      </c>
      <c r="P154" s="14">
        <f t="shared" si="141"/>
        <v>1.856866851063998E-12</v>
      </c>
      <c r="Q154" s="22">
        <f t="shared" ref="Q154:Q203" si="162">(O154+P154)*0.475*44/12</f>
        <v>3.4554122145673649E-12</v>
      </c>
      <c r="R154" s="62">
        <f t="shared" si="109"/>
        <v>293.33333333333678</v>
      </c>
      <c r="S154" s="62">
        <f ca="1">AVERAGE(OFFSET($R$3,0,0,'Données projet'!$E$9+1,1))-AVERAGE(OFFSET($H$3,0,0,'Données projet'!$E$9+1,1))</f>
        <v>210.566504119093</v>
      </c>
      <c r="T154" s="62">
        <f t="shared" si="142"/>
        <v>365.95065044620048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0.76515870946459774</v>
      </c>
      <c r="AA154" s="23">
        <f>EXP(-LN(2)/25)*AA153+(1-EXP(-LN(2)/25))/(LN(2)/25)*Calculateur!V154*Calculateur!X154*VLOOKUP('Données projet'!$B$9,Paramètres!$A$1:$I$89,3,0)*0.475*44/12</f>
        <v>0.1506472363838145</v>
      </c>
      <c r="AB154" s="23">
        <f>EXP(-LN(2)/2)*AB153+(1-EXP(-LN(2)/2))/(LN(2)/2)*V154*Y154*VLOOKUP('Données projet'!$B$9,Paramètres!$A$1:$I$89,3,0)*0.475*44/12</f>
        <v>2.6586921546409834E-18</v>
      </c>
      <c r="AC154" s="24">
        <f t="shared" ref="AC154:AC203" si="163">SUM(Z154:AB154)</f>
        <v>0.91580594584841224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295.01137243247126</v>
      </c>
      <c r="AO154" s="62">
        <f t="shared" si="144"/>
        <v>221.9773436301067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0.33154197990527667</v>
      </c>
      <c r="AV154" s="23">
        <f>EXP(-LN(2)/25)*AV153+(1-EXP(-LN(2)/25))/(LN(2)/25)*Calculateur!AQ154*Calculateur!AS154*VLOOKUP('Données projet'!$B$10,Paramètres!$A$1:$I$89,3,0)*0.475*44/12</f>
        <v>8.4421376627080547E-2</v>
      </c>
      <c r="AW154" s="23">
        <f>EXP(-LN(2)/2)*AW153+(1-EXP(-LN(2)/2))/(LN(2)/2)*AQ154*AT154*VLOOKUP('Données projet'!$B$10,Paramètres!$A$1:$I$89,3,0)*0.475*44/12</f>
        <v>2.1178351965571833E-18</v>
      </c>
      <c r="AX154" s="23">
        <f t="shared" ref="AX154:AX203" si="166">SUM(AU154:AW154)</f>
        <v>0.41596335653235722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projet'!$B$11,Paramètres!$A$1:$I$89,3,0)*VLOOKUP('Données projet'!$B$11,Paramètres!$A$1:$I$89,5,0)</f>
        <v>-3.1036506698001178E-14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159.92263609041913</v>
      </c>
      <c r="BJ154" s="62">
        <f t="shared" si="146"/>
        <v>271.78119133009307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2.0883847341507944</v>
      </c>
      <c r="BQ154" s="23">
        <f>EXP(-LN(2)/25)*BQ153+(1-EXP(-LN(2)/25))/(LN(2)/25)*Calculateur!BL154*Calculateur!BN154*VLOOKUP('Données projet'!$B$11,Paramètres!$A$1:$I$89,3,0)*0.475*44/12</f>
        <v>0.67066187222736373</v>
      </c>
      <c r="BR154" s="23">
        <f>EXP(-LN(2)/2)*BR153+(1-EXP(-LN(2)/2))/(LN(2)/2)*BL154*BO154*VLOOKUP('Données projet'!$B$11,Paramètres!$A$1:$I$89,3,0)*0.475*44/12</f>
        <v>4.988471653824611E-18</v>
      </c>
      <c r="BS154" s="24">
        <f t="shared" ref="BS154:BS203" si="169">SUM(BP154:BR154)</f>
        <v>2.759046606378158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1.2710188457276673E-13</v>
      </c>
      <c r="P155" s="14">
        <f t="shared" si="141"/>
        <v>1.856866851063998E-12</v>
      </c>
      <c r="Q155" s="22">
        <f t="shared" si="162"/>
        <v>3.4554122145673649E-12</v>
      </c>
      <c r="R155" s="62">
        <f t="shared" si="109"/>
        <v>293.33333333333678</v>
      </c>
      <c r="S155" s="62">
        <f ca="1">AVERAGE(OFFSET($R$3,0,0,'Données projet'!$E$9+1,1))-AVERAGE(OFFSET($H$3,0,0,'Données projet'!$E$9+1,1))</f>
        <v>210.566504119093</v>
      </c>
      <c r="T155" s="62">
        <f t="shared" si="142"/>
        <v>365.95065044620048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0.75015441387272686</v>
      </c>
      <c r="AA155" s="23">
        <f>EXP(-LN(2)/25)*AA154+(1-EXP(-LN(2)/25))/(LN(2)/25)*Calculateur!V155*Calculateur!X155*VLOOKUP('Données projet'!$B$9,Paramètres!$A$1:$I$89,3,0)*0.475*44/12</f>
        <v>0.14652777978270523</v>
      </c>
      <c r="AB155" s="23">
        <f>EXP(-LN(2)/2)*AB154+(1-EXP(-LN(2)/2))/(LN(2)/2)*V155*Y155*VLOOKUP('Données projet'!$B$9,Paramètres!$A$1:$I$89,3,0)*0.475*44/12</f>
        <v>1.8799792516341124E-18</v>
      </c>
      <c r="AC155" s="24">
        <f t="shared" si="163"/>
        <v>0.89668219365543211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295.01137243247126</v>
      </c>
      <c r="AO155" s="62">
        <f t="shared" si="144"/>
        <v>221.9773436301067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0.32504064389997434</v>
      </c>
      <c r="AV155" s="23">
        <f>EXP(-LN(2)/25)*AV154+(1-EXP(-LN(2)/25))/(LN(2)/25)*Calculateur!AQ155*Calculateur!AS155*VLOOKUP('Données projet'!$B$10,Paramètres!$A$1:$I$89,3,0)*0.475*44/12</f>
        <v>8.2112869643685776E-2</v>
      </c>
      <c r="AW155" s="23">
        <f>EXP(-LN(2)/2)*AW154+(1-EXP(-LN(2)/2))/(LN(2)/2)*AQ155*AT155*VLOOKUP('Données projet'!$B$10,Paramètres!$A$1:$I$89,3,0)*0.475*44/12</f>
        <v>1.4975356289211291E-18</v>
      </c>
      <c r="AX155" s="23">
        <f t="shared" si="166"/>
        <v>0.40715351354366014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projet'!$B$11,Paramètres!$A$1:$I$89,3,0)*VLOOKUP('Données projet'!$B$11,Paramètres!$A$1:$I$89,5,0)</f>
        <v>-3.1036506698001178E-14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159.92263609041913</v>
      </c>
      <c r="BJ155" s="62">
        <f t="shared" si="146"/>
        <v>271.78119133009307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2.0474327833030088</v>
      </c>
      <c r="BQ155" s="23">
        <f>EXP(-LN(2)/25)*BQ154+(1-EXP(-LN(2)/25))/(LN(2)/25)*Calculateur!BL155*Calculateur!BN155*VLOOKUP('Données projet'!$B$11,Paramètres!$A$1:$I$89,3,0)*0.475*44/12</f>
        <v>0.65232258806273147</v>
      </c>
      <c r="BR155" s="23">
        <f>EXP(-LN(2)/2)*BR154+(1-EXP(-LN(2)/2))/(LN(2)/2)*BL155*BO155*VLOOKUP('Données projet'!$B$11,Paramètres!$A$1:$I$89,3,0)*0.475*44/12</f>
        <v>3.5273821341762541E-18</v>
      </c>
      <c r="BS155" s="24">
        <f t="shared" si="169"/>
        <v>2.6997553713657405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1.2710188457276673E-13</v>
      </c>
      <c r="P156" s="14">
        <f t="shared" si="141"/>
        <v>1.856866851063998E-12</v>
      </c>
      <c r="Q156" s="22">
        <f t="shared" si="162"/>
        <v>3.4554122145673649E-12</v>
      </c>
      <c r="R156" s="62">
        <f t="shared" si="109"/>
        <v>293.33333333333678</v>
      </c>
      <c r="S156" s="62">
        <f ca="1">AVERAGE(OFFSET($R$3,0,0,'Données projet'!$E$9+1,1))-AVERAGE(OFFSET($H$3,0,0,'Données projet'!$E$9+1,1))</f>
        <v>210.566504119093</v>
      </c>
      <c r="T156" s="62">
        <f t="shared" si="142"/>
        <v>365.95065044620048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0.73544434336569597</v>
      </c>
      <c r="AA156" s="23">
        <f>EXP(-LN(2)/25)*AA155+(1-EXP(-LN(2)/25))/(LN(2)/25)*Calculateur!V156*Calculateur!X156*VLOOKUP('Données projet'!$B$9,Paramètres!$A$1:$I$89,3,0)*0.475*44/12</f>
        <v>0.14252096993898611</v>
      </c>
      <c r="AB156" s="23">
        <f>EXP(-LN(2)/2)*AB155+(1-EXP(-LN(2)/2))/(LN(2)/2)*V156*Y156*VLOOKUP('Données projet'!$B$9,Paramètres!$A$1:$I$89,3,0)*0.475*44/12</f>
        <v>1.3293460773204917E-18</v>
      </c>
      <c r="AC156" s="24">
        <f t="shared" si="163"/>
        <v>0.87796531330468208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295.01137243247126</v>
      </c>
      <c r="AO156" s="62">
        <f t="shared" si="144"/>
        <v>221.9773436301067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0.31866679512831253</v>
      </c>
      <c r="AV156" s="23">
        <f>EXP(-LN(2)/25)*AV155+(1-EXP(-LN(2)/25))/(LN(2)/25)*Calculateur!AQ156*Calculateur!AS156*VLOOKUP('Données projet'!$B$10,Paramètres!$A$1:$I$89,3,0)*0.475*44/12</f>
        <v>7.9867488905151052E-2</v>
      </c>
      <c r="AW156" s="23">
        <f>EXP(-LN(2)/2)*AW155+(1-EXP(-LN(2)/2))/(LN(2)/2)*AQ156*AT156*VLOOKUP('Données projet'!$B$10,Paramètres!$A$1:$I$89,3,0)*0.475*44/12</f>
        <v>1.0589175982785916E-18</v>
      </c>
      <c r="AX156" s="23">
        <f t="shared" si="166"/>
        <v>0.39853428403346358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projet'!$B$11,Paramètres!$A$1:$I$89,3,0)*VLOOKUP('Données projet'!$B$11,Paramètres!$A$1:$I$89,5,0)</f>
        <v>-3.1036506698001178E-14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159.92263609041913</v>
      </c>
      <c r="BJ156" s="62">
        <f t="shared" si="146"/>
        <v>271.78119133009307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2.0072838752331248</v>
      </c>
      <c r="BQ156" s="23">
        <f>EXP(-LN(2)/25)*BQ155+(1-EXP(-LN(2)/25))/(LN(2)/25)*Calculateur!BL156*Calculateur!BN156*VLOOKUP('Données projet'!$B$11,Paramètres!$A$1:$I$89,3,0)*0.475*44/12</f>
        <v>0.63448479258800206</v>
      </c>
      <c r="BR156" s="23">
        <f>EXP(-LN(2)/2)*BR155+(1-EXP(-LN(2)/2))/(LN(2)/2)*BL156*BO156*VLOOKUP('Données projet'!$B$11,Paramètres!$A$1:$I$89,3,0)*0.475*44/12</f>
        <v>2.4942358269123055E-18</v>
      </c>
      <c r="BS156" s="24">
        <f t="shared" si="169"/>
        <v>2.6417686678211267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1.2710188457276673E-13</v>
      </c>
      <c r="P157" s="14">
        <f t="shared" si="141"/>
        <v>1.856866851063998E-12</v>
      </c>
      <c r="Q157" s="22">
        <f t="shared" si="162"/>
        <v>3.4554122145673649E-12</v>
      </c>
      <c r="R157" s="62">
        <f t="shared" si="109"/>
        <v>293.33333333333678</v>
      </c>
      <c r="S157" s="62">
        <f ca="1">AVERAGE(OFFSET($R$3,0,0,'Données projet'!$E$9+1,1))-AVERAGE(OFFSET($H$3,0,0,'Données projet'!$E$9+1,1))</f>
        <v>210.566504119093</v>
      </c>
      <c r="T157" s="62">
        <f t="shared" si="142"/>
        <v>365.95065044620048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0.7210227283690509</v>
      </c>
      <c r="AA157" s="23">
        <f>EXP(-LN(2)/25)*AA156+(1-EXP(-LN(2)/25))/(LN(2)/25)*Calculateur!V157*Calculateur!X157*VLOOKUP('Données projet'!$B$9,Paramètres!$A$1:$I$89,3,0)*0.475*44/12</f>
        <v>0.13862372652115246</v>
      </c>
      <c r="AB157" s="23">
        <f>EXP(-LN(2)/2)*AB156+(1-EXP(-LN(2)/2))/(LN(2)/2)*V157*Y157*VLOOKUP('Données projet'!$B$9,Paramètres!$A$1:$I$89,3,0)*0.475*44/12</f>
        <v>9.399896258170562E-19</v>
      </c>
      <c r="AC157" s="24">
        <f t="shared" si="163"/>
        <v>0.85964645489020342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295.01137243247126</v>
      </c>
      <c r="AO157" s="62">
        <f t="shared" si="144"/>
        <v>221.9773436301067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0.31241793364339915</v>
      </c>
      <c r="AV157" s="23">
        <f>EXP(-LN(2)/25)*AV156+(1-EXP(-LN(2)/25))/(LN(2)/25)*Calculateur!AQ157*Calculateur!AS157*VLOOKUP('Données projet'!$B$10,Paramètres!$A$1:$I$89,3,0)*0.475*44/12</f>
        <v>7.7683508220990988E-2</v>
      </c>
      <c r="AW157" s="23">
        <f>EXP(-LN(2)/2)*AW156+(1-EXP(-LN(2)/2))/(LN(2)/2)*AQ157*AT157*VLOOKUP('Données projet'!$B$10,Paramètres!$A$1:$I$89,3,0)*0.475*44/12</f>
        <v>7.4876781446056455E-19</v>
      </c>
      <c r="AX157" s="23">
        <f t="shared" si="166"/>
        <v>0.39010144186439011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projet'!$B$11,Paramètres!$A$1:$I$89,3,0)*VLOOKUP('Données projet'!$B$11,Paramètres!$A$1:$I$89,5,0)</f>
        <v>-3.1036506698001178E-14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159.92263609041913</v>
      </c>
      <c r="BJ157" s="62">
        <f t="shared" si="146"/>
        <v>271.78119133009307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1.9679222627620754</v>
      </c>
      <c r="BQ157" s="23">
        <f>EXP(-LN(2)/25)*BQ156+(1-EXP(-LN(2)/25))/(LN(2)/25)*Calculateur!BL157*Calculateur!BN157*VLOOKUP('Données projet'!$B$11,Paramètres!$A$1:$I$89,3,0)*0.475*44/12</f>
        <v>0.61713477256857807</v>
      </c>
      <c r="BR157" s="23">
        <f>EXP(-LN(2)/2)*BR156+(1-EXP(-LN(2)/2))/(LN(2)/2)*BL157*BO157*VLOOKUP('Données projet'!$B$11,Paramètres!$A$1:$I$89,3,0)*0.475*44/12</f>
        <v>1.763691067088127E-18</v>
      </c>
      <c r="BS157" s="24">
        <f t="shared" si="169"/>
        <v>2.5850570353306535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1.2710188457276673E-13</v>
      </c>
      <c r="P158" s="14">
        <f t="shared" si="141"/>
        <v>1.856866851063998E-12</v>
      </c>
      <c r="Q158" s="22">
        <f t="shared" si="162"/>
        <v>3.4554122145673649E-12</v>
      </c>
      <c r="R158" s="62">
        <f t="shared" si="109"/>
        <v>293.33333333333678</v>
      </c>
      <c r="S158" s="62">
        <f ca="1">AVERAGE(OFFSET($R$3,0,0,'Données projet'!$E$9+1,1))-AVERAGE(OFFSET($H$3,0,0,'Données projet'!$E$9+1,1))</f>
        <v>210.566504119093</v>
      </c>
      <c r="T158" s="62">
        <f t="shared" si="142"/>
        <v>365.95065044620048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0.70688391244617343</v>
      </c>
      <c r="AA158" s="23">
        <f>EXP(-LN(2)/25)*AA157+(1-EXP(-LN(2)/25))/(LN(2)/25)*Calculateur!V158*Calculateur!X158*VLOOKUP('Données projet'!$B$9,Paramètres!$A$1:$I$89,3,0)*0.475*44/12</f>
        <v>0.13483305342952659</v>
      </c>
      <c r="AB158" s="23">
        <f>EXP(-LN(2)/2)*AB157+(1-EXP(-LN(2)/2))/(LN(2)/2)*V158*Y158*VLOOKUP('Données projet'!$B$9,Paramètres!$A$1:$I$89,3,0)*0.475*44/12</f>
        <v>6.6467303866024584E-19</v>
      </c>
      <c r="AC158" s="24">
        <f t="shared" si="163"/>
        <v>0.8417169658757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295.01137243247126</v>
      </c>
      <c r="AO158" s="62">
        <f t="shared" si="144"/>
        <v>221.9773436301067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0.30629160852077575</v>
      </c>
      <c r="AV158" s="23">
        <f>EXP(-LN(2)/25)*AV157+(1-EXP(-LN(2)/25))/(LN(2)/25)*Calculateur!AQ158*Calculateur!AS158*VLOOKUP('Données projet'!$B$10,Paramètres!$A$1:$I$89,3,0)*0.475*44/12</f>
        <v>7.5559248603489837E-2</v>
      </c>
      <c r="AW158" s="23">
        <f>EXP(-LN(2)/2)*AW157+(1-EXP(-LN(2)/2))/(LN(2)/2)*AQ158*AT158*VLOOKUP('Données projet'!$B$10,Paramètres!$A$1:$I$89,3,0)*0.475*44/12</f>
        <v>5.2945879913929582E-19</v>
      </c>
      <c r="AX158" s="23">
        <f t="shared" si="166"/>
        <v>0.38185085712426559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projet'!$B$11,Paramètres!$A$1:$I$89,3,0)*VLOOKUP('Données projet'!$B$11,Paramètres!$A$1:$I$89,5,0)</f>
        <v>-3.1036506698001178E-14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159.92263609041913</v>
      </c>
      <c r="BJ158" s="62">
        <f t="shared" si="146"/>
        <v>271.78119133009307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1.9293325075033703</v>
      </c>
      <c r="BQ158" s="23">
        <f>EXP(-LN(2)/25)*BQ157+(1-EXP(-LN(2)/25))/(LN(2)/25)*Calculateur!BL158*Calculateur!BN158*VLOOKUP('Données projet'!$B$11,Paramètres!$A$1:$I$89,3,0)*0.475*44/12</f>
        <v>0.60025918975898307</v>
      </c>
      <c r="BR158" s="23">
        <f>EXP(-LN(2)/2)*BR157+(1-EXP(-LN(2)/2))/(LN(2)/2)*BL158*BO158*VLOOKUP('Données projet'!$B$11,Paramètres!$A$1:$I$89,3,0)*0.475*44/12</f>
        <v>1.2471179134561528E-18</v>
      </c>
      <c r="BS158" s="24">
        <f t="shared" si="169"/>
        <v>2.5295916972623536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1.2710188457276673E-13</v>
      </c>
      <c r="P159" s="14">
        <f t="shared" si="141"/>
        <v>1.856866851063998E-12</v>
      </c>
      <c r="Q159" s="22">
        <f t="shared" si="162"/>
        <v>3.4554122145673649E-12</v>
      </c>
      <c r="R159" s="62">
        <f t="shared" si="109"/>
        <v>293.33333333333678</v>
      </c>
      <c r="S159" s="62">
        <f ca="1">AVERAGE(OFFSET($R$3,0,0,'Données projet'!$E$9+1,1))-AVERAGE(OFFSET($H$3,0,0,'Données projet'!$E$9+1,1))</f>
        <v>210.566504119093</v>
      </c>
      <c r="T159" s="62">
        <f t="shared" si="142"/>
        <v>365.95065044620048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0.69302235007971735</v>
      </c>
      <c r="AA159" s="23">
        <f>EXP(-LN(2)/25)*AA158+(1-EXP(-LN(2)/25))/(LN(2)/25)*Calculateur!V159*Calculateur!X159*VLOOKUP('Données projet'!$B$9,Paramètres!$A$1:$I$89,3,0)*0.475*44/12</f>
        <v>0.13114603649293408</v>
      </c>
      <c r="AB159" s="23">
        <f>EXP(-LN(2)/2)*AB158+(1-EXP(-LN(2)/2))/(LN(2)/2)*V159*Y159*VLOOKUP('Données projet'!$B$9,Paramètres!$A$1:$I$89,3,0)*0.475*44/12</f>
        <v>4.699948129085281E-19</v>
      </c>
      <c r="AC159" s="24">
        <f t="shared" si="163"/>
        <v>0.82416838657265146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295.01137243247126</v>
      </c>
      <c r="AO159" s="62">
        <f t="shared" si="144"/>
        <v>221.9773436301067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0.30028541689711763</v>
      </c>
      <c r="AV159" s="23">
        <f>EXP(-LN(2)/25)*AV158+(1-EXP(-LN(2)/25))/(LN(2)/25)*Calculateur!AQ159*Calculateur!AS159*VLOOKUP('Données projet'!$B$10,Paramètres!$A$1:$I$89,3,0)*0.475*44/12</f>
        <v>7.3493076976939214E-2</v>
      </c>
      <c r="AW159" s="23">
        <f>EXP(-LN(2)/2)*AW158+(1-EXP(-LN(2)/2))/(LN(2)/2)*AQ159*AT159*VLOOKUP('Données projet'!$B$10,Paramètres!$A$1:$I$89,3,0)*0.475*44/12</f>
        <v>3.7438390723028228E-19</v>
      </c>
      <c r="AX159" s="23">
        <f t="shared" si="166"/>
        <v>0.37377849387405682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projet'!$B$11,Paramètres!$A$1:$I$89,3,0)*VLOOKUP('Données projet'!$B$11,Paramètres!$A$1:$I$89,5,0)</f>
        <v>-3.1036506698001178E-14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159.92263609041913</v>
      </c>
      <c r="BJ159" s="62">
        <f t="shared" si="146"/>
        <v>271.78119133009307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1.8914994738078617</v>
      </c>
      <c r="BQ159" s="23">
        <f>EXP(-LN(2)/25)*BQ158+(1-EXP(-LN(2)/25))/(LN(2)/25)*Calculateur!BL159*Calculateur!BN159*VLOOKUP('Données projet'!$B$11,Paramètres!$A$1:$I$89,3,0)*0.475*44/12</f>
        <v>0.58384507064876479</v>
      </c>
      <c r="BR159" s="23">
        <f>EXP(-LN(2)/2)*BR158+(1-EXP(-LN(2)/2))/(LN(2)/2)*BL159*BO159*VLOOKUP('Données projet'!$B$11,Paramètres!$A$1:$I$89,3,0)*0.475*44/12</f>
        <v>8.8184553354406352E-19</v>
      </c>
      <c r="BS159" s="24">
        <f t="shared" si="169"/>
        <v>2.4753445444566262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1.2710188457276673E-13</v>
      </c>
      <c r="P160" s="14">
        <f t="shared" si="141"/>
        <v>1.856866851063998E-12</v>
      </c>
      <c r="Q160" s="22">
        <f t="shared" si="162"/>
        <v>3.4554122145673649E-12</v>
      </c>
      <c r="R160" s="62">
        <f t="shared" si="109"/>
        <v>293.33333333333678</v>
      </c>
      <c r="S160" s="62">
        <f ca="1">AVERAGE(OFFSET($R$3,0,0,'Données projet'!$E$9+1,1))-AVERAGE(OFFSET($H$3,0,0,'Données projet'!$E$9+1,1))</f>
        <v>210.566504119093</v>
      </c>
      <c r="T160" s="62">
        <f t="shared" si="142"/>
        <v>365.95065044620048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0.6794326044965493</v>
      </c>
      <c r="AA160" s="23">
        <f>EXP(-LN(2)/25)*AA159+(1-EXP(-LN(2)/25))/(LN(2)/25)*Calculateur!V160*Calculateur!X160*VLOOKUP('Données projet'!$B$9,Paramètres!$A$1:$I$89,3,0)*0.475*44/12</f>
        <v>0.12755984122836447</v>
      </c>
      <c r="AB160" s="23">
        <f>EXP(-LN(2)/2)*AB159+(1-EXP(-LN(2)/2))/(LN(2)/2)*V160*Y160*VLOOKUP('Données projet'!$B$9,Paramètres!$A$1:$I$89,3,0)*0.475*44/12</f>
        <v>3.3233651933012292E-19</v>
      </c>
      <c r="AC160" s="24">
        <f t="shared" si="163"/>
        <v>0.8069924457249138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295.01137243247126</v>
      </c>
      <c r="AO160" s="62">
        <f t="shared" si="144"/>
        <v>221.9773436301067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0.29439700302778432</v>
      </c>
      <c r="AV160" s="23">
        <f>EXP(-LN(2)/25)*AV159+(1-EXP(-LN(2)/25))/(LN(2)/25)*Calculateur!AQ160*Calculateur!AS160*VLOOKUP('Données projet'!$B$10,Paramètres!$A$1:$I$89,3,0)*0.475*44/12</f>
        <v>7.1483404922171867E-2</v>
      </c>
      <c r="AW160" s="23">
        <f>EXP(-LN(2)/2)*AW159+(1-EXP(-LN(2)/2))/(LN(2)/2)*AQ160*AT160*VLOOKUP('Données projet'!$B$10,Paramètres!$A$1:$I$89,3,0)*0.475*44/12</f>
        <v>2.6472939956964791E-19</v>
      </c>
      <c r="AX160" s="23">
        <f t="shared" si="166"/>
        <v>0.36588040794995619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projet'!$B$11,Paramètres!$A$1:$I$89,3,0)*VLOOKUP('Données projet'!$B$11,Paramètres!$A$1:$I$89,5,0)</f>
        <v>-3.1036506698001178E-14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159.92263609041913</v>
      </c>
      <c r="BJ160" s="62">
        <f t="shared" si="146"/>
        <v>271.78119133009307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1.8544083228272501</v>
      </c>
      <c r="BQ160" s="23">
        <f>EXP(-LN(2)/25)*BQ159+(1-EXP(-LN(2)/25))/(LN(2)/25)*Calculateur!BL160*Calculateur!BN160*VLOOKUP('Données projet'!$B$11,Paramètres!$A$1:$I$89,3,0)*0.475*44/12</f>
        <v>0.5678797964887965</v>
      </c>
      <c r="BR160" s="23">
        <f>EXP(-LN(2)/2)*BR159+(1-EXP(-LN(2)/2))/(LN(2)/2)*BL160*BO160*VLOOKUP('Données projet'!$B$11,Paramètres!$A$1:$I$89,3,0)*0.475*44/12</f>
        <v>6.2355895672807638E-19</v>
      </c>
      <c r="BS160" s="24">
        <f t="shared" si="169"/>
        <v>2.4222881193160468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1.2710188457276673E-13</v>
      </c>
      <c r="P161" s="14">
        <f t="shared" si="141"/>
        <v>1.856866851063998E-12</v>
      </c>
      <c r="Q161" s="22">
        <f t="shared" si="162"/>
        <v>3.4554122145673649E-12</v>
      </c>
      <c r="R161" s="62">
        <f t="shared" si="109"/>
        <v>293.33333333333678</v>
      </c>
      <c r="S161" s="62">
        <f ca="1">AVERAGE(OFFSET($R$3,0,0,'Données projet'!$E$9+1,1))-AVERAGE(OFFSET($H$3,0,0,'Données projet'!$E$9+1,1))</f>
        <v>210.566504119093</v>
      </c>
      <c r="T161" s="62">
        <f t="shared" si="142"/>
        <v>365.95065044620048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0.66610934553534085</v>
      </c>
      <c r="AA161" s="23">
        <f>EXP(-LN(2)/25)*AA160+(1-EXP(-LN(2)/25))/(LN(2)/25)*Calculateur!V161*Calculateur!X161*VLOOKUP('Données projet'!$B$9,Paramètres!$A$1:$I$89,3,0)*0.475*44/12</f>
        <v>0.12407171066189433</v>
      </c>
      <c r="AB161" s="23">
        <f>EXP(-LN(2)/2)*AB160+(1-EXP(-LN(2)/2))/(LN(2)/2)*V161*Y161*VLOOKUP('Données projet'!$B$9,Paramètres!$A$1:$I$89,3,0)*0.475*44/12</f>
        <v>2.3499740645426405E-19</v>
      </c>
      <c r="AC161" s="24">
        <f t="shared" si="163"/>
        <v>0.79018105619723522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295.01137243247126</v>
      </c>
      <c r="AO161" s="62">
        <f t="shared" si="144"/>
        <v>221.9773436301067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0.28862405736285079</v>
      </c>
      <c r="AV161" s="23">
        <f>EXP(-LN(2)/25)*AV160+(1-EXP(-LN(2)/25))/(LN(2)/25)*Calculateur!AQ161*Calculateur!AS161*VLOOKUP('Données projet'!$B$10,Paramètres!$A$1:$I$89,3,0)*0.475*44/12</f>
        <v>6.9528687455426189E-2</v>
      </c>
      <c r="AW161" s="23">
        <f>EXP(-LN(2)/2)*AW160+(1-EXP(-LN(2)/2))/(LN(2)/2)*AQ161*AT161*VLOOKUP('Données projet'!$B$10,Paramètres!$A$1:$I$89,3,0)*0.475*44/12</f>
        <v>1.8719195361514114E-19</v>
      </c>
      <c r="AX161" s="23">
        <f t="shared" si="166"/>
        <v>0.35815274481827697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projet'!$B$11,Paramètres!$A$1:$I$89,3,0)*VLOOKUP('Données projet'!$B$11,Paramètres!$A$1:$I$89,5,0)</f>
        <v>-3.1036506698001178E-14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159.92263609041913</v>
      </c>
      <c r="BJ161" s="62">
        <f t="shared" si="146"/>
        <v>271.78119133009307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1.8180445066940001</v>
      </c>
      <c r="BQ161" s="23">
        <f>EXP(-LN(2)/25)*BQ160+(1-EXP(-LN(2)/25))/(LN(2)/25)*Calculateur!BL161*Calculateur!BN161*VLOOKUP('Données projet'!$B$11,Paramètres!$A$1:$I$89,3,0)*0.475*44/12</f>
        <v>0.55235109359030976</v>
      </c>
      <c r="BR161" s="23">
        <f>EXP(-LN(2)/2)*BR160+(1-EXP(-LN(2)/2))/(LN(2)/2)*BL161*BO161*VLOOKUP('Données projet'!$B$11,Paramètres!$A$1:$I$89,3,0)*0.475*44/12</f>
        <v>4.4092276677203176E-19</v>
      </c>
      <c r="BS161" s="24">
        <f t="shared" si="169"/>
        <v>2.3703956002843096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1.2710188457276673E-13</v>
      </c>
      <c r="P162" s="14">
        <f t="shared" si="141"/>
        <v>1.856866851063998E-12</v>
      </c>
      <c r="Q162" s="22">
        <f t="shared" si="162"/>
        <v>3.4554122145673649E-12</v>
      </c>
      <c r="R162" s="62">
        <f t="shared" si="109"/>
        <v>293.33333333333678</v>
      </c>
      <c r="S162" s="62">
        <f ca="1">AVERAGE(OFFSET($R$3,0,0,'Données projet'!$E$9+1,1))-AVERAGE(OFFSET($H$3,0,0,'Données projet'!$E$9+1,1))</f>
        <v>210.566504119093</v>
      </c>
      <c r="T162" s="62">
        <f t="shared" si="142"/>
        <v>365.95065044620048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0.65304734755597615</v>
      </c>
      <c r="AA162" s="23">
        <f>EXP(-LN(2)/25)*AA161+(1-EXP(-LN(2)/25))/(LN(2)/25)*Calculateur!V162*Calculateur!X162*VLOOKUP('Données projet'!$B$9,Paramètres!$A$1:$I$89,3,0)*0.475*44/12</f>
        <v>0.12067896320919713</v>
      </c>
      <c r="AB162" s="23">
        <f>EXP(-LN(2)/2)*AB161+(1-EXP(-LN(2)/2))/(LN(2)/2)*V162*Y162*VLOOKUP('Données projet'!$B$9,Paramètres!$A$1:$I$89,3,0)*0.475*44/12</f>
        <v>1.6616825966506146E-19</v>
      </c>
      <c r="AC162" s="24">
        <f t="shared" si="163"/>
        <v>0.77372631076517329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295.01137243247126</v>
      </c>
      <c r="AO162" s="62">
        <f t="shared" si="144"/>
        <v>221.9773436301067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0.28296431564125746</v>
      </c>
      <c r="AV162" s="23">
        <f>EXP(-LN(2)/25)*AV161+(1-EXP(-LN(2)/25))/(LN(2)/25)*Calculateur!AQ162*Calculateur!AS162*VLOOKUP('Données projet'!$B$10,Paramètres!$A$1:$I$89,3,0)*0.475*44/12</f>
        <v>6.7627421840602803E-2</v>
      </c>
      <c r="AW162" s="23">
        <f>EXP(-LN(2)/2)*AW161+(1-EXP(-LN(2)/2))/(LN(2)/2)*AQ162*AT162*VLOOKUP('Données projet'!$B$10,Paramètres!$A$1:$I$89,3,0)*0.475*44/12</f>
        <v>1.3236469978482396E-19</v>
      </c>
      <c r="AX162" s="23">
        <f t="shared" si="166"/>
        <v>0.35059173748186023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projet'!$B$11,Paramètres!$A$1:$I$89,3,0)*VLOOKUP('Données projet'!$B$11,Paramètres!$A$1:$I$89,5,0)</f>
        <v>-3.1036506698001178E-14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159.92263609041913</v>
      </c>
      <c r="BJ162" s="62">
        <f t="shared" si="146"/>
        <v>271.78119133009307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1.7823937628153852</v>
      </c>
      <c r="BQ162" s="23">
        <f>EXP(-LN(2)/25)*BQ161+(1-EXP(-LN(2)/25))/(LN(2)/25)*Calculateur!BL162*Calculateur!BN162*VLOOKUP('Données projet'!$B$11,Paramètres!$A$1:$I$89,3,0)*0.475*44/12</f>
        <v>0.53724702388920109</v>
      </c>
      <c r="BR162" s="23">
        <f>EXP(-LN(2)/2)*BR161+(1-EXP(-LN(2)/2))/(LN(2)/2)*BL162*BO162*VLOOKUP('Données projet'!$B$11,Paramètres!$A$1:$I$89,3,0)*0.475*44/12</f>
        <v>3.1177947836403819E-19</v>
      </c>
      <c r="BS162" s="24">
        <f t="shared" si="169"/>
        <v>2.3196407867045865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1.2710188457276673E-13</v>
      </c>
      <c r="P163" s="14">
        <f t="shared" si="141"/>
        <v>1.856866851063998E-12</v>
      </c>
      <c r="Q163" s="22">
        <f t="shared" si="162"/>
        <v>3.4554122145673649E-12</v>
      </c>
      <c r="R163" s="62">
        <f t="shared" si="109"/>
        <v>293.33333333333678</v>
      </c>
      <c r="S163" s="62">
        <f ca="1">AVERAGE(OFFSET($R$3,0,0,'Données projet'!$E$9+1,1))-AVERAGE(OFFSET($H$3,0,0,'Données projet'!$E$9+1,1))</f>
        <v>210.566504119093</v>
      </c>
      <c r="T163" s="62">
        <f t="shared" si="142"/>
        <v>365.95065044620048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0.64024148738995468</v>
      </c>
      <c r="AA163" s="23">
        <f>EXP(-LN(2)/25)*AA162+(1-EXP(-LN(2)/25))/(LN(2)/25)*Calculateur!V163*Calculateur!X163*VLOOKUP('Données projet'!$B$9,Paramètres!$A$1:$I$89,3,0)*0.475*44/12</f>
        <v>0.11737899061401078</v>
      </c>
      <c r="AB163" s="23">
        <f>EXP(-LN(2)/2)*AB162+(1-EXP(-LN(2)/2))/(LN(2)/2)*V163*Y163*VLOOKUP('Données projet'!$B$9,Paramètres!$A$1:$I$89,3,0)*0.475*44/12</f>
        <v>1.1749870322713202E-19</v>
      </c>
      <c r="AC163" s="24">
        <f t="shared" si="163"/>
        <v>0.75762047800396548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295.01137243247126</v>
      </c>
      <c r="AO163" s="62">
        <f t="shared" si="144"/>
        <v>221.9773436301067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0.277415558002723</v>
      </c>
      <c r="AV163" s="23">
        <f>EXP(-LN(2)/25)*AV162+(1-EXP(-LN(2)/25))/(LN(2)/25)*Calculateur!AQ163*Calculateur!AS163*VLOOKUP('Données projet'!$B$10,Paramètres!$A$1:$I$89,3,0)*0.475*44/12</f>
        <v>6.5778146433999971E-2</v>
      </c>
      <c r="AW163" s="23">
        <f>EXP(-LN(2)/2)*AW162+(1-EXP(-LN(2)/2))/(LN(2)/2)*AQ163*AT163*VLOOKUP('Données projet'!$B$10,Paramètres!$A$1:$I$89,3,0)*0.475*44/12</f>
        <v>9.3595976807570569E-20</v>
      </c>
      <c r="AX163" s="23">
        <f t="shared" si="166"/>
        <v>0.34319370443672298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projet'!$B$11,Paramètres!$A$1:$I$89,3,0)*VLOOKUP('Données projet'!$B$11,Paramètres!$A$1:$I$89,5,0)</f>
        <v>-3.1036506698001178E-14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159.92263609041913</v>
      </c>
      <c r="BJ163" s="62">
        <f t="shared" si="146"/>
        <v>271.78119133009307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1.7474421082794234</v>
      </c>
      <c r="BQ163" s="23">
        <f>EXP(-LN(2)/25)*BQ162+(1-EXP(-LN(2)/25))/(LN(2)/25)*Calculateur!BL163*Calculateur!BN163*VLOOKUP('Données projet'!$B$11,Paramètres!$A$1:$I$89,3,0)*0.475*44/12</f>
        <v>0.52255597576835777</v>
      </c>
      <c r="BR163" s="23">
        <f>EXP(-LN(2)/2)*BR162+(1-EXP(-LN(2)/2))/(LN(2)/2)*BL163*BO163*VLOOKUP('Données projet'!$B$11,Paramètres!$A$1:$I$89,3,0)*0.475*44/12</f>
        <v>2.2046138338601588E-19</v>
      </c>
      <c r="BS163" s="24">
        <f t="shared" si="169"/>
        <v>2.2699980840477814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1.2710188457276673E-13</v>
      </c>
      <c r="P164" s="14">
        <f t="shared" si="141"/>
        <v>1.856866851063998E-12</v>
      </c>
      <c r="Q164" s="22">
        <f t="shared" si="162"/>
        <v>3.4554122145673649E-12</v>
      </c>
      <c r="R164" s="62">
        <f t="shared" si="109"/>
        <v>293.33333333333678</v>
      </c>
      <c r="S164" s="62">
        <f ca="1">AVERAGE(OFFSET($R$3,0,0,'Données projet'!$E$9+1,1))-AVERAGE(OFFSET($H$3,0,0,'Données projet'!$E$9+1,1))</f>
        <v>210.566504119093</v>
      </c>
      <c r="T164" s="62">
        <f t="shared" si="142"/>
        <v>365.95065044620048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0.62768674233098543</v>
      </c>
      <c r="AA164" s="23">
        <f>EXP(-LN(2)/25)*AA163+(1-EXP(-LN(2)/25))/(LN(2)/25)*Calculateur!V164*Calculateur!X164*VLOOKUP('Données projet'!$B$9,Paramètres!$A$1:$I$89,3,0)*0.475*44/12</f>
        <v>0.1141692559429778</v>
      </c>
      <c r="AB164" s="23">
        <f>EXP(-LN(2)/2)*AB163+(1-EXP(-LN(2)/2))/(LN(2)/2)*V164*Y164*VLOOKUP('Données projet'!$B$9,Paramètres!$A$1:$I$89,3,0)*0.475*44/12</f>
        <v>8.308412983253073E-20</v>
      </c>
      <c r="AC164" s="24">
        <f t="shared" si="163"/>
        <v>0.7418559982739632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295.01137243247126</v>
      </c>
      <c r="AO164" s="62">
        <f t="shared" si="144"/>
        <v>221.9773436301067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0.27197560811707222</v>
      </c>
      <c r="AV164" s="23">
        <f>EXP(-LN(2)/25)*AV163+(1-EXP(-LN(2)/25))/(LN(2)/25)*Calculateur!AQ164*Calculateur!AS164*VLOOKUP('Données projet'!$B$10,Paramètres!$A$1:$I$89,3,0)*0.475*44/12</f>
        <v>6.3979439560639853E-2</v>
      </c>
      <c r="AW164" s="23">
        <f>EXP(-LN(2)/2)*AW163+(1-EXP(-LN(2)/2))/(LN(2)/2)*AQ164*AT164*VLOOKUP('Données projet'!$B$10,Paramètres!$A$1:$I$89,3,0)*0.475*44/12</f>
        <v>6.6182349892411978E-20</v>
      </c>
      <c r="AX164" s="23">
        <f t="shared" si="166"/>
        <v>0.33595504767771206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projet'!$B$11,Paramètres!$A$1:$I$89,3,0)*VLOOKUP('Données projet'!$B$11,Paramètres!$A$1:$I$89,5,0)</f>
        <v>-3.1036506698001178E-14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159.92263609041913</v>
      </c>
      <c r="BJ164" s="62">
        <f t="shared" si="146"/>
        <v>271.78119133009307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1.7131758343705075</v>
      </c>
      <c r="BQ164" s="23">
        <f>EXP(-LN(2)/25)*BQ163+(1-EXP(-LN(2)/25))/(LN(2)/25)*Calculateur!BL164*Calculateur!BN164*VLOOKUP('Données projet'!$B$11,Paramètres!$A$1:$I$89,3,0)*0.475*44/12</f>
        <v>0.5082666551309476</v>
      </c>
      <c r="BR164" s="23">
        <f>EXP(-LN(2)/2)*BR163+(1-EXP(-LN(2)/2))/(LN(2)/2)*BL164*BO164*VLOOKUP('Données projet'!$B$11,Paramètres!$A$1:$I$89,3,0)*0.475*44/12</f>
        <v>1.5588973918201909E-19</v>
      </c>
      <c r="BS164" s="24">
        <f t="shared" si="169"/>
        <v>2.2214424895014551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1.2710188457276673E-13</v>
      </c>
      <c r="P165" s="14">
        <f t="shared" si="141"/>
        <v>1.856866851063998E-12</v>
      </c>
      <c r="Q165" s="22">
        <f t="shared" si="162"/>
        <v>3.4554122145673649E-12</v>
      </c>
      <c r="R165" s="62">
        <f t="shared" si="109"/>
        <v>293.33333333333678</v>
      </c>
      <c r="S165" s="62">
        <f ca="1">AVERAGE(OFFSET($R$3,0,0,'Données projet'!$E$9+1,1))-AVERAGE(OFFSET($H$3,0,0,'Données projet'!$E$9+1,1))</f>
        <v>210.566504119093</v>
      </c>
      <c r="T165" s="62">
        <f t="shared" si="142"/>
        <v>365.95065044620048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0.61537818816498424</v>
      </c>
      <c r="AA165" s="23">
        <f>EXP(-LN(2)/25)*AA164+(1-EXP(-LN(2)/25))/(LN(2)/25)*Calculateur!V165*Calculateur!X165*VLOOKUP('Données projet'!$B$9,Paramètres!$A$1:$I$89,3,0)*0.475*44/12</f>
        <v>0.11104729163531685</v>
      </c>
      <c r="AB165" s="23">
        <f>EXP(-LN(2)/2)*AB164+(1-EXP(-LN(2)/2))/(LN(2)/2)*V165*Y165*VLOOKUP('Données projet'!$B$9,Paramètres!$A$1:$I$89,3,0)*0.475*44/12</f>
        <v>5.8749351613566012E-20</v>
      </c>
      <c r="AC165" s="24">
        <f t="shared" si="163"/>
        <v>0.72642547980030114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295.01137243247126</v>
      </c>
      <c r="AO165" s="62">
        <f t="shared" si="144"/>
        <v>221.9773436301067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0.26664233233063722</v>
      </c>
      <c r="AV165" s="23">
        <f>EXP(-LN(2)/25)*AV164+(1-EXP(-LN(2)/25))/(LN(2)/25)*Calculateur!AQ165*Calculateur!AS165*VLOOKUP('Données projet'!$B$10,Paramètres!$A$1:$I$89,3,0)*0.475*44/12</f>
        <v>6.2229918421321653E-2</v>
      </c>
      <c r="AW165" s="23">
        <f>EXP(-LN(2)/2)*AW164+(1-EXP(-LN(2)/2))/(LN(2)/2)*AQ165*AT165*VLOOKUP('Données projet'!$B$10,Paramètres!$A$1:$I$89,3,0)*0.475*44/12</f>
        <v>4.6797988403785284E-20</v>
      </c>
      <c r="AX165" s="23">
        <f t="shared" si="166"/>
        <v>0.32887225075195886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projet'!$B$11,Paramètres!$A$1:$I$89,3,0)*VLOOKUP('Données projet'!$B$11,Paramètres!$A$1:$I$89,5,0)</f>
        <v>-3.1036506698001178E-14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159.92263609041913</v>
      </c>
      <c r="BJ165" s="62">
        <f t="shared" si="146"/>
        <v>271.78119133009307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1.6795815011925821</v>
      </c>
      <c r="BQ165" s="23">
        <f>EXP(-LN(2)/25)*BQ164+(1-EXP(-LN(2)/25))/(LN(2)/25)*Calculateur!BL165*Calculateur!BN165*VLOOKUP('Données projet'!$B$11,Paramètres!$A$1:$I$89,3,0)*0.475*44/12</f>
        <v>0.49436807671781008</v>
      </c>
      <c r="BR165" s="23">
        <f>EXP(-LN(2)/2)*BR164+(1-EXP(-LN(2)/2))/(LN(2)/2)*BL165*BO165*VLOOKUP('Données projet'!$B$11,Paramètres!$A$1:$I$89,3,0)*0.475*44/12</f>
        <v>1.1023069169300794E-19</v>
      </c>
      <c r="BS165" s="24">
        <f t="shared" si="169"/>
        <v>2.1739495779103923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1.2710188457276673E-13</v>
      </c>
      <c r="P166" s="14">
        <f t="shared" si="141"/>
        <v>1.856866851063998E-12</v>
      </c>
      <c r="Q166" s="22">
        <f t="shared" si="162"/>
        <v>3.4554122145673649E-12</v>
      </c>
      <c r="R166" s="62">
        <f t="shared" si="109"/>
        <v>293.33333333333678</v>
      </c>
      <c r="S166" s="62">
        <f ca="1">AVERAGE(OFFSET($R$3,0,0,'Données projet'!$E$9+1,1))-AVERAGE(OFFSET($H$3,0,0,'Données projet'!$E$9+1,1))</f>
        <v>210.566504119093</v>
      </c>
      <c r="T166" s="62">
        <f t="shared" si="142"/>
        <v>365.95065044620048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0.60331099723870163</v>
      </c>
      <c r="AA166" s="23">
        <f>EXP(-LN(2)/25)*AA165+(1-EXP(-LN(2)/25))/(LN(2)/25)*Calculateur!V166*Calculateur!X166*VLOOKUP('Données projet'!$B$9,Paramètres!$A$1:$I$89,3,0)*0.475*44/12</f>
        <v>0.10801069760582584</v>
      </c>
      <c r="AB166" s="23">
        <f>EXP(-LN(2)/2)*AB165+(1-EXP(-LN(2)/2))/(LN(2)/2)*V166*Y166*VLOOKUP('Données projet'!$B$9,Paramètres!$A$1:$I$89,3,0)*0.475*44/12</f>
        <v>4.1542064916265365E-20</v>
      </c>
      <c r="AC166" s="24">
        <f t="shared" si="163"/>
        <v>0.71132169484452745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295.01137243247126</v>
      </c>
      <c r="AO166" s="62">
        <f t="shared" si="144"/>
        <v>221.9773436301067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0.26141363882939722</v>
      </c>
      <c r="AV166" s="23">
        <f>EXP(-LN(2)/25)*AV165+(1-EXP(-LN(2)/25))/(LN(2)/25)*Calculateur!AQ166*Calculateur!AS166*VLOOKUP('Données projet'!$B$10,Paramètres!$A$1:$I$89,3,0)*0.475*44/12</f>
        <v>6.0528238029561435E-2</v>
      </c>
      <c r="AW166" s="23">
        <f>EXP(-LN(2)/2)*AW165+(1-EXP(-LN(2)/2))/(LN(2)/2)*AQ166*AT166*VLOOKUP('Données projet'!$B$10,Paramètres!$A$1:$I$89,3,0)*0.475*44/12</f>
        <v>3.3091174946205989E-20</v>
      </c>
      <c r="AX166" s="23">
        <f t="shared" si="166"/>
        <v>0.32194187685895864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projet'!$B$11,Paramètres!$A$1:$I$89,3,0)*VLOOKUP('Données projet'!$B$11,Paramètres!$A$1:$I$89,5,0)</f>
        <v>-3.1036506698001178E-14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159.92263609041913</v>
      </c>
      <c r="BJ166" s="62">
        <f t="shared" si="146"/>
        <v>271.78119133009307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1.6466459323977558</v>
      </c>
      <c r="BQ166" s="23">
        <f>EXP(-LN(2)/25)*BQ165+(1-EXP(-LN(2)/25))/(LN(2)/25)*Calculateur!BL166*Calculateur!BN166*VLOOKUP('Données projet'!$B$11,Paramètres!$A$1:$I$89,3,0)*0.475*44/12</f>
        <v>0.48084955566227428</v>
      </c>
      <c r="BR166" s="23">
        <f>EXP(-LN(2)/2)*BR165+(1-EXP(-LN(2)/2))/(LN(2)/2)*BL166*BO166*VLOOKUP('Données projet'!$B$11,Paramètres!$A$1:$I$89,3,0)*0.475*44/12</f>
        <v>7.7944869591009547E-20</v>
      </c>
      <c r="BS166" s="24">
        <f t="shared" si="169"/>
        <v>2.1274954880600303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1.2710188457276673E-13</v>
      </c>
      <c r="P167" s="14">
        <f t="shared" si="141"/>
        <v>1.856866851063998E-12</v>
      </c>
      <c r="Q167" s="22">
        <f t="shared" si="162"/>
        <v>3.4554122145673649E-12</v>
      </c>
      <c r="R167" s="62">
        <f t="shared" si="109"/>
        <v>293.33333333333678</v>
      </c>
      <c r="S167" s="62">
        <f ca="1">AVERAGE(OFFSET($R$3,0,0,'Données projet'!$E$9+1,1))-AVERAGE(OFFSET($H$3,0,0,'Données projet'!$E$9+1,1))</f>
        <v>210.566504119093</v>
      </c>
      <c r="T167" s="62">
        <f t="shared" si="142"/>
        <v>365.95065044620048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0.59148043656622362</v>
      </c>
      <c r="AA167" s="23">
        <f>EXP(-LN(2)/25)*AA166+(1-EXP(-LN(2)/25))/(LN(2)/25)*Calculateur!V167*Calculateur!X167*VLOOKUP('Données projet'!$B$9,Paramètres!$A$1:$I$89,3,0)*0.475*44/12</f>
        <v>0.1050571393997588</v>
      </c>
      <c r="AB167" s="23">
        <f>EXP(-LN(2)/2)*AB166+(1-EXP(-LN(2)/2))/(LN(2)/2)*V167*Y167*VLOOKUP('Données projet'!$B$9,Paramètres!$A$1:$I$89,3,0)*0.475*44/12</f>
        <v>2.9374675806783006E-20</v>
      </c>
      <c r="AC167" s="24">
        <f t="shared" si="163"/>
        <v>0.69653757596598243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295.01137243247126</v>
      </c>
      <c r="AO167" s="62">
        <f t="shared" si="144"/>
        <v>221.9773436301067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0.25628747681852837</v>
      </c>
      <c r="AV167" s="23">
        <f>EXP(-LN(2)/25)*AV166+(1-EXP(-LN(2)/25))/(LN(2)/25)*Calculateur!AQ167*Calculateur!AS167*VLOOKUP('Données projet'!$B$10,Paramètres!$A$1:$I$89,3,0)*0.475*44/12</f>
        <v>5.8873090177601381E-2</v>
      </c>
      <c r="AW167" s="23">
        <f>EXP(-LN(2)/2)*AW166+(1-EXP(-LN(2)/2))/(LN(2)/2)*AQ167*AT167*VLOOKUP('Données projet'!$B$10,Paramètres!$A$1:$I$89,3,0)*0.475*44/12</f>
        <v>2.3398994201892642E-20</v>
      </c>
      <c r="AX167" s="23">
        <f t="shared" si="166"/>
        <v>0.31516056699612977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projet'!$B$11,Paramètres!$A$1:$I$89,3,0)*VLOOKUP('Données projet'!$B$11,Paramètres!$A$1:$I$89,5,0)</f>
        <v>-3.1036506698001178E-14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159.92263609041913</v>
      </c>
      <c r="BJ167" s="62">
        <f t="shared" si="146"/>
        <v>271.78119133009307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1.6143562100182827</v>
      </c>
      <c r="BQ167" s="23">
        <f>EXP(-LN(2)/25)*BQ166+(1-EXP(-LN(2)/25))/(LN(2)/25)*Calculateur!BL167*Calculateur!BN167*VLOOKUP('Données projet'!$B$11,Paramètres!$A$1:$I$89,3,0)*0.475*44/12</f>
        <v>0.46770069927591024</v>
      </c>
      <c r="BR167" s="23">
        <f>EXP(-LN(2)/2)*BR166+(1-EXP(-LN(2)/2))/(LN(2)/2)*BL167*BO167*VLOOKUP('Données projet'!$B$11,Paramètres!$A$1:$I$89,3,0)*0.475*44/12</f>
        <v>5.511534584650397E-20</v>
      </c>
      <c r="BS167" s="24">
        <f t="shared" si="169"/>
        <v>2.082056909294193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1.2710188457276673E-13</v>
      </c>
      <c r="P168" s="14">
        <f t="shared" si="141"/>
        <v>1.856866851063998E-12</v>
      </c>
      <c r="Q168" s="22">
        <f t="shared" si="162"/>
        <v>3.4554122145673649E-12</v>
      </c>
      <c r="R168" s="62">
        <f t="shared" si="109"/>
        <v>293.33333333333678</v>
      </c>
      <c r="S168" s="62">
        <f ca="1">AVERAGE(OFFSET($R$3,0,0,'Données projet'!$E$9+1,1))-AVERAGE(OFFSET($H$3,0,0,'Données projet'!$E$9+1,1))</f>
        <v>210.566504119093</v>
      </c>
      <c r="T168" s="62">
        <f t="shared" si="142"/>
        <v>365.95065044620048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0.57988186597260349</v>
      </c>
      <c r="AA168" s="23">
        <f>EXP(-LN(2)/25)*AA167+(1-EXP(-LN(2)/25))/(LN(2)/25)*Calculateur!V168*Calculateur!X168*VLOOKUP('Données projet'!$B$9,Paramètres!$A$1:$I$89,3,0)*0.475*44/12</f>
        <v>0.10218434639815754</v>
      </c>
      <c r="AB168" s="23">
        <f>EXP(-LN(2)/2)*AB167+(1-EXP(-LN(2)/2))/(LN(2)/2)*V168*Y168*VLOOKUP('Données projet'!$B$9,Paramètres!$A$1:$I$89,3,0)*0.475*44/12</f>
        <v>2.0771032458132682E-20</v>
      </c>
      <c r="AC168" s="24">
        <f t="shared" si="163"/>
        <v>0.68206621237076104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295.01137243247126</v>
      </c>
      <c r="AO168" s="62">
        <f t="shared" si="144"/>
        <v>221.9773436301067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0.25126183571804256</v>
      </c>
      <c r="AV168" s="23">
        <f>EXP(-LN(2)/25)*AV167+(1-EXP(-LN(2)/25))/(LN(2)/25)*Calculateur!AQ168*Calculateur!AS168*VLOOKUP('Données projet'!$B$10,Paramètres!$A$1:$I$89,3,0)*0.475*44/12</f>
        <v>5.7263202430693612E-2</v>
      </c>
      <c r="AW168" s="23">
        <f>EXP(-LN(2)/2)*AW167+(1-EXP(-LN(2)/2))/(LN(2)/2)*AQ168*AT168*VLOOKUP('Données projet'!$B$10,Paramètres!$A$1:$I$89,3,0)*0.475*44/12</f>
        <v>1.6545587473102994E-20</v>
      </c>
      <c r="AX168" s="23">
        <f t="shared" si="166"/>
        <v>0.30852503814873616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projet'!$B$11,Paramètres!$A$1:$I$89,3,0)*VLOOKUP('Données projet'!$B$11,Paramètres!$A$1:$I$89,5,0)</f>
        <v>-3.1036506698001178E-14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159.92263609041913</v>
      </c>
      <c r="BJ168" s="62">
        <f t="shared" si="146"/>
        <v>271.78119133009307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1.5826996693998852</v>
      </c>
      <c r="BQ168" s="23">
        <f>EXP(-LN(2)/25)*BQ167+(1-EXP(-LN(2)/25))/(LN(2)/25)*Calculateur!BL168*Calculateur!BN168*VLOOKUP('Données projet'!$B$11,Paramètres!$A$1:$I$89,3,0)*0.475*44/12</f>
        <v>0.45491139905889966</v>
      </c>
      <c r="BR168" s="23">
        <f>EXP(-LN(2)/2)*BR167+(1-EXP(-LN(2)/2))/(LN(2)/2)*BL168*BO168*VLOOKUP('Données projet'!$B$11,Paramètres!$A$1:$I$89,3,0)*0.475*44/12</f>
        <v>3.8972434795504774E-20</v>
      </c>
      <c r="BS168" s="24">
        <f t="shared" si="169"/>
        <v>2.0376110684587849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1.2710188457276673E-13</v>
      </c>
      <c r="P169" s="14">
        <f t="shared" si="141"/>
        <v>1.856866851063998E-12</v>
      </c>
      <c r="Q169" s="22">
        <f t="shared" si="162"/>
        <v>3.4554122145673649E-12</v>
      </c>
      <c r="R169" s="62">
        <f t="shared" si="109"/>
        <v>293.33333333333678</v>
      </c>
      <c r="S169" s="62">
        <f ca="1">AVERAGE(OFFSET($R$3,0,0,'Données projet'!$E$9+1,1))-AVERAGE(OFFSET($H$3,0,0,'Données projet'!$E$9+1,1))</f>
        <v>210.566504119093</v>
      </c>
      <c r="T169" s="62">
        <f t="shared" si="142"/>
        <v>365.95065044620048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0.5685107362738947</v>
      </c>
      <c r="AA169" s="23">
        <f>EXP(-LN(2)/25)*AA168+(1-EXP(-LN(2)/25))/(LN(2)/25)*Calculateur!V169*Calculateur!X169*VLOOKUP('Données projet'!$B$9,Paramètres!$A$1:$I$89,3,0)*0.475*44/12</f>
        <v>9.9390110072258689E-2</v>
      </c>
      <c r="AB169" s="23">
        <f>EXP(-LN(2)/2)*AB168+(1-EXP(-LN(2)/2))/(LN(2)/2)*V169*Y169*VLOOKUP('Données projet'!$B$9,Paramètres!$A$1:$I$89,3,0)*0.475*44/12</f>
        <v>1.4687337903391503E-20</v>
      </c>
      <c r="AC169" s="24">
        <f t="shared" si="163"/>
        <v>0.66790084634615343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295.01137243247126</v>
      </c>
      <c r="AO169" s="62">
        <f t="shared" si="144"/>
        <v>221.9773436301067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0.24633474437419889</v>
      </c>
      <c r="AV169" s="23">
        <f>EXP(-LN(2)/25)*AV168+(1-EXP(-LN(2)/25))/(LN(2)/25)*Calculateur!AQ169*Calculateur!AS169*VLOOKUP('Données projet'!$B$10,Paramètres!$A$1:$I$89,3,0)*0.475*44/12</f>
        <v>5.5697337148885355E-2</v>
      </c>
      <c r="AW169" s="23">
        <f>EXP(-LN(2)/2)*AW168+(1-EXP(-LN(2)/2))/(LN(2)/2)*AQ169*AT169*VLOOKUP('Données projet'!$B$10,Paramètres!$A$1:$I$89,3,0)*0.475*44/12</f>
        <v>1.1699497100946321E-20</v>
      </c>
      <c r="AX169" s="23">
        <f t="shared" si="166"/>
        <v>0.30203208152308425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projet'!$B$11,Paramètres!$A$1:$I$89,3,0)*VLOOKUP('Données projet'!$B$11,Paramètres!$A$1:$I$89,5,0)</f>
        <v>-3.1036506698001178E-14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159.92263609041913</v>
      </c>
      <c r="BJ169" s="62">
        <f t="shared" si="146"/>
        <v>271.78119133009307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1.5516638942344312</v>
      </c>
      <c r="BQ169" s="23">
        <f>EXP(-LN(2)/25)*BQ168+(1-EXP(-LN(2)/25))/(LN(2)/25)*Calculateur!BL169*Calculateur!BN169*VLOOKUP('Données projet'!$B$11,Paramètres!$A$1:$I$89,3,0)*0.475*44/12</f>
        <v>0.44247182292888326</v>
      </c>
      <c r="BR169" s="23">
        <f>EXP(-LN(2)/2)*BR168+(1-EXP(-LN(2)/2))/(LN(2)/2)*BL169*BO169*VLOOKUP('Données projet'!$B$11,Paramètres!$A$1:$I$89,3,0)*0.475*44/12</f>
        <v>2.7557672923251985E-20</v>
      </c>
      <c r="BS169" s="24">
        <f t="shared" si="169"/>
        <v>1.9941357171633145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1.2710188457276673E-13</v>
      </c>
      <c r="P170" s="14">
        <f t="shared" si="141"/>
        <v>1.856866851063998E-12</v>
      </c>
      <c r="Q170" s="22">
        <f t="shared" si="162"/>
        <v>3.4554122145673649E-12</v>
      </c>
      <c r="R170" s="62">
        <f t="shared" si="109"/>
        <v>293.33333333333678</v>
      </c>
      <c r="S170" s="62">
        <f ca="1">AVERAGE(OFFSET($R$3,0,0,'Données projet'!$E$9+1,1))-AVERAGE(OFFSET($H$3,0,0,'Données projet'!$E$9+1,1))</f>
        <v>210.566504119093</v>
      </c>
      <c r="T170" s="62">
        <f t="shared" si="142"/>
        <v>365.95065044620048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0.55736258749287326</v>
      </c>
      <c r="AA170" s="23">
        <f>EXP(-LN(2)/25)*AA169+(1-EXP(-LN(2)/25))/(LN(2)/25)*Calculateur!V170*Calculateur!X170*VLOOKUP('Données projet'!$B$9,Paramètres!$A$1:$I$89,3,0)*0.475*44/12</f>
        <v>9.6672282285634042E-2</v>
      </c>
      <c r="AB170" s="23">
        <f>EXP(-LN(2)/2)*AB169+(1-EXP(-LN(2)/2))/(LN(2)/2)*V170*Y170*VLOOKUP('Données projet'!$B$9,Paramètres!$A$1:$I$89,3,0)*0.475*44/12</f>
        <v>1.0385516229066341E-20</v>
      </c>
      <c r="AC170" s="24">
        <f t="shared" si="163"/>
        <v>0.65403486977850733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295.01137243247126</v>
      </c>
      <c r="AO170" s="62">
        <f t="shared" si="144"/>
        <v>221.9773436301067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0.24150427028637902</v>
      </c>
      <c r="AV170" s="23">
        <f>EXP(-LN(2)/25)*AV169+(1-EXP(-LN(2)/25))/(LN(2)/25)*Calculateur!AQ170*Calculateur!AS170*VLOOKUP('Données projet'!$B$10,Paramètres!$A$1:$I$89,3,0)*0.475*44/12</f>
        <v>5.4174290535553421E-2</v>
      </c>
      <c r="AW170" s="23">
        <f>EXP(-LN(2)/2)*AW169+(1-EXP(-LN(2)/2))/(LN(2)/2)*AQ170*AT170*VLOOKUP('Données projet'!$B$10,Paramètres!$A$1:$I$89,3,0)*0.475*44/12</f>
        <v>8.2727937365514972E-21</v>
      </c>
      <c r="AX170" s="23">
        <f t="shared" si="166"/>
        <v>0.29567856082193245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projet'!$B$11,Paramètres!$A$1:$I$89,3,0)*VLOOKUP('Données projet'!$B$11,Paramètres!$A$1:$I$89,5,0)</f>
        <v>-3.1036506698001178E-14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159.92263609041913</v>
      </c>
      <c r="BJ170" s="62">
        <f t="shared" si="146"/>
        <v>271.78119133009307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1.5212367116900181</v>
      </c>
      <c r="BQ170" s="23">
        <f>EXP(-LN(2)/25)*BQ169+(1-EXP(-LN(2)/25))/(LN(2)/25)*Calculateur!BL170*Calculateur!BN170*VLOOKUP('Données projet'!$B$11,Paramètres!$A$1:$I$89,3,0)*0.475*44/12</f>
        <v>0.43037240766231105</v>
      </c>
      <c r="BR170" s="23">
        <f>EXP(-LN(2)/2)*BR169+(1-EXP(-LN(2)/2))/(LN(2)/2)*BL170*BO170*VLOOKUP('Données projet'!$B$11,Paramètres!$A$1:$I$89,3,0)*0.475*44/12</f>
        <v>1.9486217397752387E-20</v>
      </c>
      <c r="BS170" s="24">
        <f t="shared" si="169"/>
        <v>1.9516091193523291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1.2710188457276673E-13</v>
      </c>
      <c r="P171" s="14">
        <f t="shared" si="141"/>
        <v>1.856866851063998E-12</v>
      </c>
      <c r="Q171" s="22">
        <f t="shared" si="162"/>
        <v>3.4554122145673649E-12</v>
      </c>
      <c r="R171" s="62">
        <f t="shared" si="109"/>
        <v>293.33333333333678</v>
      </c>
      <c r="S171" s="62">
        <f ca="1">AVERAGE(OFFSET($R$3,0,0,'Données projet'!$E$9+1,1))-AVERAGE(OFFSET($H$3,0,0,'Données projet'!$E$9+1,1))</f>
        <v>210.566504119093</v>
      </c>
      <c r="T171" s="62">
        <f t="shared" si="142"/>
        <v>365.95065044620048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0.54643304710974838</v>
      </c>
      <c r="AA171" s="23">
        <f>EXP(-LN(2)/25)*AA170+(1-EXP(-LN(2)/25))/(LN(2)/25)*Calculateur!V171*Calculateur!X171*VLOOKUP('Données projet'!$B$9,Paramètres!$A$1:$I$89,3,0)*0.475*44/12</f>
        <v>9.4028773642758995E-2</v>
      </c>
      <c r="AB171" s="23">
        <f>EXP(-LN(2)/2)*AB170+(1-EXP(-LN(2)/2))/(LN(2)/2)*V171*Y171*VLOOKUP('Données projet'!$B$9,Paramètres!$A$1:$I$89,3,0)*0.475*44/12</f>
        <v>7.3436689516957515E-21</v>
      </c>
      <c r="AC171" s="24">
        <f t="shared" si="163"/>
        <v>0.64046182075250735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295.01137243247126</v>
      </c>
      <c r="AO171" s="62">
        <f t="shared" si="144"/>
        <v>221.9773436301067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0.23676851884912303</v>
      </c>
      <c r="AV171" s="23">
        <f>EXP(-LN(2)/25)*AV170+(1-EXP(-LN(2)/25))/(LN(2)/25)*Calculateur!AQ171*Calculateur!AS171*VLOOKUP('Données projet'!$B$10,Paramètres!$A$1:$I$89,3,0)*0.475*44/12</f>
        <v>5.269289171195659E-2</v>
      </c>
      <c r="AW171" s="23">
        <f>EXP(-LN(2)/2)*AW170+(1-EXP(-LN(2)/2))/(LN(2)/2)*AQ171*AT171*VLOOKUP('Données projet'!$B$10,Paramètres!$A$1:$I$89,3,0)*0.475*44/12</f>
        <v>5.8497485504731606E-21</v>
      </c>
      <c r="AX171" s="23">
        <f t="shared" si="166"/>
        <v>0.2894614105610796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projet'!$B$11,Paramètres!$A$1:$I$89,3,0)*VLOOKUP('Données projet'!$B$11,Paramètres!$A$1:$I$89,5,0)</f>
        <v>-3.1036506698001178E-14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159.92263609041913</v>
      </c>
      <c r="BJ171" s="62">
        <f t="shared" si="146"/>
        <v>271.78119133009307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1.4914061876365521</v>
      </c>
      <c r="BQ171" s="23">
        <f>EXP(-LN(2)/25)*BQ170+(1-EXP(-LN(2)/25))/(LN(2)/25)*Calculateur!BL171*Calculateur!BN171*VLOOKUP('Données projet'!$B$11,Paramètres!$A$1:$I$89,3,0)*0.475*44/12</f>
        <v>0.41860385154248386</v>
      </c>
      <c r="BR171" s="23">
        <f>EXP(-LN(2)/2)*BR170+(1-EXP(-LN(2)/2))/(LN(2)/2)*BL171*BO171*VLOOKUP('Données projet'!$B$11,Paramètres!$A$1:$I$89,3,0)*0.475*44/12</f>
        <v>1.3778836461625993E-20</v>
      </c>
      <c r="BS171" s="24">
        <f t="shared" si="169"/>
        <v>1.910010039179036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1.2710188457276673E-13</v>
      </c>
      <c r="P172" s="14">
        <f t="shared" si="141"/>
        <v>1.856866851063998E-12</v>
      </c>
      <c r="Q172" s="22">
        <f t="shared" si="162"/>
        <v>3.4554122145673649E-12</v>
      </c>
      <c r="R172" s="62">
        <f t="shared" si="109"/>
        <v>293.33333333333678</v>
      </c>
      <c r="S172" s="62">
        <f ca="1">AVERAGE(OFFSET($R$3,0,0,'Données projet'!$E$9+1,1))-AVERAGE(OFFSET($H$3,0,0,'Données projet'!$E$9+1,1))</f>
        <v>210.566504119093</v>
      </c>
      <c r="T172" s="62">
        <f t="shared" si="142"/>
        <v>365.95065044620048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0.53571782834717518</v>
      </c>
      <c r="AA172" s="23">
        <f>EXP(-LN(2)/25)*AA171+(1-EXP(-LN(2)/25))/(LN(2)/25)*Calculateur!V172*Calculateur!X172*VLOOKUP('Données projet'!$B$9,Paramètres!$A$1:$I$89,3,0)*0.475*44/12</f>
        <v>9.1457551882739449E-2</v>
      </c>
      <c r="AB172" s="23">
        <f>EXP(-LN(2)/2)*AB171+(1-EXP(-LN(2)/2))/(LN(2)/2)*V172*Y172*VLOOKUP('Données projet'!$B$9,Paramètres!$A$1:$I$89,3,0)*0.475*44/12</f>
        <v>5.1927581145331706E-21</v>
      </c>
      <c r="AC172" s="24">
        <f t="shared" si="163"/>
        <v>0.62717538022991459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295.01137243247126</v>
      </c>
      <c r="AO172" s="62">
        <f t="shared" si="144"/>
        <v>221.9773436301067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0.23212563260902846</v>
      </c>
      <c r="AV172" s="23">
        <f>EXP(-LN(2)/25)*AV171+(1-EXP(-LN(2)/25))/(LN(2)/25)*Calculateur!AQ172*Calculateur!AS172*VLOOKUP('Données projet'!$B$10,Paramètres!$A$1:$I$89,3,0)*0.475*44/12</f>
        <v>5.1252001817094391E-2</v>
      </c>
      <c r="AW172" s="23">
        <f>EXP(-LN(2)/2)*AW171+(1-EXP(-LN(2)/2))/(LN(2)/2)*AQ172*AT172*VLOOKUP('Données projet'!$B$10,Paramètres!$A$1:$I$89,3,0)*0.475*44/12</f>
        <v>4.1363968682757486E-21</v>
      </c>
      <c r="AX172" s="23">
        <f t="shared" si="166"/>
        <v>0.28337763442612285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projet'!$B$11,Paramètres!$A$1:$I$89,3,0)*VLOOKUP('Données projet'!$B$11,Paramètres!$A$1:$I$89,5,0)</f>
        <v>-3.1036506698001178E-14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159.92263609041913</v>
      </c>
      <c r="BJ172" s="62">
        <f t="shared" si="146"/>
        <v>271.78119133009307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1.4621606219649514</v>
      </c>
      <c r="BQ172" s="23">
        <f>EXP(-LN(2)/25)*BQ171+(1-EXP(-LN(2)/25))/(LN(2)/25)*Calculateur!BL172*Calculateur!BN172*VLOOKUP('Données projet'!$B$11,Paramètres!$A$1:$I$89,3,0)*0.475*44/12</f>
        <v>0.40715710720863479</v>
      </c>
      <c r="BR172" s="23">
        <f>EXP(-LN(2)/2)*BR171+(1-EXP(-LN(2)/2))/(LN(2)/2)*BL172*BO172*VLOOKUP('Données projet'!$B$11,Paramètres!$A$1:$I$89,3,0)*0.475*44/12</f>
        <v>9.7431086988761934E-21</v>
      </c>
      <c r="BS172" s="24">
        <f t="shared" si="169"/>
        <v>1.8693177291735863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1.2710188457276673E-13</v>
      </c>
      <c r="P173" s="14">
        <f t="shared" si="141"/>
        <v>1.856866851063998E-12</v>
      </c>
      <c r="Q173" s="22">
        <f t="shared" si="162"/>
        <v>3.4554122145673649E-12</v>
      </c>
      <c r="R173" s="62">
        <f t="shared" si="109"/>
        <v>293.33333333333678</v>
      </c>
      <c r="S173" s="62">
        <f ca="1">AVERAGE(OFFSET($R$3,0,0,'Données projet'!$E$9+1,1))-AVERAGE(OFFSET($H$3,0,0,'Données projet'!$E$9+1,1))</f>
        <v>210.566504119093</v>
      </c>
      <c r="T173" s="62">
        <f t="shared" si="142"/>
        <v>365.95065044620048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0.52521272848889788</v>
      </c>
      <c r="AA173" s="23">
        <f>EXP(-LN(2)/25)*AA172+(1-EXP(-LN(2)/25))/(LN(2)/25)*Calculateur!V173*Calculateur!X173*VLOOKUP('Données projet'!$B$9,Paramètres!$A$1:$I$89,3,0)*0.475*44/12</f>
        <v>8.8956640316962321E-2</v>
      </c>
      <c r="AB173" s="23">
        <f>EXP(-LN(2)/2)*AB172+(1-EXP(-LN(2)/2))/(LN(2)/2)*V173*Y173*VLOOKUP('Données projet'!$B$9,Paramètres!$A$1:$I$89,3,0)*0.475*44/12</f>
        <v>3.6718344758478758E-21</v>
      </c>
      <c r="AC173" s="24">
        <f t="shared" si="163"/>
        <v>0.61416936880586026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295.01137243247126</v>
      </c>
      <c r="AO173" s="62">
        <f t="shared" si="144"/>
        <v>221.9773436301067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0.22757379053622118</v>
      </c>
      <c r="AV173" s="23">
        <f>EXP(-LN(2)/25)*AV172+(1-EXP(-LN(2)/25))/(LN(2)/25)*Calculateur!AQ173*Calculateur!AS173*VLOOKUP('Données projet'!$B$10,Paramètres!$A$1:$I$89,3,0)*0.475*44/12</f>
        <v>4.9850513132180307E-2</v>
      </c>
      <c r="AW173" s="23">
        <f>EXP(-LN(2)/2)*AW172+(1-EXP(-LN(2)/2))/(LN(2)/2)*AQ173*AT173*VLOOKUP('Données projet'!$B$10,Paramètres!$A$1:$I$89,3,0)*0.475*44/12</f>
        <v>2.9248742752365803E-21</v>
      </c>
      <c r="AX173" s="23">
        <f t="shared" si="166"/>
        <v>0.27742430366840148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projet'!$B$11,Paramètres!$A$1:$I$89,3,0)*VLOOKUP('Données projet'!$B$11,Paramètres!$A$1:$I$89,5,0)</f>
        <v>-3.1036506698001178E-14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159.92263609041913</v>
      </c>
      <c r="BJ173" s="62">
        <f t="shared" si="146"/>
        <v>271.78119133009307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1.4334885439981373</v>
      </c>
      <c r="BQ173" s="23">
        <f>EXP(-LN(2)/25)*BQ172+(1-EXP(-LN(2)/25))/(LN(2)/25)*Calculateur!BL173*Calculateur!BN173*VLOOKUP('Données projet'!$B$11,Paramètres!$A$1:$I$89,3,0)*0.475*44/12</f>
        <v>0.39602337470055299</v>
      </c>
      <c r="BR173" s="23">
        <f>EXP(-LN(2)/2)*BR172+(1-EXP(-LN(2)/2))/(LN(2)/2)*BL173*BO173*VLOOKUP('Données projet'!$B$11,Paramètres!$A$1:$I$89,3,0)*0.475*44/12</f>
        <v>6.8894182308129963E-21</v>
      </c>
      <c r="BS173" s="24">
        <f t="shared" si="169"/>
        <v>1.8295119186986903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1.2710188457276673E-13</v>
      </c>
      <c r="P174" s="14">
        <f t="shared" si="141"/>
        <v>1.856866851063998E-12</v>
      </c>
      <c r="Q174" s="22">
        <f t="shared" si="162"/>
        <v>3.4554122145673649E-12</v>
      </c>
      <c r="R174" s="62">
        <f t="shared" si="109"/>
        <v>293.33333333333678</v>
      </c>
      <c r="S174" s="62">
        <f ca="1">AVERAGE(OFFSET($R$3,0,0,'Données projet'!$E$9+1,1))-AVERAGE(OFFSET($H$3,0,0,'Données projet'!$E$9+1,1))</f>
        <v>210.566504119093</v>
      </c>
      <c r="T174" s="62">
        <f t="shared" si="142"/>
        <v>365.95065044620048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0.51491362723136325</v>
      </c>
      <c r="AA174" s="23">
        <f>EXP(-LN(2)/25)*AA173+(1-EXP(-LN(2)/25))/(LN(2)/25)*Calculateur!V174*Calculateur!X174*VLOOKUP('Données projet'!$B$9,Paramètres!$A$1:$I$89,3,0)*0.475*44/12</f>
        <v>8.6524116309468588E-2</v>
      </c>
      <c r="AB174" s="23">
        <f>EXP(-LN(2)/2)*AB173+(1-EXP(-LN(2)/2))/(LN(2)/2)*V174*Y174*VLOOKUP('Données projet'!$B$9,Paramètres!$A$1:$I$89,3,0)*0.475*44/12</f>
        <v>2.5963790572665853E-21</v>
      </c>
      <c r="AC174" s="24">
        <f t="shared" si="163"/>
        <v>0.60143774354083179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295.01137243247126</v>
      </c>
      <c r="AO174" s="62">
        <f t="shared" si="144"/>
        <v>221.9773436301067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0.22311120731011211</v>
      </c>
      <c r="AV174" s="23">
        <f>EXP(-LN(2)/25)*AV173+(1-EXP(-LN(2)/25))/(LN(2)/25)*Calculateur!AQ174*Calculateur!AS174*VLOOKUP('Données projet'!$B$10,Paramètres!$A$1:$I$89,3,0)*0.475*44/12</f>
        <v>4.8487348229056287E-2</v>
      </c>
      <c r="AW174" s="23">
        <f>EXP(-LN(2)/2)*AW173+(1-EXP(-LN(2)/2))/(LN(2)/2)*AQ174*AT174*VLOOKUP('Données projet'!$B$10,Paramètres!$A$1:$I$89,3,0)*0.475*44/12</f>
        <v>2.0681984341378743E-21</v>
      </c>
      <c r="AX174" s="23">
        <f t="shared" si="166"/>
        <v>0.2715985555391684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projet'!$B$11,Paramètres!$A$1:$I$89,3,0)*VLOOKUP('Données projet'!$B$11,Paramètres!$A$1:$I$89,5,0)</f>
        <v>-3.1036506698001178E-14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159.92263609041913</v>
      </c>
      <c r="BJ174" s="62">
        <f t="shared" si="146"/>
        <v>271.78119133009307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1.4053787079920117</v>
      </c>
      <c r="BQ174" s="23">
        <f>EXP(-LN(2)/25)*BQ173+(1-EXP(-LN(2)/25))/(LN(2)/25)*Calculateur!BL174*Calculateur!BN174*VLOOKUP('Données projet'!$B$11,Paramètres!$A$1:$I$89,3,0)*0.475*44/12</f>
        <v>0.38519409469340221</v>
      </c>
      <c r="BR174" s="23">
        <f>EXP(-LN(2)/2)*BR173+(1-EXP(-LN(2)/2))/(LN(2)/2)*BL174*BO174*VLOOKUP('Données projet'!$B$11,Paramètres!$A$1:$I$89,3,0)*0.475*44/12</f>
        <v>4.8715543494380967E-21</v>
      </c>
      <c r="BS174" s="24">
        <f t="shared" si="169"/>
        <v>1.790572802685414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1.2710188457276673E-13</v>
      </c>
      <c r="P175" s="14">
        <f t="shared" si="141"/>
        <v>1.856866851063998E-12</v>
      </c>
      <c r="Q175" s="22">
        <f t="shared" si="162"/>
        <v>3.4554122145673649E-12</v>
      </c>
      <c r="R175" s="62">
        <f t="shared" si="109"/>
        <v>293.33333333333678</v>
      </c>
      <c r="S175" s="62">
        <f ca="1">AVERAGE(OFFSET($R$3,0,0,'Données projet'!$E$9+1,1))-AVERAGE(OFFSET($H$3,0,0,'Données projet'!$E$9+1,1))</f>
        <v>210.566504119093</v>
      </c>
      <c r="T175" s="62">
        <f t="shared" si="142"/>
        <v>365.95065044620048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0.50481648506765731</v>
      </c>
      <c r="AA175" s="23">
        <f>EXP(-LN(2)/25)*AA174+(1-EXP(-LN(2)/25))/(LN(2)/25)*Calculateur!V175*Calculateur!X175*VLOOKUP('Données projet'!$B$9,Paramètres!$A$1:$I$89,3,0)*0.475*44/12</f>
        <v>8.4158109798880651E-2</v>
      </c>
      <c r="AB175" s="23">
        <f>EXP(-LN(2)/2)*AB174+(1-EXP(-LN(2)/2))/(LN(2)/2)*V175*Y175*VLOOKUP('Données projet'!$B$9,Paramètres!$A$1:$I$89,3,0)*0.475*44/12</f>
        <v>1.8359172379239379E-21</v>
      </c>
      <c r="AC175" s="24">
        <f t="shared" si="163"/>
        <v>0.58897459486653791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295.01137243247126</v>
      </c>
      <c r="AO175" s="62">
        <f t="shared" si="144"/>
        <v>221.9773436301067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0.21873613261916006</v>
      </c>
      <c r="AV175" s="23">
        <f>EXP(-LN(2)/25)*AV174+(1-EXP(-LN(2)/25))/(LN(2)/25)*Calculateur!AQ175*Calculateur!AS175*VLOOKUP('Données projet'!$B$10,Paramètres!$A$1:$I$89,3,0)*0.475*44/12</f>
        <v>4.7161459141893916E-2</v>
      </c>
      <c r="AW175" s="23">
        <f>EXP(-LN(2)/2)*AW174+(1-EXP(-LN(2)/2))/(LN(2)/2)*AQ175*AT175*VLOOKUP('Données projet'!$B$10,Paramètres!$A$1:$I$89,3,0)*0.475*44/12</f>
        <v>1.4624371376182901E-21</v>
      </c>
      <c r="AX175" s="23">
        <f t="shared" si="166"/>
        <v>0.26589759176105399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projet'!$B$11,Paramètres!$A$1:$I$89,3,0)*VLOOKUP('Données projet'!$B$11,Paramètres!$A$1:$I$89,5,0)</f>
        <v>-3.1036506698001178E-14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159.92263609041913</v>
      </c>
      <c r="BJ175" s="62">
        <f t="shared" si="146"/>
        <v>271.78119133009307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1.3778200887246592</v>
      </c>
      <c r="BQ175" s="23">
        <f>EXP(-LN(2)/25)*BQ174+(1-EXP(-LN(2)/25))/(LN(2)/25)*Calculateur!BL175*Calculateur!BN175*VLOOKUP('Données projet'!$B$11,Paramètres!$A$1:$I$89,3,0)*0.475*44/12</f>
        <v>0.37466094191753407</v>
      </c>
      <c r="BR175" s="23">
        <f>EXP(-LN(2)/2)*BR174+(1-EXP(-LN(2)/2))/(LN(2)/2)*BL175*BO175*VLOOKUP('Données projet'!$B$11,Paramètres!$A$1:$I$89,3,0)*0.475*44/12</f>
        <v>3.4447091154064981E-21</v>
      </c>
      <c r="BS175" s="24">
        <f t="shared" si="169"/>
        <v>1.7524810306421932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1.2710188457276673E-13</v>
      </c>
      <c r="P176" s="14">
        <f t="shared" si="141"/>
        <v>1.856866851063998E-12</v>
      </c>
      <c r="Q176" s="22">
        <f t="shared" si="162"/>
        <v>3.4554122145673649E-12</v>
      </c>
      <c r="R176" s="62">
        <f t="shared" si="109"/>
        <v>293.33333333333678</v>
      </c>
      <c r="S176" s="62">
        <f ca="1">AVERAGE(OFFSET($R$3,0,0,'Données projet'!$E$9+1,1))-AVERAGE(OFFSET($H$3,0,0,'Données projet'!$E$9+1,1))</f>
        <v>210.566504119093</v>
      </c>
      <c r="T176" s="62">
        <f t="shared" si="142"/>
        <v>365.95065044620048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0.49491734170313306</v>
      </c>
      <c r="AA176" s="23">
        <f>EXP(-LN(2)/25)*AA175+(1-EXP(-LN(2)/25))/(LN(2)/25)*Calculateur!V176*Calculateur!X176*VLOOKUP('Données projet'!$B$9,Paramètres!$A$1:$I$89,3,0)*0.475*44/12</f>
        <v>8.1856801860747605E-2</v>
      </c>
      <c r="AB176" s="23">
        <f>EXP(-LN(2)/2)*AB175+(1-EXP(-LN(2)/2))/(LN(2)/2)*V176*Y176*VLOOKUP('Données projet'!$B$9,Paramètres!$A$1:$I$89,3,0)*0.475*44/12</f>
        <v>1.2981895286332927E-21</v>
      </c>
      <c r="AC176" s="24">
        <f t="shared" si="163"/>
        <v>0.57677414356388068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295.01137243247126</v>
      </c>
      <c r="AO176" s="62">
        <f t="shared" si="144"/>
        <v>221.9773436301067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0.21444685047436551</v>
      </c>
      <c r="AV176" s="23">
        <f>EXP(-LN(2)/25)*AV175+(1-EXP(-LN(2)/25))/(LN(2)/25)*Calculateur!AQ176*Calculateur!AS176*VLOOKUP('Données projet'!$B$10,Paramètres!$A$1:$I$89,3,0)*0.475*44/12</f>
        <v>4.5871826561545481E-2</v>
      </c>
      <c r="AW176" s="23">
        <f>EXP(-LN(2)/2)*AW175+(1-EXP(-LN(2)/2))/(LN(2)/2)*AQ176*AT176*VLOOKUP('Données projet'!$B$10,Paramètres!$A$1:$I$89,3,0)*0.475*44/12</f>
        <v>1.0340992170689372E-21</v>
      </c>
      <c r="AX176" s="23">
        <f t="shared" si="166"/>
        <v>0.26031867703591099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projet'!$B$11,Paramètres!$A$1:$I$89,3,0)*VLOOKUP('Données projet'!$B$11,Paramètres!$A$1:$I$89,5,0)</f>
        <v>-3.1036506698001178E-14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159.92263609041913</v>
      </c>
      <c r="BJ176" s="62">
        <f t="shared" si="146"/>
        <v>271.78119133009307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1.3508018771720414</v>
      </c>
      <c r="BQ176" s="23">
        <f>EXP(-LN(2)/25)*BQ175+(1-EXP(-LN(2)/25))/(LN(2)/25)*Calculateur!BL176*Calculateur!BN176*VLOOKUP('Données projet'!$B$11,Paramètres!$A$1:$I$89,3,0)*0.475*44/12</f>
        <v>0.36441581875823648</v>
      </c>
      <c r="BR176" s="23">
        <f>EXP(-LN(2)/2)*BR175+(1-EXP(-LN(2)/2))/(LN(2)/2)*BL176*BO176*VLOOKUP('Données projet'!$B$11,Paramètres!$A$1:$I$89,3,0)*0.475*44/12</f>
        <v>2.4357771747190484E-21</v>
      </c>
      <c r="BS176" s="24">
        <f t="shared" si="169"/>
        <v>1.7152176959302778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1.2710188457276673E-13</v>
      </c>
      <c r="P177" s="14">
        <f t="shared" si="141"/>
        <v>1.856866851063998E-12</v>
      </c>
      <c r="Q177" s="22">
        <f t="shared" si="162"/>
        <v>3.4554122145673649E-12</v>
      </c>
      <c r="R177" s="62">
        <f t="shared" si="109"/>
        <v>293.33333333333678</v>
      </c>
      <c r="S177" s="62">
        <f ca="1">AVERAGE(OFFSET($R$3,0,0,'Données projet'!$E$9+1,1))-AVERAGE(OFFSET($H$3,0,0,'Données projet'!$E$9+1,1))</f>
        <v>210.566504119093</v>
      </c>
      <c r="T177" s="62">
        <f t="shared" si="142"/>
        <v>365.95065044620048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0.48521231450210589</v>
      </c>
      <c r="AA177" s="23">
        <f>EXP(-LN(2)/25)*AA176+(1-EXP(-LN(2)/25))/(LN(2)/25)*Calculateur!V177*Calculateur!X177*VLOOKUP('Données projet'!$B$9,Paramètres!$A$1:$I$89,3,0)*0.475*44/12</f>
        <v>7.9618423309203337E-2</v>
      </c>
      <c r="AB177" s="23">
        <f>EXP(-LN(2)/2)*AB176+(1-EXP(-LN(2)/2))/(LN(2)/2)*V177*Y177*VLOOKUP('Données projet'!$B$9,Paramètres!$A$1:$I$89,3,0)*0.475*44/12</f>
        <v>9.1795861896196894E-22</v>
      </c>
      <c r="AC177" s="24">
        <f t="shared" si="163"/>
        <v>0.56483073781130921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295.01137243247126</v>
      </c>
      <c r="AO177" s="62">
        <f t="shared" si="144"/>
        <v>221.9773436301067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0.21024167853622661</v>
      </c>
      <c r="AV177" s="23">
        <f>EXP(-LN(2)/25)*AV176+(1-EXP(-LN(2)/25))/(LN(2)/25)*Calculateur!AQ177*Calculateur!AS177*VLOOKUP('Données projet'!$B$10,Paramètres!$A$1:$I$89,3,0)*0.475*44/12</f>
        <v>4.4617459051925504E-2</v>
      </c>
      <c r="AW177" s="23">
        <f>EXP(-LN(2)/2)*AW176+(1-EXP(-LN(2)/2))/(LN(2)/2)*AQ177*AT177*VLOOKUP('Données projet'!$B$10,Paramètres!$A$1:$I$89,3,0)*0.475*44/12</f>
        <v>7.3121856880914507E-22</v>
      </c>
      <c r="AX177" s="23">
        <f t="shared" si="166"/>
        <v>0.2548591375881521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projet'!$B$11,Paramètres!$A$1:$I$89,3,0)*VLOOKUP('Données projet'!$B$11,Paramètres!$A$1:$I$89,5,0)</f>
        <v>-3.1036506698001178E-14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159.92263609041913</v>
      </c>
      <c r="BJ177" s="62">
        <f t="shared" si="146"/>
        <v>271.78119133009307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1.3243134762684885</v>
      </c>
      <c r="BQ177" s="23">
        <f>EXP(-LN(2)/25)*BQ176+(1-EXP(-LN(2)/25))/(LN(2)/25)*Calculateur!BL177*Calculateur!BN177*VLOOKUP('Données projet'!$B$11,Paramètres!$A$1:$I$89,3,0)*0.475*44/12</f>
        <v>0.35445084903049745</v>
      </c>
      <c r="BR177" s="23">
        <f>EXP(-LN(2)/2)*BR176+(1-EXP(-LN(2)/2))/(LN(2)/2)*BL177*BO177*VLOOKUP('Données projet'!$B$11,Paramètres!$A$1:$I$89,3,0)*0.475*44/12</f>
        <v>1.7223545577032491E-21</v>
      </c>
      <c r="BS177" s="24">
        <f t="shared" si="169"/>
        <v>1.6787643252989859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1.2710188457276673E-13</v>
      </c>
      <c r="P178" s="14">
        <f t="shared" si="141"/>
        <v>1.856866851063998E-12</v>
      </c>
      <c r="Q178" s="22">
        <f t="shared" si="162"/>
        <v>3.4554122145673649E-12</v>
      </c>
      <c r="R178" s="62">
        <f t="shared" si="109"/>
        <v>293.33333333333678</v>
      </c>
      <c r="S178" s="62">
        <f ca="1">AVERAGE(OFFSET($R$3,0,0,'Données projet'!$E$9+1,1))-AVERAGE(OFFSET($H$3,0,0,'Données projet'!$E$9+1,1))</f>
        <v>210.566504119093</v>
      </c>
      <c r="T178" s="62">
        <f t="shared" si="142"/>
        <v>365.95065044620048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0.4756975969650088</v>
      </c>
      <c r="AA178" s="23">
        <f>EXP(-LN(2)/25)*AA177+(1-EXP(-LN(2)/25))/(LN(2)/25)*Calculateur!V178*Calculateur!X178*VLOOKUP('Données projet'!$B$9,Paramètres!$A$1:$I$89,3,0)*0.475*44/12</f>
        <v>7.7441253336862262E-2</v>
      </c>
      <c r="AB178" s="23">
        <f>EXP(-LN(2)/2)*AB177+(1-EXP(-LN(2)/2))/(LN(2)/2)*V178*Y178*VLOOKUP('Données projet'!$B$9,Paramètres!$A$1:$I$89,3,0)*0.475*44/12</f>
        <v>6.4909476431664633E-22</v>
      </c>
      <c r="AC178" s="24">
        <f t="shared" si="163"/>
        <v>0.55313885030187104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295.01137243247126</v>
      </c>
      <c r="AO178" s="62">
        <f t="shared" si="144"/>
        <v>221.9773436301067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0.20611896745489297</v>
      </c>
      <c r="AV178" s="23">
        <f>EXP(-LN(2)/25)*AV177+(1-EXP(-LN(2)/25))/(LN(2)/25)*Calculateur!AQ178*Calculateur!AS178*VLOOKUP('Données projet'!$B$10,Paramètres!$A$1:$I$89,3,0)*0.475*44/12</f>
        <v>4.3397392287820406E-2</v>
      </c>
      <c r="AW178" s="23">
        <f>EXP(-LN(2)/2)*AW177+(1-EXP(-LN(2)/2))/(LN(2)/2)*AQ178*AT178*VLOOKUP('Données projet'!$B$10,Paramètres!$A$1:$I$89,3,0)*0.475*44/12</f>
        <v>5.1704960853446858E-22</v>
      </c>
      <c r="AX178" s="23">
        <f t="shared" si="166"/>
        <v>0.24951635974271338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projet'!$B$11,Paramètres!$A$1:$I$89,3,0)*VLOOKUP('Données projet'!$B$11,Paramètres!$A$1:$I$89,5,0)</f>
        <v>-3.1036506698001178E-14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159.92263609041913</v>
      </c>
      <c r="BJ178" s="62">
        <f t="shared" si="146"/>
        <v>271.78119133009307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1.298344496750325</v>
      </c>
      <c r="BQ178" s="23">
        <f>EXP(-LN(2)/25)*BQ177+(1-EXP(-LN(2)/25))/(LN(2)/25)*Calculateur!BL178*Calculateur!BN178*VLOOKUP('Données projet'!$B$11,Paramètres!$A$1:$I$89,3,0)*0.475*44/12</f>
        <v>0.34475837192399844</v>
      </c>
      <c r="BR178" s="23">
        <f>EXP(-LN(2)/2)*BR177+(1-EXP(-LN(2)/2))/(LN(2)/2)*BL178*BO178*VLOOKUP('Données projet'!$B$11,Paramètres!$A$1:$I$89,3,0)*0.475*44/12</f>
        <v>1.2178885873595242E-21</v>
      </c>
      <c r="BS178" s="24">
        <f t="shared" si="169"/>
        <v>1.6431028686743234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1.2710188457276673E-13</v>
      </c>
      <c r="P179" s="14">
        <f t="shared" si="141"/>
        <v>1.856866851063998E-12</v>
      </c>
      <c r="Q179" s="22">
        <f t="shared" si="162"/>
        <v>3.4554122145673649E-12</v>
      </c>
      <c r="R179" s="62">
        <f t="shared" si="109"/>
        <v>293.33333333333678</v>
      </c>
      <c r="S179" s="62">
        <f ca="1">AVERAGE(OFFSET($R$3,0,0,'Données projet'!$E$9+1,1))-AVERAGE(OFFSET($H$3,0,0,'Données projet'!$E$9+1,1))</f>
        <v>210.566504119093</v>
      </c>
      <c r="T179" s="62">
        <f t="shared" si="142"/>
        <v>365.95065044620048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0.46636945723540951</v>
      </c>
      <c r="AA179" s="23">
        <f>EXP(-LN(2)/25)*AA178+(1-EXP(-LN(2)/25))/(LN(2)/25)*Calculateur!V179*Calculateur!X179*VLOOKUP('Données projet'!$B$9,Paramètres!$A$1:$I$89,3,0)*0.475*44/12</f>
        <v>7.5323618191907249E-2</v>
      </c>
      <c r="AB179" s="23">
        <f>EXP(-LN(2)/2)*AB178+(1-EXP(-LN(2)/2))/(LN(2)/2)*V179*Y179*VLOOKUP('Données projet'!$B$9,Paramètres!$A$1:$I$89,3,0)*0.475*44/12</f>
        <v>4.5897930948098447E-22</v>
      </c>
      <c r="AC179" s="24">
        <f t="shared" si="163"/>
        <v>0.54169307542731682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295.01137243247126</v>
      </c>
      <c r="AO179" s="62">
        <f t="shared" si="144"/>
        <v>221.9773436301067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0.20207710022325884</v>
      </c>
      <c r="AV179" s="23">
        <f>EXP(-LN(2)/25)*AV178+(1-EXP(-LN(2)/25))/(LN(2)/25)*Calculateur!AQ179*Calculateur!AS179*VLOOKUP('Données projet'!$B$10,Paramètres!$A$1:$I$89,3,0)*0.475*44/12</f>
        <v>4.221068831354028E-2</v>
      </c>
      <c r="AW179" s="23">
        <f>EXP(-LN(2)/2)*AW178+(1-EXP(-LN(2)/2))/(LN(2)/2)*AQ179*AT179*VLOOKUP('Données projet'!$B$10,Paramètres!$A$1:$I$89,3,0)*0.475*44/12</f>
        <v>3.6560928440457253E-22</v>
      </c>
      <c r="AX179" s="23">
        <f t="shared" si="166"/>
        <v>0.24428778853679911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projet'!$B$11,Paramètres!$A$1:$I$89,3,0)*VLOOKUP('Données projet'!$B$11,Paramètres!$A$1:$I$89,5,0)</f>
        <v>-3.1036506698001178E-14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159.92263609041913</v>
      </c>
      <c r="BJ179" s="62">
        <f t="shared" si="146"/>
        <v>271.78119133009307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1.2728847530809995</v>
      </c>
      <c r="BQ179" s="23">
        <f>EXP(-LN(2)/25)*BQ178+(1-EXP(-LN(2)/25))/(LN(2)/25)*Calculateur!BL179*Calculateur!BN179*VLOOKUP('Données projet'!$B$11,Paramètres!$A$1:$I$89,3,0)*0.475*44/12</f>
        <v>0.33533093611368187</v>
      </c>
      <c r="BR179" s="23">
        <f>EXP(-LN(2)/2)*BR178+(1-EXP(-LN(2)/2))/(LN(2)/2)*BL179*BO179*VLOOKUP('Données projet'!$B$11,Paramètres!$A$1:$I$89,3,0)*0.475*44/12</f>
        <v>8.6117727885162454E-22</v>
      </c>
      <c r="BS179" s="24">
        <f t="shared" si="169"/>
        <v>1.6082156891946813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1.2710188457276673E-13</v>
      </c>
      <c r="P180" s="14">
        <f t="shared" si="141"/>
        <v>1.856866851063998E-12</v>
      </c>
      <c r="Q180" s="22">
        <f t="shared" si="162"/>
        <v>3.4554122145673649E-12</v>
      </c>
      <c r="R180" s="62">
        <f t="shared" si="109"/>
        <v>293.33333333333678</v>
      </c>
      <c r="S180" s="62">
        <f ca="1">AVERAGE(OFFSET($R$3,0,0,'Données projet'!$E$9+1,1))-AVERAGE(OFFSET($H$3,0,0,'Données projet'!$E$9+1,1))</f>
        <v>210.566504119093</v>
      </c>
      <c r="T180" s="62">
        <f t="shared" si="142"/>
        <v>365.95065044620048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0.45722423663630424</v>
      </c>
      <c r="AA180" s="23">
        <f>EXP(-LN(2)/25)*AA179+(1-EXP(-LN(2)/25))/(LN(2)/25)*Calculateur!V180*Calculateur!X180*VLOOKUP('Données projet'!$B$9,Paramètres!$A$1:$I$89,3,0)*0.475*44/12</f>
        <v>7.3263889891352615E-2</v>
      </c>
      <c r="AB180" s="23">
        <f>EXP(-LN(2)/2)*AB179+(1-EXP(-LN(2)/2))/(LN(2)/2)*V180*Y180*VLOOKUP('Données projet'!$B$9,Paramètres!$A$1:$I$89,3,0)*0.475*44/12</f>
        <v>3.2454738215832316E-22</v>
      </c>
      <c r="AC180" s="24">
        <f t="shared" si="163"/>
        <v>0.53048812652765687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295.01137243247126</v>
      </c>
      <c r="AO180" s="62">
        <f t="shared" si="144"/>
        <v>221.9773436301067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0.19811449154274147</v>
      </c>
      <c r="AV180" s="23">
        <f>EXP(-LN(2)/25)*AV179+(1-EXP(-LN(2)/25))/(LN(2)/25)*Calculateur!AQ180*Calculateur!AS180*VLOOKUP('Données projet'!$B$10,Paramètres!$A$1:$I$89,3,0)*0.475*44/12</f>
        <v>4.1056434821842895E-2</v>
      </c>
      <c r="AW180" s="23">
        <f>EXP(-LN(2)/2)*AW179+(1-EXP(-LN(2)/2))/(LN(2)/2)*AQ180*AT180*VLOOKUP('Données projet'!$B$10,Paramètres!$A$1:$I$89,3,0)*0.475*44/12</f>
        <v>2.5852480426723429E-22</v>
      </c>
      <c r="AX180" s="23">
        <f t="shared" si="166"/>
        <v>0.23917092636458437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projet'!$B$11,Paramètres!$A$1:$I$89,3,0)*VLOOKUP('Données projet'!$B$11,Paramètres!$A$1:$I$89,5,0)</f>
        <v>-3.1036506698001178E-14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159.92263609041913</v>
      </c>
      <c r="BJ180" s="62">
        <f t="shared" si="146"/>
        <v>271.78119133009307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1.2479242594561191</v>
      </c>
      <c r="BQ180" s="23">
        <f>EXP(-LN(2)/25)*BQ179+(1-EXP(-LN(2)/25))/(LN(2)/25)*Calculateur!BL180*Calculateur!BN180*VLOOKUP('Données projet'!$B$11,Paramètres!$A$1:$I$89,3,0)*0.475*44/12</f>
        <v>0.32616129403136573</v>
      </c>
      <c r="BR180" s="23">
        <f>EXP(-LN(2)/2)*BR179+(1-EXP(-LN(2)/2))/(LN(2)/2)*BL180*BO180*VLOOKUP('Données projet'!$B$11,Paramètres!$A$1:$I$89,3,0)*0.475*44/12</f>
        <v>6.0894429367976209E-22</v>
      </c>
      <c r="BS180" s="24">
        <f t="shared" si="169"/>
        <v>1.5740855534874849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1.2710188457276673E-13</v>
      </c>
      <c r="P181" s="14">
        <f t="shared" si="141"/>
        <v>1.856866851063998E-12</v>
      </c>
      <c r="Q181" s="22">
        <f t="shared" si="162"/>
        <v>3.4554122145673649E-12</v>
      </c>
      <c r="R181" s="62">
        <f t="shared" si="109"/>
        <v>293.33333333333678</v>
      </c>
      <c r="S181" s="62">
        <f ca="1">AVERAGE(OFFSET($R$3,0,0,'Données projet'!$E$9+1,1))-AVERAGE(OFFSET($H$3,0,0,'Données projet'!$E$9+1,1))</f>
        <v>210.566504119093</v>
      </c>
      <c r="T181" s="62">
        <f t="shared" si="142"/>
        <v>365.95065044620048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0.44825834823511362</v>
      </c>
      <c r="AA181" s="23">
        <f>EXP(-LN(2)/25)*AA180+(1-EXP(-LN(2)/25))/(LN(2)/25)*Calculateur!V181*Calculateur!X181*VLOOKUP('Données projet'!$B$9,Paramètres!$A$1:$I$89,3,0)*0.475*44/12</f>
        <v>7.1260484969493054E-2</v>
      </c>
      <c r="AB181" s="23">
        <f>EXP(-LN(2)/2)*AB180+(1-EXP(-LN(2)/2))/(LN(2)/2)*V181*Y181*VLOOKUP('Données projet'!$B$9,Paramètres!$A$1:$I$89,3,0)*0.475*44/12</f>
        <v>2.2948965474049224E-22</v>
      </c>
      <c r="AC181" s="24">
        <f t="shared" si="163"/>
        <v>0.51951883320460668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295.01137243247126</v>
      </c>
      <c r="AO181" s="62">
        <f t="shared" si="144"/>
        <v>221.9773436301067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0.19422958720149638</v>
      </c>
      <c r="AV181" s="23">
        <f>EXP(-LN(2)/25)*AV180+(1-EXP(-LN(2)/25))/(LN(2)/25)*Calculateur!AQ181*Calculateur!AS181*VLOOKUP('Données projet'!$B$10,Paramètres!$A$1:$I$89,3,0)*0.475*44/12</f>
        <v>3.9933744452575533E-2</v>
      </c>
      <c r="AW181" s="23">
        <f>EXP(-LN(2)/2)*AW180+(1-EXP(-LN(2)/2))/(LN(2)/2)*AQ181*AT181*VLOOKUP('Données projet'!$B$10,Paramètres!$A$1:$I$89,3,0)*0.475*44/12</f>
        <v>1.8280464220228627E-22</v>
      </c>
      <c r="AX181" s="23">
        <f t="shared" si="166"/>
        <v>0.23416333165407191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projet'!$B$11,Paramètres!$A$1:$I$89,3,0)*VLOOKUP('Données projet'!$B$11,Paramètres!$A$1:$I$89,5,0)</f>
        <v>-3.1036506698001178E-14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159.92263609041913</v>
      </c>
      <c r="BJ181" s="62">
        <f t="shared" si="146"/>
        <v>271.78119133009307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1.2234532258868247</v>
      </c>
      <c r="BQ181" s="23">
        <f>EXP(-LN(2)/25)*BQ180+(1-EXP(-LN(2)/25))/(LN(2)/25)*Calculateur!BL181*Calculateur!BN181*VLOOKUP('Données projet'!$B$11,Paramètres!$A$1:$I$89,3,0)*0.475*44/12</f>
        <v>0.31724239629400103</v>
      </c>
      <c r="BR181" s="23">
        <f>EXP(-LN(2)/2)*BR180+(1-EXP(-LN(2)/2))/(LN(2)/2)*BL181*BO181*VLOOKUP('Données projet'!$B$11,Paramètres!$A$1:$I$89,3,0)*0.475*44/12</f>
        <v>4.3058863942581227E-22</v>
      </c>
      <c r="BS181" s="24">
        <f t="shared" si="169"/>
        <v>1.5406956221808257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1.2710188457276673E-13</v>
      </c>
      <c r="P182" s="14">
        <f t="shared" si="141"/>
        <v>1.856866851063998E-12</v>
      </c>
      <c r="Q182" s="22">
        <f t="shared" si="162"/>
        <v>3.4554122145673649E-12</v>
      </c>
      <c r="R182" s="62">
        <f t="shared" si="109"/>
        <v>293.33333333333678</v>
      </c>
      <c r="S182" s="62">
        <f ca="1">AVERAGE(OFFSET($R$3,0,0,'Données projet'!$E$9+1,1))-AVERAGE(OFFSET($H$3,0,0,'Données projet'!$E$9+1,1))</f>
        <v>210.566504119093</v>
      </c>
      <c r="T182" s="62">
        <f t="shared" si="142"/>
        <v>365.95065044620048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0.43946827543681843</v>
      </c>
      <c r="AA182" s="23">
        <f>EXP(-LN(2)/25)*AA181+(1-EXP(-LN(2)/25))/(LN(2)/25)*Calculateur!V182*Calculateur!X182*VLOOKUP('Données projet'!$B$9,Paramètres!$A$1:$I$89,3,0)*0.475*44/12</f>
        <v>6.9311863260576229E-2</v>
      </c>
      <c r="AB182" s="23">
        <f>EXP(-LN(2)/2)*AB181+(1-EXP(-LN(2)/2))/(LN(2)/2)*V182*Y182*VLOOKUP('Données projet'!$B$9,Paramètres!$A$1:$I$89,3,0)*0.475*44/12</f>
        <v>1.6227369107916158E-22</v>
      </c>
      <c r="AC182" s="24">
        <f t="shared" si="163"/>
        <v>0.50878013869739469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295.01137243247126</v>
      </c>
      <c r="AO182" s="62">
        <f t="shared" si="144"/>
        <v>221.9773436301067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0.19042086346482545</v>
      </c>
      <c r="AV182" s="23">
        <f>EXP(-LN(2)/25)*AV181+(1-EXP(-LN(2)/25))/(LN(2)/25)*Calculateur!AQ182*Calculateur!AS182*VLOOKUP('Données projet'!$B$10,Paramètres!$A$1:$I$89,3,0)*0.475*44/12</f>
        <v>3.8841754110495501E-2</v>
      </c>
      <c r="AW182" s="23">
        <f>EXP(-LN(2)/2)*AW181+(1-EXP(-LN(2)/2))/(LN(2)/2)*AQ182*AT182*VLOOKUP('Données projet'!$B$10,Paramètres!$A$1:$I$89,3,0)*0.475*44/12</f>
        <v>1.2926240213361714E-22</v>
      </c>
      <c r="AX182" s="23">
        <f t="shared" si="166"/>
        <v>0.22926261757532096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projet'!$B$11,Paramètres!$A$1:$I$89,3,0)*VLOOKUP('Données projet'!$B$11,Paramètres!$A$1:$I$89,5,0)</f>
        <v>-3.1036506698001178E-14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159.92263609041913</v>
      </c>
      <c r="BJ182" s="62">
        <f t="shared" si="146"/>
        <v>271.78119133009307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1.1994620543599674</v>
      </c>
      <c r="BQ182" s="23">
        <f>EXP(-LN(2)/25)*BQ181+(1-EXP(-LN(2)/25))/(LN(2)/25)*Calculateur!BL182*Calculateur!BN182*VLOOKUP('Données projet'!$B$11,Paramètres!$A$1:$I$89,3,0)*0.475*44/12</f>
        <v>0.30856738628428904</v>
      </c>
      <c r="BR182" s="23">
        <f>EXP(-LN(2)/2)*BR181+(1-EXP(-LN(2)/2))/(LN(2)/2)*BL182*BO182*VLOOKUP('Données projet'!$B$11,Paramètres!$A$1:$I$89,3,0)*0.475*44/12</f>
        <v>3.0447214683988104E-22</v>
      </c>
      <c r="BS182" s="24">
        <f t="shared" si="169"/>
        <v>1.5080294406442565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1.2710188457276673E-13</v>
      </c>
      <c r="P183" s="14">
        <f t="shared" si="141"/>
        <v>1.856866851063998E-12</v>
      </c>
      <c r="Q183" s="22">
        <f t="shared" si="162"/>
        <v>3.4554122145673649E-12</v>
      </c>
      <c r="R183" s="62">
        <f t="shared" si="109"/>
        <v>293.33333333333678</v>
      </c>
      <c r="S183" s="62">
        <f ca="1">AVERAGE(OFFSET($R$3,0,0,'Données projet'!$E$9+1,1))-AVERAGE(OFFSET($H$3,0,0,'Données projet'!$E$9+1,1))</f>
        <v>210.566504119093</v>
      </c>
      <c r="T183" s="62">
        <f t="shared" si="142"/>
        <v>365.95065044620048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0.43085057060468279</v>
      </c>
      <c r="AA183" s="23">
        <f>EXP(-LN(2)/25)*AA182+(1-EXP(-LN(2)/25))/(LN(2)/25)*Calculateur!V183*Calculateur!X183*VLOOKUP('Données projet'!$B$9,Paramètres!$A$1:$I$89,3,0)*0.475*44/12</f>
        <v>6.7416526714763295E-2</v>
      </c>
      <c r="AB183" s="23">
        <f>EXP(-LN(2)/2)*AB182+(1-EXP(-LN(2)/2))/(LN(2)/2)*V183*Y183*VLOOKUP('Données projet'!$B$9,Paramètres!$A$1:$I$89,3,0)*0.475*44/12</f>
        <v>1.1474482737024612E-22</v>
      </c>
      <c r="AC183" s="24">
        <f t="shared" si="163"/>
        <v>0.49826709731944607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295.01137243247126</v>
      </c>
      <c r="AO183" s="62">
        <f t="shared" si="144"/>
        <v>221.9773436301067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0.18668682647753854</v>
      </c>
      <c r="AV183" s="23">
        <f>EXP(-LN(2)/25)*AV182+(1-EXP(-LN(2)/25))/(LN(2)/25)*Calculateur!AQ183*Calculateur!AS183*VLOOKUP('Données projet'!$B$10,Paramètres!$A$1:$I$89,3,0)*0.475*44/12</f>
        <v>3.7779624301744925E-2</v>
      </c>
      <c r="AW183" s="23">
        <f>EXP(-LN(2)/2)*AW182+(1-EXP(-LN(2)/2))/(LN(2)/2)*AQ183*AT183*VLOOKUP('Données projet'!$B$10,Paramètres!$A$1:$I$89,3,0)*0.475*44/12</f>
        <v>9.1402321101143134E-23</v>
      </c>
      <c r="AX183" s="23">
        <f t="shared" si="166"/>
        <v>0.22446645077928346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projet'!$B$11,Paramètres!$A$1:$I$89,3,0)*VLOOKUP('Données projet'!$B$11,Paramètres!$A$1:$I$89,5,0)</f>
        <v>-3.1036506698001178E-14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159.92263609041913</v>
      </c>
      <c r="BJ183" s="62">
        <f t="shared" si="146"/>
        <v>271.78119133009307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1.1759413350735821</v>
      </c>
      <c r="BQ183" s="23">
        <f>EXP(-LN(2)/25)*BQ182+(1-EXP(-LN(2)/25))/(LN(2)/25)*Calculateur!BL183*Calculateur!BN183*VLOOKUP('Données projet'!$B$11,Paramètres!$A$1:$I$89,3,0)*0.475*44/12</f>
        <v>0.30012959487949153</v>
      </c>
      <c r="BR183" s="23">
        <f>EXP(-LN(2)/2)*BR182+(1-EXP(-LN(2)/2))/(LN(2)/2)*BL183*BO183*VLOOKUP('Données projet'!$B$11,Paramètres!$A$1:$I$89,3,0)*0.475*44/12</f>
        <v>2.1529431971290613E-22</v>
      </c>
      <c r="BS183" s="24">
        <f t="shared" si="169"/>
        <v>1.4760709299530737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1.2710188457276673E-13</v>
      </c>
      <c r="P184" s="14">
        <f t="shared" si="141"/>
        <v>1.856866851063998E-12</v>
      </c>
      <c r="Q184" s="22">
        <f t="shared" si="162"/>
        <v>3.4554122145673649E-12</v>
      </c>
      <c r="R184" s="62">
        <f t="shared" si="109"/>
        <v>293.33333333333678</v>
      </c>
      <c r="S184" s="62">
        <f ca="1">AVERAGE(OFFSET($R$3,0,0,'Données projet'!$E$9+1,1))-AVERAGE(OFFSET($H$3,0,0,'Données projet'!$E$9+1,1))</f>
        <v>210.566504119093</v>
      </c>
      <c r="T184" s="62">
        <f t="shared" si="142"/>
        <v>365.95065044620048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0.42240185370802441</v>
      </c>
      <c r="AA184" s="23">
        <f>EXP(-LN(2)/25)*AA183+(1-EXP(-LN(2)/25))/(LN(2)/25)*Calculateur!V184*Calculateur!X184*VLOOKUP('Données projet'!$B$9,Paramètres!$A$1:$I$89,3,0)*0.475*44/12</f>
        <v>6.5573018246467038E-2</v>
      </c>
      <c r="AB184" s="23">
        <f>EXP(-LN(2)/2)*AB183+(1-EXP(-LN(2)/2))/(LN(2)/2)*V184*Y184*VLOOKUP('Données projet'!$B$9,Paramètres!$A$1:$I$89,3,0)*0.475*44/12</f>
        <v>8.1136845539580791E-23</v>
      </c>
      <c r="AC184" s="24">
        <f t="shared" si="163"/>
        <v>0.48797487195449146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295.01137243247126</v>
      </c>
      <c r="AO184" s="62">
        <f t="shared" si="144"/>
        <v>221.9773436301067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0.18302601167803464</v>
      </c>
      <c r="AV184" s="23">
        <f>EXP(-LN(2)/25)*AV183+(1-EXP(-LN(2)/25))/(LN(2)/25)*Calculateur!AQ184*Calculateur!AS184*VLOOKUP('Données projet'!$B$10,Paramètres!$A$1:$I$89,3,0)*0.475*44/12</f>
        <v>3.6746538488469614E-2</v>
      </c>
      <c r="AW184" s="23">
        <f>EXP(-LN(2)/2)*AW183+(1-EXP(-LN(2)/2))/(LN(2)/2)*AQ184*AT184*VLOOKUP('Données projet'!$B$10,Paramètres!$A$1:$I$89,3,0)*0.475*44/12</f>
        <v>6.4631201066808572E-23</v>
      </c>
      <c r="AX184" s="23">
        <f t="shared" si="166"/>
        <v>0.21977255016650427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projet'!$B$11,Paramètres!$A$1:$I$89,3,0)*VLOOKUP('Données projet'!$B$11,Paramètres!$A$1:$I$89,5,0)</f>
        <v>-3.1036506698001178E-14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159.92263609041913</v>
      </c>
      <c r="BJ184" s="62">
        <f t="shared" si="146"/>
        <v>271.78119133009307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1.1528818427461807</v>
      </c>
      <c r="BQ184" s="23">
        <f>EXP(-LN(2)/25)*BQ183+(1-EXP(-LN(2)/25))/(LN(2)/25)*Calculateur!BL184*Calculateur!BN184*VLOOKUP('Données projet'!$B$11,Paramètres!$A$1:$I$89,3,0)*0.475*44/12</f>
        <v>0.29192253532438239</v>
      </c>
      <c r="BR184" s="23">
        <f>EXP(-LN(2)/2)*BR183+(1-EXP(-LN(2)/2))/(LN(2)/2)*BL184*BO184*VLOOKUP('Données projet'!$B$11,Paramètres!$A$1:$I$89,3,0)*0.475*44/12</f>
        <v>1.5223607341994052E-22</v>
      </c>
      <c r="BS184" s="24">
        <f t="shared" si="169"/>
        <v>1.4448043780705631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1.2710188457276673E-13</v>
      </c>
      <c r="P185" s="14">
        <f t="shared" si="141"/>
        <v>1.856866851063998E-12</v>
      </c>
      <c r="Q185" s="22">
        <f t="shared" si="162"/>
        <v>3.4554122145673649E-12</v>
      </c>
      <c r="R185" s="62">
        <f t="shared" si="109"/>
        <v>293.33333333333678</v>
      </c>
      <c r="S185" s="62">
        <f ca="1">AVERAGE(OFFSET($R$3,0,0,'Données projet'!$E$9+1,1))-AVERAGE(OFFSET($H$3,0,0,'Données projet'!$E$9+1,1))</f>
        <v>210.566504119093</v>
      </c>
      <c r="T185" s="62">
        <f t="shared" si="142"/>
        <v>365.95065044620048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0.414118810996501</v>
      </c>
      <c r="AA185" s="23">
        <f>EXP(-LN(2)/25)*AA184+(1-EXP(-LN(2)/25))/(LN(2)/25)*Calculateur!V185*Calculateur!X185*VLOOKUP('Données projet'!$B$9,Paramètres!$A$1:$I$89,3,0)*0.475*44/12</f>
        <v>6.3779920614182237E-2</v>
      </c>
      <c r="AB185" s="23">
        <f>EXP(-LN(2)/2)*AB184+(1-EXP(-LN(2)/2))/(LN(2)/2)*V185*Y185*VLOOKUP('Données projet'!$B$9,Paramètres!$A$1:$I$89,3,0)*0.475*44/12</f>
        <v>5.7372413685123059E-23</v>
      </c>
      <c r="AC185" s="24">
        <f t="shared" si="163"/>
        <v>0.47789873161068325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295.01137243247126</v>
      </c>
      <c r="AO185" s="62">
        <f t="shared" si="144"/>
        <v>221.9773436301067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0.17943698322387247</v>
      </c>
      <c r="AV185" s="23">
        <f>EXP(-LN(2)/25)*AV184+(1-EXP(-LN(2)/25))/(LN(2)/25)*Calculateur!AQ185*Calculateur!AS185*VLOOKUP('Données projet'!$B$10,Paramètres!$A$1:$I$89,3,0)*0.475*44/12</f>
        <v>3.574170246108594E-2</v>
      </c>
      <c r="AW185" s="23">
        <f>EXP(-LN(2)/2)*AW184+(1-EXP(-LN(2)/2))/(LN(2)/2)*AQ185*AT185*VLOOKUP('Données projet'!$B$10,Paramètres!$A$1:$I$89,3,0)*0.475*44/12</f>
        <v>4.5701160550571567E-23</v>
      </c>
      <c r="AX185" s="23">
        <f t="shared" si="166"/>
        <v>0.2151786856849584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projet'!$B$11,Paramètres!$A$1:$I$89,3,0)*VLOOKUP('Données projet'!$B$11,Paramètres!$A$1:$I$89,5,0)</f>
        <v>-3.1036506698001178E-14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159.92263609041913</v>
      </c>
      <c r="BJ185" s="62">
        <f t="shared" si="146"/>
        <v>271.78119133009307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1.1302745329984181</v>
      </c>
      <c r="BQ185" s="23">
        <f>EXP(-LN(2)/25)*BQ184+(1-EXP(-LN(2)/25))/(LN(2)/25)*Calculateur!BL185*Calculateur!BN185*VLOOKUP('Données projet'!$B$11,Paramètres!$A$1:$I$89,3,0)*0.475*44/12</f>
        <v>0.28393989824439825</v>
      </c>
      <c r="BR185" s="23">
        <f>EXP(-LN(2)/2)*BR184+(1-EXP(-LN(2)/2))/(LN(2)/2)*BL185*BO185*VLOOKUP('Données projet'!$B$11,Paramètres!$A$1:$I$89,3,0)*0.475*44/12</f>
        <v>1.0764715985645307E-22</v>
      </c>
      <c r="BS185" s="24">
        <f t="shared" si="169"/>
        <v>1.4142144312428164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1.2710188457276673E-13</v>
      </c>
      <c r="P186" s="14">
        <f t="shared" si="141"/>
        <v>1.856866851063998E-12</v>
      </c>
      <c r="Q186" s="22">
        <f t="shared" si="162"/>
        <v>3.4554122145673649E-12</v>
      </c>
      <c r="R186" s="62">
        <f t="shared" si="109"/>
        <v>293.33333333333678</v>
      </c>
      <c r="S186" s="62">
        <f ca="1">AVERAGE(OFFSET($R$3,0,0,'Données projet'!$E$9+1,1))-AVERAGE(OFFSET($H$3,0,0,'Données projet'!$E$9+1,1))</f>
        <v>210.566504119093</v>
      </c>
      <c r="T186" s="62">
        <f t="shared" si="142"/>
        <v>365.95065044620048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0.40599819370039336</v>
      </c>
      <c r="AA186" s="23">
        <f>EXP(-LN(2)/25)*AA185+(1-EXP(-LN(2)/25))/(LN(2)/25)*Calculateur!V186*Calculateur!X186*VLOOKUP('Données projet'!$B$9,Paramètres!$A$1:$I$89,3,0)*0.475*44/12</f>
        <v>6.2035855330947166E-2</v>
      </c>
      <c r="AB186" s="23">
        <f>EXP(-LN(2)/2)*AB185+(1-EXP(-LN(2)/2))/(LN(2)/2)*V186*Y186*VLOOKUP('Données projet'!$B$9,Paramètres!$A$1:$I$89,3,0)*0.475*44/12</f>
        <v>4.0568422769790395E-23</v>
      </c>
      <c r="AC186" s="24">
        <f t="shared" si="163"/>
        <v>0.46803404903134055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295.01137243247126</v>
      </c>
      <c r="AO186" s="62">
        <f t="shared" si="144"/>
        <v>221.9773436301067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0.17591833342860522</v>
      </c>
      <c r="AV186" s="23">
        <f>EXP(-LN(2)/25)*AV185+(1-EXP(-LN(2)/25))/(LN(2)/25)*Calculateur!AQ186*Calculateur!AS186*VLOOKUP('Données projet'!$B$10,Paramètres!$A$1:$I$89,3,0)*0.475*44/12</f>
        <v>3.4764343727713101E-2</v>
      </c>
      <c r="AW186" s="23">
        <f>EXP(-LN(2)/2)*AW185+(1-EXP(-LN(2)/2))/(LN(2)/2)*AQ186*AT186*VLOOKUP('Données projet'!$B$10,Paramètres!$A$1:$I$89,3,0)*0.475*44/12</f>
        <v>3.2315600533404286E-23</v>
      </c>
      <c r="AX186" s="23">
        <f t="shared" si="166"/>
        <v>0.21068267715631833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projet'!$B$11,Paramètres!$A$1:$I$89,3,0)*VLOOKUP('Données projet'!$B$11,Paramètres!$A$1:$I$89,5,0)</f>
        <v>-3.1036506698001178E-14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159.92263609041913</v>
      </c>
      <c r="BJ186" s="62">
        <f t="shared" si="146"/>
        <v>271.78119133009307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1.1081105388057118</v>
      </c>
      <c r="BQ186" s="23">
        <f>EXP(-LN(2)/25)*BQ185+(1-EXP(-LN(2)/25))/(LN(2)/25)*Calculateur!BL186*Calculateur!BN186*VLOOKUP('Données projet'!$B$11,Paramètres!$A$1:$I$89,3,0)*0.475*44/12</f>
        <v>0.27617554679515488</v>
      </c>
      <c r="BR186" s="23">
        <f>EXP(-LN(2)/2)*BR185+(1-EXP(-LN(2)/2))/(LN(2)/2)*BL186*BO186*VLOOKUP('Données projet'!$B$11,Paramètres!$A$1:$I$89,3,0)*0.475*44/12</f>
        <v>7.6118036709970261E-23</v>
      </c>
      <c r="BS186" s="24">
        <f t="shared" si="169"/>
        <v>1.3842860856008667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1.2710188457276673E-13</v>
      </c>
      <c r="P187" s="14">
        <f t="shared" si="141"/>
        <v>1.856866851063998E-12</v>
      </c>
      <c r="Q187" s="22">
        <f t="shared" si="162"/>
        <v>3.4554122145673649E-12</v>
      </c>
      <c r="R187" s="62">
        <f t="shared" si="109"/>
        <v>293.33333333333678</v>
      </c>
      <c r="S187" s="62">
        <f ca="1">AVERAGE(OFFSET($R$3,0,0,'Données projet'!$E$9+1,1))-AVERAGE(OFFSET($H$3,0,0,'Données projet'!$E$9+1,1))</f>
        <v>210.566504119093</v>
      </c>
      <c r="T187" s="62">
        <f t="shared" si="142"/>
        <v>365.95065044620048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0.39803681675637492</v>
      </c>
      <c r="AA187" s="23">
        <f>EXP(-LN(2)/25)*AA186+(1-EXP(-LN(2)/25))/(LN(2)/25)*Calculateur!V187*Calculateur!X187*VLOOKUP('Données projet'!$B$9,Paramètres!$A$1:$I$89,3,0)*0.475*44/12</f>
        <v>6.0339481604598566E-2</v>
      </c>
      <c r="AB187" s="23">
        <f>EXP(-LN(2)/2)*AB186+(1-EXP(-LN(2)/2))/(LN(2)/2)*V187*Y187*VLOOKUP('Données projet'!$B$9,Paramètres!$A$1:$I$89,3,0)*0.475*44/12</f>
        <v>2.8686206842561529E-23</v>
      </c>
      <c r="AC187" s="24">
        <f t="shared" si="163"/>
        <v>0.45837629836097349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295.01137243247126</v>
      </c>
      <c r="AO187" s="62">
        <f t="shared" si="144"/>
        <v>221.9773436301067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0.17246868220965872</v>
      </c>
      <c r="AV187" s="23">
        <f>EXP(-LN(2)/25)*AV186+(1-EXP(-LN(2)/25))/(LN(2)/25)*Calculateur!AQ187*Calculateur!AS187*VLOOKUP('Données projet'!$B$10,Paramètres!$A$1:$I$89,3,0)*0.475*44/12</f>
        <v>3.3813710920301401E-2</v>
      </c>
      <c r="AW187" s="23">
        <f>EXP(-LN(2)/2)*AW186+(1-EXP(-LN(2)/2))/(LN(2)/2)*AQ187*AT187*VLOOKUP('Données projet'!$B$10,Paramètres!$A$1:$I$89,3,0)*0.475*44/12</f>
        <v>2.2850580275285783E-23</v>
      </c>
      <c r="AX187" s="23">
        <f t="shared" si="166"/>
        <v>0.20628239312996011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projet'!$B$11,Paramètres!$A$1:$I$89,3,0)*VLOOKUP('Données projet'!$B$11,Paramètres!$A$1:$I$89,5,0)</f>
        <v>-3.1036506698001178E-14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159.92263609041913</v>
      </c>
      <c r="BJ187" s="62">
        <f t="shared" si="146"/>
        <v>271.78119133009307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1.0863811670204226</v>
      </c>
      <c r="BQ187" s="23">
        <f>EXP(-LN(2)/25)*BQ186+(1-EXP(-LN(2)/25))/(LN(2)/25)*Calculateur!BL187*Calculateur!BN187*VLOOKUP('Données projet'!$B$11,Paramètres!$A$1:$I$89,3,0)*0.475*44/12</f>
        <v>0.26862351194460055</v>
      </c>
      <c r="BR187" s="23">
        <f>EXP(-LN(2)/2)*BR186+(1-EXP(-LN(2)/2))/(LN(2)/2)*BL187*BO187*VLOOKUP('Données projet'!$B$11,Paramètres!$A$1:$I$89,3,0)*0.475*44/12</f>
        <v>5.3823579928226533E-23</v>
      </c>
      <c r="BS187" s="24">
        <f t="shared" si="169"/>
        <v>1.3550046789650232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1.2710188457276673E-13</v>
      </c>
      <c r="P188" s="14">
        <f t="shared" si="141"/>
        <v>1.856866851063998E-12</v>
      </c>
      <c r="Q188" s="22">
        <f t="shared" si="162"/>
        <v>3.4554122145673649E-12</v>
      </c>
      <c r="R188" s="62">
        <f t="shared" si="109"/>
        <v>293.33333333333678</v>
      </c>
      <c r="S188" s="62">
        <f ca="1">AVERAGE(OFFSET($R$3,0,0,'Données projet'!$E$9+1,1))-AVERAGE(OFFSET($H$3,0,0,'Données projet'!$E$9+1,1))</f>
        <v>210.566504119093</v>
      </c>
      <c r="T188" s="62">
        <f t="shared" si="142"/>
        <v>365.95065044620048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0.39023155755826827</v>
      </c>
      <c r="AA188" s="23">
        <f>EXP(-LN(2)/25)*AA187+(1-EXP(-LN(2)/25))/(LN(2)/25)*Calculateur!V188*Calculateur!X188*VLOOKUP('Données projet'!$B$9,Paramètres!$A$1:$I$89,3,0)*0.475*44/12</f>
        <v>5.8689495307005388E-2</v>
      </c>
      <c r="AB188" s="23">
        <f>EXP(-LN(2)/2)*AB187+(1-EXP(-LN(2)/2))/(LN(2)/2)*V188*Y188*VLOOKUP('Données projet'!$B$9,Paramètres!$A$1:$I$89,3,0)*0.475*44/12</f>
        <v>2.0284211384895198E-23</v>
      </c>
      <c r="AC188" s="24">
        <f t="shared" si="163"/>
        <v>0.44892105286527367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295.01137243247126</v>
      </c>
      <c r="AO188" s="62">
        <f t="shared" si="144"/>
        <v>221.9773436301067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0.16908667654703627</v>
      </c>
      <c r="AV188" s="23">
        <f>EXP(-LN(2)/25)*AV187+(1-EXP(-LN(2)/25))/(LN(2)/25)*Calculateur!AQ188*Calculateur!AS188*VLOOKUP('Données projet'!$B$10,Paramètres!$A$1:$I$89,3,0)*0.475*44/12</f>
        <v>3.2889073216999985E-2</v>
      </c>
      <c r="AW188" s="23">
        <f>EXP(-LN(2)/2)*AW187+(1-EXP(-LN(2)/2))/(LN(2)/2)*AQ188*AT188*VLOOKUP('Données projet'!$B$10,Paramètres!$A$1:$I$89,3,0)*0.475*44/12</f>
        <v>1.6157800266702143E-23</v>
      </c>
      <c r="AX188" s="23">
        <f t="shared" si="166"/>
        <v>0.20197574976403626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projet'!$B$11,Paramètres!$A$1:$I$89,3,0)*VLOOKUP('Données projet'!$B$11,Paramètres!$A$1:$I$89,5,0)</f>
        <v>-3.1036506698001178E-14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159.92263609041913</v>
      </c>
      <c r="BJ188" s="62">
        <f t="shared" si="146"/>
        <v>271.78119133009307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1.065077894962235</v>
      </c>
      <c r="BQ188" s="23">
        <f>EXP(-LN(2)/25)*BQ187+(1-EXP(-LN(2)/25))/(LN(2)/25)*Calculateur!BL188*Calculateur!BN188*VLOOKUP('Données projet'!$B$11,Paramètres!$A$1:$I$89,3,0)*0.475*44/12</f>
        <v>0.26127798788417889</v>
      </c>
      <c r="BR188" s="23">
        <f>EXP(-LN(2)/2)*BR187+(1-EXP(-LN(2)/2))/(LN(2)/2)*BL188*BO188*VLOOKUP('Données projet'!$B$11,Paramètres!$A$1:$I$89,3,0)*0.475*44/12</f>
        <v>3.8059018354985131E-23</v>
      </c>
      <c r="BS188" s="24">
        <f t="shared" si="169"/>
        <v>1.3263558828464139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1.2710188457276673E-13</v>
      </c>
      <c r="P189" s="14">
        <f t="shared" si="141"/>
        <v>1.856866851063998E-12</v>
      </c>
      <c r="Q189" s="22">
        <f t="shared" si="162"/>
        <v>3.4554122145673649E-12</v>
      </c>
      <c r="R189" s="62">
        <f t="shared" si="109"/>
        <v>293.33333333333678</v>
      </c>
      <c r="S189" s="62">
        <f ca="1">AVERAGE(OFFSET($R$3,0,0,'Données projet'!$E$9+1,1))-AVERAGE(OFFSET($H$3,0,0,'Données projet'!$E$9+1,1))</f>
        <v>210.566504119093</v>
      </c>
      <c r="T189" s="62">
        <f t="shared" si="142"/>
        <v>365.95065044620048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0.38257935473229843</v>
      </c>
      <c r="AA189" s="23">
        <f>EXP(-LN(2)/25)*AA188+(1-EXP(-LN(2)/25))/(LN(2)/25)*Calculateur!V189*Calculateur!X189*VLOOKUP('Données projet'!$B$9,Paramètres!$A$1:$I$89,3,0)*0.475*44/12</f>
        <v>5.7084627971488902E-2</v>
      </c>
      <c r="AB189" s="23">
        <f>EXP(-LN(2)/2)*AB188+(1-EXP(-LN(2)/2))/(LN(2)/2)*V189*Y189*VLOOKUP('Données projet'!$B$9,Paramètres!$A$1:$I$89,3,0)*0.475*44/12</f>
        <v>1.4343103421280765E-23</v>
      </c>
      <c r="AC189" s="24">
        <f t="shared" si="163"/>
        <v>0.43966398270378731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295.01137243247126</v>
      </c>
      <c r="AO189" s="62">
        <f t="shared" si="144"/>
        <v>221.9773436301067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0.16577098995263809</v>
      </c>
      <c r="AV189" s="23">
        <f>EXP(-LN(2)/25)*AV188+(1-EXP(-LN(2)/25))/(LN(2)/25)*Calculateur!AQ189*Calculateur!AS189*VLOOKUP('Données projet'!$B$10,Paramètres!$A$1:$I$89,3,0)*0.475*44/12</f>
        <v>3.1989719780319927E-2</v>
      </c>
      <c r="AW189" s="23">
        <f>EXP(-LN(2)/2)*AW188+(1-EXP(-LN(2)/2))/(LN(2)/2)*AQ189*AT189*VLOOKUP('Données projet'!$B$10,Paramètres!$A$1:$I$89,3,0)*0.475*44/12</f>
        <v>1.1425290137642892E-23</v>
      </c>
      <c r="AX189" s="23">
        <f t="shared" si="166"/>
        <v>0.19776070973295801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projet'!$B$11,Paramètres!$A$1:$I$89,3,0)*VLOOKUP('Données projet'!$B$11,Paramètres!$A$1:$I$89,5,0)</f>
        <v>-3.1036506698001178E-14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159.92263609041913</v>
      </c>
      <c r="BJ189" s="62">
        <f t="shared" si="146"/>
        <v>271.78119133009307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1.0441923670753956</v>
      </c>
      <c r="BQ189" s="23">
        <f>EXP(-LN(2)/25)*BQ188+(1-EXP(-LN(2)/25))/(LN(2)/25)*Calculateur!BL189*Calculateur!BN189*VLOOKUP('Données projet'!$B$11,Paramètres!$A$1:$I$89,3,0)*0.475*44/12</f>
        <v>0.2541333275654738</v>
      </c>
      <c r="BR189" s="23">
        <f>EXP(-LN(2)/2)*BR188+(1-EXP(-LN(2)/2))/(LN(2)/2)*BL189*BO189*VLOOKUP('Données projet'!$B$11,Paramètres!$A$1:$I$89,3,0)*0.475*44/12</f>
        <v>2.6911789964113267E-23</v>
      </c>
      <c r="BS189" s="24">
        <f t="shared" si="169"/>
        <v>1.2983256946408694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1.2710188457276673E-13</v>
      </c>
      <c r="P190" s="14">
        <f t="shared" si="141"/>
        <v>1.856866851063998E-12</v>
      </c>
      <c r="Q190" s="22">
        <f t="shared" si="162"/>
        <v>3.4554122145673649E-12</v>
      </c>
      <c r="R190" s="62">
        <f t="shared" si="109"/>
        <v>293.33333333333678</v>
      </c>
      <c r="S190" s="62">
        <f ca="1">AVERAGE(OFFSET($R$3,0,0,'Données projet'!$E$9+1,1))-AVERAGE(OFFSET($H$3,0,0,'Données projet'!$E$9+1,1))</f>
        <v>210.566504119093</v>
      </c>
      <c r="T190" s="62">
        <f t="shared" si="142"/>
        <v>365.95065044620048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0.37507720693636298</v>
      </c>
      <c r="AA190" s="23">
        <f>EXP(-LN(2)/25)*AA189+(1-EXP(-LN(2)/25))/(LN(2)/25)*Calculateur!V190*Calculateur!X190*VLOOKUP('Données projet'!$B$9,Paramètres!$A$1:$I$89,3,0)*0.475*44/12</f>
        <v>5.5523645817658424E-2</v>
      </c>
      <c r="AB190" s="23">
        <f>EXP(-LN(2)/2)*AB189+(1-EXP(-LN(2)/2))/(LN(2)/2)*V190*Y190*VLOOKUP('Données projet'!$B$9,Paramètres!$A$1:$I$89,3,0)*0.475*44/12</f>
        <v>1.0142105692447599E-23</v>
      </c>
      <c r="AC190" s="24">
        <f t="shared" si="163"/>
        <v>0.43060085275402138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295.01137243247126</v>
      </c>
      <c r="AO190" s="62">
        <f t="shared" si="144"/>
        <v>221.9773436301067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0.16252032194998692</v>
      </c>
      <c r="AV190" s="23">
        <f>EXP(-LN(2)/25)*AV189+(1-EXP(-LN(2)/25))/(LN(2)/25)*Calculateur!AQ190*Calculateur!AS190*VLOOKUP('Données projet'!$B$10,Paramètres!$A$1:$I$89,3,0)*0.475*44/12</f>
        <v>3.1114959210660827E-2</v>
      </c>
      <c r="AW190" s="23">
        <f>EXP(-LN(2)/2)*AW189+(1-EXP(-LN(2)/2))/(LN(2)/2)*AQ190*AT190*VLOOKUP('Données projet'!$B$10,Paramètres!$A$1:$I$89,3,0)*0.475*44/12</f>
        <v>8.0789001333510715E-24</v>
      </c>
      <c r="AX190" s="23">
        <f t="shared" si="166"/>
        <v>0.19363528116064774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projet'!$B$11,Paramètres!$A$1:$I$89,3,0)*VLOOKUP('Données projet'!$B$11,Paramètres!$A$1:$I$89,5,0)</f>
        <v>-3.1036506698001178E-14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159.92263609041913</v>
      </c>
      <c r="BJ190" s="62">
        <f t="shared" si="146"/>
        <v>271.78119133009307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1.0237163916515029</v>
      </c>
      <c r="BQ190" s="23">
        <f>EXP(-LN(2)/25)*BQ189+(1-EXP(-LN(2)/25))/(LN(2)/25)*Calculateur!BL190*Calculateur!BN190*VLOOKUP('Données projet'!$B$11,Paramètres!$A$1:$I$89,3,0)*0.475*44/12</f>
        <v>0.24718403835890504</v>
      </c>
      <c r="BR190" s="23">
        <f>EXP(-LN(2)/2)*BR189+(1-EXP(-LN(2)/2))/(LN(2)/2)*BL190*BO190*VLOOKUP('Données projet'!$B$11,Paramètres!$A$1:$I$89,3,0)*0.475*44/12</f>
        <v>1.9029509177492565E-23</v>
      </c>
      <c r="BS190" s="24">
        <f t="shared" si="169"/>
        <v>1.2709004300104079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1.2710188457276673E-13</v>
      </c>
      <c r="P191" s="14">
        <f t="shared" si="141"/>
        <v>1.856866851063998E-12</v>
      </c>
      <c r="Q191" s="22">
        <f t="shared" si="162"/>
        <v>3.4554122145673649E-12</v>
      </c>
      <c r="R191" s="62">
        <f t="shared" si="109"/>
        <v>293.33333333333678</v>
      </c>
      <c r="S191" s="62">
        <f ca="1">AVERAGE(OFFSET($R$3,0,0,'Données projet'!$E$9+1,1))-AVERAGE(OFFSET($H$3,0,0,'Données projet'!$E$9+1,1))</f>
        <v>210.566504119093</v>
      </c>
      <c r="T191" s="62">
        <f t="shared" si="142"/>
        <v>365.95065044620048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0.36772217168284754</v>
      </c>
      <c r="AA191" s="23">
        <f>EXP(-LN(2)/25)*AA190+(1-EXP(-LN(2)/25))/(LN(2)/25)*Calculateur!V191*Calculateur!X191*VLOOKUP('Données projet'!$B$9,Paramètres!$A$1:$I$89,3,0)*0.475*44/12</f>
        <v>5.4005348802912918E-2</v>
      </c>
      <c r="AB191" s="23">
        <f>EXP(-LN(2)/2)*AB190+(1-EXP(-LN(2)/2))/(LN(2)/2)*V191*Y191*VLOOKUP('Données projet'!$B$9,Paramètres!$A$1:$I$89,3,0)*0.475*44/12</f>
        <v>7.1715517106403824E-24</v>
      </c>
      <c r="AC191" s="24">
        <f t="shared" si="163"/>
        <v>0.42172752048576045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295.01137243247126</v>
      </c>
      <c r="AO191" s="62">
        <f t="shared" si="144"/>
        <v>221.9773436301067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0.15933339756415602</v>
      </c>
      <c r="AV191" s="23">
        <f>EXP(-LN(2)/25)*AV190+(1-EXP(-LN(2)/25))/(LN(2)/25)*Calculateur!AQ191*Calculateur!AS191*VLOOKUP('Données projet'!$B$10,Paramètres!$A$1:$I$89,3,0)*0.475*44/12</f>
        <v>3.0264119014780717E-2</v>
      </c>
      <c r="AW191" s="23">
        <f>EXP(-LN(2)/2)*AW190+(1-EXP(-LN(2)/2))/(LN(2)/2)*AQ191*AT191*VLOOKUP('Données projet'!$B$10,Paramètres!$A$1:$I$89,3,0)*0.475*44/12</f>
        <v>5.7126450688214459E-24</v>
      </c>
      <c r="AX191" s="23">
        <f t="shared" si="166"/>
        <v>0.18959751657893673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projet'!$B$11,Paramètres!$A$1:$I$89,3,0)*VLOOKUP('Données projet'!$B$11,Paramètres!$A$1:$I$89,5,0)</f>
        <v>-3.1036506698001178E-14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159.92263609041913</v>
      </c>
      <c r="BJ191" s="62">
        <f t="shared" si="146"/>
        <v>271.78119133009307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1.0036419376165608</v>
      </c>
      <c r="BQ191" s="23">
        <f>EXP(-LN(2)/25)*BQ190+(1-EXP(-LN(2)/25))/(LN(2)/25)*Calculateur!BL191*Calculateur!BN191*VLOOKUP('Données projet'!$B$11,Paramètres!$A$1:$I$89,3,0)*0.475*44/12</f>
        <v>0.24042477783113714</v>
      </c>
      <c r="BR191" s="23">
        <f>EXP(-LN(2)/2)*BR190+(1-EXP(-LN(2)/2))/(LN(2)/2)*BL191*BO191*VLOOKUP('Données projet'!$B$11,Paramètres!$A$1:$I$89,3,0)*0.475*44/12</f>
        <v>1.3455894982056633E-23</v>
      </c>
      <c r="BS191" s="24">
        <f t="shared" si="169"/>
        <v>1.2440667154476981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1.2710188457276673E-13</v>
      </c>
      <c r="P192" s="14">
        <f t="shared" si="141"/>
        <v>1.856866851063998E-12</v>
      </c>
      <c r="Q192" s="22">
        <f t="shared" si="162"/>
        <v>3.4554122145673649E-12</v>
      </c>
      <c r="R192" s="62">
        <f t="shared" si="109"/>
        <v>293.33333333333678</v>
      </c>
      <c r="S192" s="62">
        <f ca="1">AVERAGE(OFFSET($R$3,0,0,'Données projet'!$E$9+1,1))-AVERAGE(OFFSET($H$3,0,0,'Données projet'!$E$9+1,1))</f>
        <v>210.566504119093</v>
      </c>
      <c r="T192" s="62">
        <f t="shared" si="142"/>
        <v>365.95065044620048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0.36051136418452501</v>
      </c>
      <c r="AA192" s="23">
        <f>EXP(-LN(2)/25)*AA191+(1-EXP(-LN(2)/25))/(LN(2)/25)*Calculateur!V192*Calculateur!X192*VLOOKUP('Données projet'!$B$9,Paramètres!$A$1:$I$89,3,0)*0.475*44/12</f>
        <v>5.2528569699879402E-2</v>
      </c>
      <c r="AB192" s="23">
        <f>EXP(-LN(2)/2)*AB191+(1-EXP(-LN(2)/2))/(LN(2)/2)*V192*Y192*VLOOKUP('Données projet'!$B$9,Paramètres!$A$1:$I$89,3,0)*0.475*44/12</f>
        <v>5.0710528462237994E-24</v>
      </c>
      <c r="AC192" s="24">
        <f t="shared" si="163"/>
        <v>0.41303993388440441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295.01137243247126</v>
      </c>
      <c r="AO192" s="62">
        <f t="shared" si="144"/>
        <v>221.9773436301067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0.15620896682169932</v>
      </c>
      <c r="AV192" s="23">
        <f>EXP(-LN(2)/25)*AV191+(1-EXP(-LN(2)/25))/(LN(2)/25)*Calculateur!AQ192*Calculateur!AS192*VLOOKUP('Données projet'!$B$10,Paramètres!$A$1:$I$89,3,0)*0.475*44/12</f>
        <v>2.943654508880069E-2</v>
      </c>
      <c r="AW192" s="23">
        <f>EXP(-LN(2)/2)*AW191+(1-EXP(-LN(2)/2))/(LN(2)/2)*AQ192*AT192*VLOOKUP('Données projet'!$B$10,Paramètres!$A$1:$I$89,3,0)*0.475*44/12</f>
        <v>4.0394500666755358E-24</v>
      </c>
      <c r="AX192" s="23">
        <f t="shared" si="166"/>
        <v>0.18564551191050002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projet'!$B$11,Paramètres!$A$1:$I$89,3,0)*VLOOKUP('Données projet'!$B$11,Paramètres!$A$1:$I$89,5,0)</f>
        <v>-3.1036506698001178E-14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159.92263609041913</v>
      </c>
      <c r="BJ192" s="62">
        <f t="shared" si="146"/>
        <v>271.78119133009307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0.98396113138103614</v>
      </c>
      <c r="BQ192" s="23">
        <f>EXP(-LN(2)/25)*BQ191+(1-EXP(-LN(2)/25))/(LN(2)/25)*Calculateur!BL192*Calculateur!BN192*VLOOKUP('Données projet'!$B$11,Paramètres!$A$1:$I$89,3,0)*0.475*44/12</f>
        <v>0.23385034963795512</v>
      </c>
      <c r="BR192" s="23">
        <f>EXP(-LN(2)/2)*BR191+(1-EXP(-LN(2)/2))/(LN(2)/2)*BL192*BO192*VLOOKUP('Données projet'!$B$11,Paramètres!$A$1:$I$89,3,0)*0.475*44/12</f>
        <v>9.5147545887462826E-24</v>
      </c>
      <c r="BS192" s="24">
        <f t="shared" si="169"/>
        <v>1.2178114810189913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1.2710188457276673E-13</v>
      </c>
      <c r="P193" s="14">
        <f t="shared" si="141"/>
        <v>1.856866851063998E-12</v>
      </c>
      <c r="Q193" s="22">
        <f t="shared" si="162"/>
        <v>3.4554122145673649E-12</v>
      </c>
      <c r="R193" s="62">
        <f t="shared" si="109"/>
        <v>293.33333333333678</v>
      </c>
      <c r="S193" s="62">
        <f ca="1">AVERAGE(OFFSET($R$3,0,0,'Données projet'!$E$9+1,1))-AVERAGE(OFFSET($H$3,0,0,'Données projet'!$E$9+1,1))</f>
        <v>210.566504119093</v>
      </c>
      <c r="T193" s="62">
        <f t="shared" si="142"/>
        <v>365.95065044620048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0.35344195622308627</v>
      </c>
      <c r="AA193" s="23">
        <f>EXP(-LN(2)/25)*AA192+(1-EXP(-LN(2)/25))/(LN(2)/25)*Calculateur!V193*Calculateur!X193*VLOOKUP('Données projet'!$B$9,Paramètres!$A$1:$I$89,3,0)*0.475*44/12</f>
        <v>5.1092173199078772E-2</v>
      </c>
      <c r="AB193" s="23">
        <f>EXP(-LN(2)/2)*AB192+(1-EXP(-LN(2)/2))/(LN(2)/2)*V193*Y193*VLOOKUP('Données projet'!$B$9,Paramètres!$A$1:$I$89,3,0)*0.475*44/12</f>
        <v>3.5857758553201912E-24</v>
      </c>
      <c r="AC193" s="24">
        <f t="shared" si="163"/>
        <v>0.40453412942216505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295.01137243247126</v>
      </c>
      <c r="AO193" s="62">
        <f t="shared" si="144"/>
        <v>221.9773436301067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0.15314580426038762</v>
      </c>
      <c r="AV193" s="23">
        <f>EXP(-LN(2)/25)*AV192+(1-EXP(-LN(2)/25))/(LN(2)/25)*Calculateur!AQ193*Calculateur!AS193*VLOOKUP('Données projet'!$B$10,Paramètres!$A$1:$I$89,3,0)*0.475*44/12</f>
        <v>2.8631601215346806E-2</v>
      </c>
      <c r="AW193" s="23">
        <f>EXP(-LN(2)/2)*AW192+(1-EXP(-LN(2)/2))/(LN(2)/2)*AQ193*AT193*VLOOKUP('Données projet'!$B$10,Paramètres!$A$1:$I$89,3,0)*0.475*44/12</f>
        <v>2.8563225344107229E-24</v>
      </c>
      <c r="AX193" s="23">
        <f t="shared" si="166"/>
        <v>0.18177740547573443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projet'!$B$11,Paramètres!$A$1:$I$89,3,0)*VLOOKUP('Données projet'!$B$11,Paramètres!$A$1:$I$89,5,0)</f>
        <v>-3.1036506698001178E-14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159.92263609041913</v>
      </c>
      <c r="BJ193" s="62">
        <f t="shared" si="146"/>
        <v>271.78119133009307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0.96466625375168358</v>
      </c>
      <c r="BQ193" s="23">
        <f>EXP(-LN(2)/25)*BQ192+(1-EXP(-LN(2)/25))/(LN(2)/25)*Calculateur!BL193*Calculateur!BN193*VLOOKUP('Données projet'!$B$11,Paramètres!$A$1:$I$89,3,0)*0.475*44/12</f>
        <v>0.22745569952944983</v>
      </c>
      <c r="BR193" s="23">
        <f>EXP(-LN(2)/2)*BR192+(1-EXP(-LN(2)/2))/(LN(2)/2)*BL193*BO193*VLOOKUP('Données projet'!$B$11,Paramètres!$A$1:$I$89,3,0)*0.475*44/12</f>
        <v>6.7279474910283167E-24</v>
      </c>
      <c r="BS193" s="24">
        <f t="shared" si="169"/>
        <v>1.1921219532811334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1.2710188457276673E-13</v>
      </c>
      <c r="P194" s="14">
        <f t="shared" si="141"/>
        <v>1.856866851063998E-12</v>
      </c>
      <c r="Q194" s="22">
        <f t="shared" si="162"/>
        <v>3.4554122145673649E-12</v>
      </c>
      <c r="R194" s="62">
        <f t="shared" si="109"/>
        <v>293.33333333333678</v>
      </c>
      <c r="S194" s="62">
        <f ca="1">AVERAGE(OFFSET($R$3,0,0,'Données projet'!$E$9+1,1))-AVERAGE(OFFSET($H$3,0,0,'Données projet'!$E$9+1,1))</f>
        <v>210.566504119093</v>
      </c>
      <c r="T194" s="62">
        <f t="shared" si="142"/>
        <v>365.95065044620048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0.34651117503985823</v>
      </c>
      <c r="AA194" s="23">
        <f>EXP(-LN(2)/25)*AA193+(1-EXP(-LN(2)/25))/(LN(2)/25)*Calculateur!V194*Calculateur!X194*VLOOKUP('Données projet'!$B$9,Paramètres!$A$1:$I$89,3,0)*0.475*44/12</f>
        <v>4.9695055036129344E-2</v>
      </c>
      <c r="AB194" s="23">
        <f>EXP(-LN(2)/2)*AB193+(1-EXP(-LN(2)/2))/(LN(2)/2)*V194*Y194*VLOOKUP('Données projet'!$B$9,Paramètres!$A$1:$I$89,3,0)*0.475*44/12</f>
        <v>2.5355264231118997E-24</v>
      </c>
      <c r="AC194" s="24">
        <f t="shared" si="163"/>
        <v>0.3962062300759876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295.01137243247126</v>
      </c>
      <c r="AO194" s="62">
        <f t="shared" si="144"/>
        <v>221.9773436301067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0.15014270844855857</v>
      </c>
      <c r="AV194" s="23">
        <f>EXP(-LN(2)/25)*AV193+(1-EXP(-LN(2)/25))/(LN(2)/25)*Calculateur!AQ194*Calculateur!AS194*VLOOKUP('Données projet'!$B$10,Paramètres!$A$1:$I$89,3,0)*0.475*44/12</f>
        <v>2.7848668574442677E-2</v>
      </c>
      <c r="AW194" s="23">
        <f>EXP(-LN(2)/2)*AW193+(1-EXP(-LN(2)/2))/(LN(2)/2)*AQ194*AT194*VLOOKUP('Données projet'!$B$10,Paramètres!$A$1:$I$89,3,0)*0.475*44/12</f>
        <v>2.0197250333377679E-24</v>
      </c>
      <c r="AX194" s="23">
        <f t="shared" si="166"/>
        <v>0.17799137702300125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projet'!$B$11,Paramètres!$A$1:$I$89,3,0)*VLOOKUP('Données projet'!$B$11,Paramètres!$A$1:$I$89,5,0)</f>
        <v>-3.1036506698001178E-14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159.92263609041913</v>
      </c>
      <c r="BJ194" s="62">
        <f t="shared" si="146"/>
        <v>271.78119133009307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0.94574973690392938</v>
      </c>
      <c r="BQ194" s="23">
        <f>EXP(-LN(2)/25)*BQ193+(1-EXP(-LN(2)/25))/(LN(2)/25)*Calculateur!BL194*Calculateur!BN194*VLOOKUP('Données projet'!$B$11,Paramètres!$A$1:$I$89,3,0)*0.475*44/12</f>
        <v>0.22123591146444163</v>
      </c>
      <c r="BR194" s="23">
        <f>EXP(-LN(2)/2)*BR193+(1-EXP(-LN(2)/2))/(LN(2)/2)*BL194*BO194*VLOOKUP('Données projet'!$B$11,Paramètres!$A$1:$I$89,3,0)*0.475*44/12</f>
        <v>4.7573772943731413E-24</v>
      </c>
      <c r="BS194" s="24">
        <f t="shared" si="169"/>
        <v>1.1669856483683709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1.2710188457276673E-13</v>
      </c>
      <c r="P195" s="14">
        <f t="shared" si="141"/>
        <v>1.856866851063998E-12</v>
      </c>
      <c r="Q195" s="22">
        <f t="shared" si="162"/>
        <v>3.4554122145673649E-12</v>
      </c>
      <c r="R195" s="62">
        <f t="shared" ref="R195:R203" si="191">Q195+(I195+J195)*44/12</f>
        <v>293.33333333333678</v>
      </c>
      <c r="S195" s="62">
        <f ca="1">AVERAGE(OFFSET($R$3,0,0,'Données projet'!$E$9+1,1))-AVERAGE(OFFSET($H$3,0,0,'Données projet'!$E$9+1,1))</f>
        <v>210.566504119093</v>
      </c>
      <c r="T195" s="62">
        <f t="shared" si="142"/>
        <v>365.95065044620048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0.3397163022482742</v>
      </c>
      <c r="AA195" s="23">
        <f>EXP(-LN(2)/25)*AA194+(1-EXP(-LN(2)/25))/(LN(2)/25)*Calculateur!V195*Calculateur!X195*VLOOKUP('Données projet'!$B$9,Paramètres!$A$1:$I$89,3,0)*0.475*44/12</f>
        <v>4.8336141142817021E-2</v>
      </c>
      <c r="AB195" s="23">
        <f>EXP(-LN(2)/2)*AB194+(1-EXP(-LN(2)/2))/(LN(2)/2)*V195*Y195*VLOOKUP('Données projet'!$B$9,Paramètres!$A$1:$I$89,3,0)*0.475*44/12</f>
        <v>1.7928879276600956E-24</v>
      </c>
      <c r="AC195" s="24">
        <f t="shared" si="163"/>
        <v>0.38805244339109124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295.01137243247126</v>
      </c>
      <c r="AO195" s="62">
        <f t="shared" si="144"/>
        <v>221.9773436301067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0.14719850151389191</v>
      </c>
      <c r="AV195" s="23">
        <f>EXP(-LN(2)/25)*AV194+(1-EXP(-LN(2)/25))/(LN(2)/25)*Calculateur!AQ195*Calculateur!AS195*VLOOKUP('Données projet'!$B$10,Paramètres!$A$1:$I$89,3,0)*0.475*44/12</f>
        <v>2.708714526777671E-2</v>
      </c>
      <c r="AW195" s="23">
        <f>EXP(-LN(2)/2)*AW194+(1-EXP(-LN(2)/2))/(LN(2)/2)*AQ195*AT195*VLOOKUP('Données projet'!$B$10,Paramètres!$A$1:$I$89,3,0)*0.475*44/12</f>
        <v>1.4281612672053615E-24</v>
      </c>
      <c r="AX195" s="23">
        <f t="shared" si="166"/>
        <v>0.17428564678166863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projet'!$B$11,Paramètres!$A$1:$I$89,3,0)*VLOOKUP('Données projet'!$B$11,Paramètres!$A$1:$I$89,5,0)</f>
        <v>-3.1036506698001178E-14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159.92263609041913</v>
      </c>
      <c r="BJ195" s="62">
        <f t="shared" si="146"/>
        <v>271.78119133009307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0.92720416141362361</v>
      </c>
      <c r="BQ195" s="23">
        <f>EXP(-LN(2)/25)*BQ194+(1-EXP(-LN(2)/25))/(LN(2)/25)*Calculateur!BL195*Calculateur!BN195*VLOOKUP('Données projet'!$B$11,Paramètres!$A$1:$I$89,3,0)*0.475*44/12</f>
        <v>0.21518620383115553</v>
      </c>
      <c r="BR195" s="23">
        <f>EXP(-LN(2)/2)*BR194+(1-EXP(-LN(2)/2))/(LN(2)/2)*BL195*BO195*VLOOKUP('Données projet'!$B$11,Paramètres!$A$1:$I$89,3,0)*0.475*44/12</f>
        <v>3.3639737455141583E-24</v>
      </c>
      <c r="BS195" s="24">
        <f t="shared" si="169"/>
        <v>1.1423903652447791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1.2710188457276673E-13</v>
      </c>
      <c r="P196" s="14">
        <f t="shared" si="141"/>
        <v>1.856866851063998E-12</v>
      </c>
      <c r="Q196" s="22">
        <f t="shared" si="162"/>
        <v>3.4554122145673649E-12</v>
      </c>
      <c r="R196" s="62">
        <f t="shared" si="191"/>
        <v>293.33333333333678</v>
      </c>
      <c r="S196" s="62">
        <f ca="1">AVERAGE(OFFSET($R$3,0,0,'Données projet'!$E$9+1,1))-AVERAGE(OFFSET($H$3,0,0,'Données projet'!$E$9+1,1))</f>
        <v>210.566504119093</v>
      </c>
      <c r="T196" s="62">
        <f t="shared" si="142"/>
        <v>365.95065044620048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0.33305467276766998</v>
      </c>
      <c r="AA196" s="23">
        <f>EXP(-LN(2)/25)*AA195+(1-EXP(-LN(2)/25))/(LN(2)/25)*Calculateur!V196*Calculateur!X196*VLOOKUP('Données projet'!$B$9,Paramètres!$A$1:$I$89,3,0)*0.475*44/12</f>
        <v>4.7014386821379497E-2</v>
      </c>
      <c r="AB196" s="23">
        <f>EXP(-LN(2)/2)*AB195+(1-EXP(-LN(2)/2))/(LN(2)/2)*V196*Y196*VLOOKUP('Données projet'!$B$9,Paramètres!$A$1:$I$89,3,0)*0.475*44/12</f>
        <v>1.2677632115559499E-24</v>
      </c>
      <c r="AC196" s="24">
        <f t="shared" si="163"/>
        <v>0.38006905958904946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295.01137243247126</v>
      </c>
      <c r="AO196" s="62">
        <f t="shared" si="144"/>
        <v>221.9773436301067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0.14431202868142515</v>
      </c>
      <c r="AV196" s="23">
        <f>EXP(-LN(2)/25)*AV195+(1-EXP(-LN(2)/25))/(LN(2)/25)*Calculateur!AQ196*Calculateur!AS196*VLOOKUP('Données projet'!$B$10,Paramètres!$A$1:$I$89,3,0)*0.475*44/12</f>
        <v>2.6346445855978295E-2</v>
      </c>
      <c r="AW196" s="23">
        <f>EXP(-LN(2)/2)*AW195+(1-EXP(-LN(2)/2))/(LN(2)/2)*AQ196*AT196*VLOOKUP('Données projet'!$B$10,Paramètres!$A$1:$I$89,3,0)*0.475*44/12</f>
        <v>1.0098625166688839E-24</v>
      </c>
      <c r="AX196" s="23">
        <f t="shared" si="166"/>
        <v>0.17065847453740343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projet'!$B$11,Paramètres!$A$1:$I$89,3,0)*VLOOKUP('Données projet'!$B$11,Paramètres!$A$1:$I$89,5,0)</f>
        <v>-3.1036506698001178E-14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159.92263609041913</v>
      </c>
      <c r="BJ196" s="62">
        <f t="shared" si="146"/>
        <v>271.78119133009307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0.9090222533469986</v>
      </c>
      <c r="BQ196" s="23">
        <f>EXP(-LN(2)/25)*BQ195+(1-EXP(-LN(2)/25))/(LN(2)/25)*Calculateur!BL196*Calculateur!BN196*VLOOKUP('Données projet'!$B$11,Paramètres!$A$1:$I$89,3,0)*0.475*44/12</f>
        <v>0.20930192577124193</v>
      </c>
      <c r="BR196" s="23">
        <f>EXP(-LN(2)/2)*BR195+(1-EXP(-LN(2)/2))/(LN(2)/2)*BL196*BO196*VLOOKUP('Données projet'!$B$11,Paramètres!$A$1:$I$89,3,0)*0.475*44/12</f>
        <v>2.3786886471865707E-24</v>
      </c>
      <c r="BS196" s="24">
        <f t="shared" si="169"/>
        <v>1.1183241791182406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1.2710188457276673E-13</v>
      </c>
      <c r="P197" s="14">
        <f t="shared" ref="P197:P203" si="203">EXP(-1.0587+0.8836*LN(O197)+0.284)</f>
        <v>1.856866851063998E-12</v>
      </c>
      <c r="Q197" s="22">
        <f t="shared" si="162"/>
        <v>3.4554122145673649E-12</v>
      </c>
      <c r="R197" s="62">
        <f t="shared" si="191"/>
        <v>293.33333333333678</v>
      </c>
      <c r="S197" s="62">
        <f ca="1">AVERAGE(OFFSET($R$3,0,0,'Données projet'!$E$9+1,1))-AVERAGE(OFFSET($H$3,0,0,'Données projet'!$E$9+1,1))</f>
        <v>210.566504119093</v>
      </c>
      <c r="T197" s="62">
        <f t="shared" ref="T197:T203" si="204">$T$3</f>
        <v>365.95065044620048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0.32652367377798763</v>
      </c>
      <c r="AA197" s="23">
        <f>EXP(-LN(2)/25)*AA196+(1-EXP(-LN(2)/25))/(LN(2)/25)*Calculateur!V197*Calculateur!X197*VLOOKUP('Données projet'!$B$9,Paramètres!$A$1:$I$89,3,0)*0.475*44/12</f>
        <v>4.5728775941369725E-2</v>
      </c>
      <c r="AB197" s="23">
        <f>EXP(-LN(2)/2)*AB196+(1-EXP(-LN(2)/2))/(LN(2)/2)*V197*Y197*VLOOKUP('Données projet'!$B$9,Paramètres!$A$1:$I$89,3,0)*0.475*44/12</f>
        <v>8.964439638300478E-25</v>
      </c>
      <c r="AC197" s="24">
        <f t="shared" si="163"/>
        <v>0.37225244971935734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295.01137243247126</v>
      </c>
      <c r="AO197" s="62">
        <f t="shared" ref="AO197:AO203" si="205">$AO$3</f>
        <v>221.9773436301067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0.14148215782062848</v>
      </c>
      <c r="AV197" s="23">
        <f>EXP(-LN(2)/25)*AV196+(1-EXP(-LN(2)/25))/(LN(2)/25)*Calculateur!AQ197*Calculateur!AS197*VLOOKUP('Données projet'!$B$10,Paramètres!$A$1:$I$89,3,0)*0.475*44/12</f>
        <v>2.5626000908547195E-2</v>
      </c>
      <c r="AW197" s="23">
        <f>EXP(-LN(2)/2)*AW196+(1-EXP(-LN(2)/2))/(LN(2)/2)*AQ197*AT197*VLOOKUP('Données projet'!$B$10,Paramètres!$A$1:$I$89,3,0)*0.475*44/12</f>
        <v>7.1408063360268073E-25</v>
      </c>
      <c r="AX197" s="23">
        <f t="shared" si="166"/>
        <v>0.16710815872917567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projet'!$B$11,Paramètres!$A$1:$I$89,3,0)*VLOOKUP('Données projet'!$B$11,Paramètres!$A$1:$I$89,5,0)</f>
        <v>-3.1036506698001178E-14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159.92263609041913</v>
      </c>
      <c r="BJ197" s="62">
        <f t="shared" ref="BJ197:BJ203" si="206">$BJ$3</f>
        <v>271.78119133009307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0.89119688140769127</v>
      </c>
      <c r="BQ197" s="23">
        <f>EXP(-LN(2)/25)*BQ196+(1-EXP(-LN(2)/25))/(LN(2)/25)*Calculateur!BL197*Calculateur!BN197*VLOOKUP('Données projet'!$B$11,Paramètres!$A$1:$I$89,3,0)*0.475*44/12</f>
        <v>0.2035785536043174</v>
      </c>
      <c r="BR197" s="23">
        <f>EXP(-LN(2)/2)*BR196+(1-EXP(-LN(2)/2))/(LN(2)/2)*BL197*BO197*VLOOKUP('Données projet'!$B$11,Paramètres!$A$1:$I$89,3,0)*0.475*44/12</f>
        <v>1.6819868727570792E-24</v>
      </c>
      <c r="BS197" s="24">
        <f t="shared" si="169"/>
        <v>1.0947754350120087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1.2710188457276673E-13</v>
      </c>
      <c r="P198" s="14">
        <f t="shared" si="203"/>
        <v>1.856866851063998E-12</v>
      </c>
      <c r="Q198" s="22">
        <f t="shared" si="162"/>
        <v>3.4554122145673649E-12</v>
      </c>
      <c r="R198" s="62">
        <f t="shared" si="191"/>
        <v>293.33333333333678</v>
      </c>
      <c r="S198" s="62">
        <f ca="1">AVERAGE(OFFSET($R$3,0,0,'Données projet'!$E$9+1,1))-AVERAGE(OFFSET($H$3,0,0,'Données projet'!$E$9+1,1))</f>
        <v>210.566504119093</v>
      </c>
      <c r="T198" s="62">
        <f t="shared" si="204"/>
        <v>365.95065044620048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0.32012074369497689</v>
      </c>
      <c r="AA198" s="23">
        <f>EXP(-LN(2)/25)*AA197+(1-EXP(-LN(2)/25))/(LN(2)/25)*Calculateur!V198*Calculateur!X198*VLOOKUP('Données projet'!$B$9,Paramètres!$A$1:$I$89,3,0)*0.475*44/12</f>
        <v>4.447832015848116E-2</v>
      </c>
      <c r="AB198" s="23">
        <f>EXP(-LN(2)/2)*AB197+(1-EXP(-LN(2)/2))/(LN(2)/2)*V198*Y198*VLOOKUP('Données projet'!$B$9,Paramètres!$A$1:$I$89,3,0)*0.475*44/12</f>
        <v>6.3388160577797493E-25</v>
      </c>
      <c r="AC198" s="24">
        <f t="shared" si="163"/>
        <v>0.36459906385345808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295.01137243247126</v>
      </c>
      <c r="AO198" s="62">
        <f t="shared" si="205"/>
        <v>221.9773436301067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0.13870777900136125</v>
      </c>
      <c r="AV198" s="23">
        <f>EXP(-LN(2)/25)*AV197+(1-EXP(-LN(2)/25))/(LN(2)/25)*Calculateur!AQ198*Calculateur!AS198*VLOOKUP('Données projet'!$B$10,Paramètres!$A$1:$I$89,3,0)*0.475*44/12</f>
        <v>2.4925256566090154E-2</v>
      </c>
      <c r="AW198" s="23">
        <f>EXP(-LN(2)/2)*AW197+(1-EXP(-LN(2)/2))/(LN(2)/2)*AQ198*AT198*VLOOKUP('Données projet'!$B$10,Paramètres!$A$1:$I$89,3,0)*0.475*44/12</f>
        <v>5.0493125833444197E-25</v>
      </c>
      <c r="AX198" s="23">
        <f t="shared" si="166"/>
        <v>0.1636330355674514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projet'!$B$11,Paramètres!$A$1:$I$89,3,0)*VLOOKUP('Données projet'!$B$11,Paramètres!$A$1:$I$89,5,0)</f>
        <v>-3.1036506698001178E-14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159.92263609041913</v>
      </c>
      <c r="BJ198" s="62">
        <f t="shared" si="206"/>
        <v>271.78119133009307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0.87372105413971035</v>
      </c>
      <c r="BQ198" s="23">
        <f>EXP(-LN(2)/25)*BQ197+(1-EXP(-LN(2)/25))/(LN(2)/25)*Calculateur!BL198*Calculateur!BN198*VLOOKUP('Données projet'!$B$11,Paramètres!$A$1:$I$89,3,0)*0.475*44/12</f>
        <v>0.19801168735027649</v>
      </c>
      <c r="BR198" s="23">
        <f>EXP(-LN(2)/2)*BR197+(1-EXP(-LN(2)/2))/(LN(2)/2)*BL198*BO198*VLOOKUP('Données projet'!$B$11,Paramètres!$A$1:$I$89,3,0)*0.475*44/12</f>
        <v>1.1893443235932853E-24</v>
      </c>
      <c r="BS198" s="24">
        <f t="shared" si="169"/>
        <v>1.0717327414899869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1.2710188457276673E-13</v>
      </c>
      <c r="P199" s="14">
        <f t="shared" si="203"/>
        <v>1.856866851063998E-12</v>
      </c>
      <c r="Q199" s="22">
        <f t="shared" si="162"/>
        <v>3.4554122145673649E-12</v>
      </c>
      <c r="R199" s="62">
        <f t="shared" si="191"/>
        <v>293.33333333333678</v>
      </c>
      <c r="S199" s="62">
        <f ca="1">AVERAGE(OFFSET($R$3,0,0,'Données projet'!$E$9+1,1))-AVERAGE(OFFSET($H$3,0,0,'Données projet'!$E$9+1,1))</f>
        <v>210.566504119093</v>
      </c>
      <c r="T199" s="62">
        <f t="shared" si="204"/>
        <v>365.95065044620048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0.31384337116549227</v>
      </c>
      <c r="AA199" s="23">
        <f>EXP(-LN(2)/25)*AA198+(1-EXP(-LN(2)/25))/(LN(2)/25)*Calculateur!V199*Calculateur!X199*VLOOKUP('Données projet'!$B$9,Paramètres!$A$1:$I$89,3,0)*0.475*44/12</f>
        <v>4.3262058154734294E-2</v>
      </c>
      <c r="AB199" s="23">
        <f>EXP(-LN(2)/2)*AB198+(1-EXP(-LN(2)/2))/(LN(2)/2)*V199*Y199*VLOOKUP('Données projet'!$B$9,Paramètres!$A$1:$I$89,3,0)*0.475*44/12</f>
        <v>4.482219819150239E-25</v>
      </c>
      <c r="AC199" s="24">
        <f t="shared" si="163"/>
        <v>0.35710542932022654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295.01137243247126</v>
      </c>
      <c r="AO199" s="62">
        <f t="shared" si="205"/>
        <v>221.9773436301067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0.13598780405853586</v>
      </c>
      <c r="AV199" s="23">
        <f>EXP(-LN(2)/25)*AV198+(1-EXP(-LN(2)/25))/(LN(2)/25)*Calculateur!AQ199*Calculateur!AS199*VLOOKUP('Données projet'!$B$10,Paramètres!$A$1:$I$89,3,0)*0.475*44/12</f>
        <v>2.4243674114528144E-2</v>
      </c>
      <c r="AW199" s="23">
        <f>EXP(-LN(2)/2)*AW198+(1-EXP(-LN(2)/2))/(LN(2)/2)*AQ199*AT199*VLOOKUP('Données projet'!$B$10,Paramètres!$A$1:$I$89,3,0)*0.475*44/12</f>
        <v>3.5704031680134037E-25</v>
      </c>
      <c r="AX199" s="23">
        <f t="shared" si="166"/>
        <v>0.16023147817306399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projet'!$B$11,Paramètres!$A$1:$I$89,3,0)*VLOOKUP('Données projet'!$B$11,Paramètres!$A$1:$I$89,5,0)</f>
        <v>-3.1036506698001178E-14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159.92263609041913</v>
      </c>
      <c r="BJ199" s="62">
        <f t="shared" si="206"/>
        <v>271.78119133009307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0.8565879171852524</v>
      </c>
      <c r="BQ199" s="23">
        <f>EXP(-LN(2)/25)*BQ198+(1-EXP(-LN(2)/25))/(LN(2)/25)*Calculateur!BL199*Calculateur!BN199*VLOOKUP('Données projet'!$B$11,Paramètres!$A$1:$I$89,3,0)*0.475*44/12</f>
        <v>0.19259704734670111</v>
      </c>
      <c r="BR199" s="23">
        <f>EXP(-LN(2)/2)*BR198+(1-EXP(-LN(2)/2))/(LN(2)/2)*BL199*BO199*VLOOKUP('Données projet'!$B$11,Paramètres!$A$1:$I$89,3,0)*0.475*44/12</f>
        <v>8.4099343637853959E-25</v>
      </c>
      <c r="BS199" s="24">
        <f t="shared" si="169"/>
        <v>1.0491849645319535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1.2710188457276673E-13</v>
      </c>
      <c r="P200" s="14">
        <f t="shared" si="203"/>
        <v>1.856866851063998E-12</v>
      </c>
      <c r="Q200" s="22">
        <f t="shared" si="162"/>
        <v>3.4554122145673649E-12</v>
      </c>
      <c r="R200" s="62">
        <f t="shared" si="191"/>
        <v>293.33333333333678</v>
      </c>
      <c r="S200" s="62">
        <f ca="1">AVERAGE(OFFSET($R$3,0,0,'Données projet'!$E$9+1,1))-AVERAGE(OFFSET($H$3,0,0,'Données projet'!$E$9+1,1))</f>
        <v>210.566504119093</v>
      </c>
      <c r="T200" s="62">
        <f t="shared" si="204"/>
        <v>365.95065044620048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0.30768909408249168</v>
      </c>
      <c r="AA200" s="23">
        <f>EXP(-LN(2)/25)*AA199+(1-EXP(-LN(2)/25))/(LN(2)/25)*Calculateur!V200*Calculateur!X200*VLOOKUP('Données projet'!$B$9,Paramètres!$A$1:$I$89,3,0)*0.475*44/12</f>
        <v>4.2079054899440325E-2</v>
      </c>
      <c r="AB200" s="23">
        <f>EXP(-LN(2)/2)*AB199+(1-EXP(-LN(2)/2))/(LN(2)/2)*V200*Y200*VLOOKUP('Données projet'!$B$9,Paramètres!$A$1:$I$89,3,0)*0.475*44/12</f>
        <v>3.1694080288898746E-25</v>
      </c>
      <c r="AC200" s="24">
        <f t="shared" si="163"/>
        <v>0.34976814898193198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295.01137243247126</v>
      </c>
      <c r="AO200" s="62">
        <f t="shared" si="205"/>
        <v>221.9773436301067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0.13332116616531836</v>
      </c>
      <c r="AV200" s="23">
        <f>EXP(-LN(2)/25)*AV199+(1-EXP(-LN(2)/25))/(LN(2)/25)*Calculateur!AQ200*Calculateur!AS200*VLOOKUP('Données projet'!$B$10,Paramètres!$A$1:$I$89,3,0)*0.475*44/12</f>
        <v>2.3580729570946958E-2</v>
      </c>
      <c r="AW200" s="23">
        <f>EXP(-LN(2)/2)*AW199+(1-EXP(-LN(2)/2))/(LN(2)/2)*AQ200*AT200*VLOOKUP('Données projet'!$B$10,Paramètres!$A$1:$I$89,3,0)*0.475*44/12</f>
        <v>2.5246562916722098E-25</v>
      </c>
      <c r="AX200" s="23">
        <f t="shared" si="166"/>
        <v>0.15690189573626531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projet'!$B$11,Paramètres!$A$1:$I$89,3,0)*VLOOKUP('Données projet'!$B$11,Paramètres!$A$1:$I$89,5,0)</f>
        <v>-3.1036506698001178E-14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159.92263609041913</v>
      </c>
      <c r="BJ200" s="62">
        <f t="shared" si="206"/>
        <v>271.78119133009307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0.83979075059628971</v>
      </c>
      <c r="BQ200" s="23">
        <f>EXP(-LN(2)/25)*BQ199+(1-EXP(-LN(2)/25))/(LN(2)/25)*Calculateur!BL200*Calculateur!BN200*VLOOKUP('Données projet'!$B$11,Paramètres!$A$1:$I$89,3,0)*0.475*44/12</f>
        <v>0.18733047095876704</v>
      </c>
      <c r="BR200" s="23">
        <f>EXP(-LN(2)/2)*BR199+(1-EXP(-LN(2)/2))/(LN(2)/2)*BL200*BO200*VLOOKUP('Données projet'!$B$11,Paramètres!$A$1:$I$89,3,0)*0.475*44/12</f>
        <v>5.9467216179664266E-25</v>
      </c>
      <c r="BS200" s="24">
        <f t="shared" si="169"/>
        <v>1.0271212215550567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1.2710188457276673E-13</v>
      </c>
      <c r="P201" s="14">
        <f t="shared" si="203"/>
        <v>1.856866851063998E-12</v>
      </c>
      <c r="Q201" s="22">
        <f t="shared" si="162"/>
        <v>3.4554122145673649E-12</v>
      </c>
      <c r="R201" s="62">
        <f t="shared" si="191"/>
        <v>293.33333333333678</v>
      </c>
      <c r="S201" s="62">
        <f ca="1">AVERAGE(OFFSET($R$3,0,0,'Données projet'!$E$9+1,1))-AVERAGE(OFFSET($H$3,0,0,'Données projet'!$E$9+1,1))</f>
        <v>210.566504119093</v>
      </c>
      <c r="T201" s="62">
        <f t="shared" si="204"/>
        <v>365.95065044620048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0.30165549861935037</v>
      </c>
      <c r="AA201" s="23">
        <f>EXP(-LN(2)/25)*AA200+(1-EXP(-LN(2)/25))/(LN(2)/25)*Calculateur!V201*Calculateur!X201*VLOOKUP('Données projet'!$B$9,Paramètres!$A$1:$I$89,3,0)*0.475*44/12</f>
        <v>4.0928400930373803E-2</v>
      </c>
      <c r="AB201" s="23">
        <f>EXP(-LN(2)/2)*AB200+(1-EXP(-LN(2)/2))/(LN(2)/2)*V201*Y201*VLOOKUP('Données projet'!$B$9,Paramètres!$A$1:$I$89,3,0)*0.475*44/12</f>
        <v>2.2411099095751195E-25</v>
      </c>
      <c r="AC201" s="24">
        <f t="shared" si="163"/>
        <v>0.34258389954972418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295.01137243247126</v>
      </c>
      <c r="AO201" s="62">
        <f t="shared" si="205"/>
        <v>221.9773436301067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0.13070681941469836</v>
      </c>
      <c r="AV201" s="23">
        <f>EXP(-LN(2)/25)*AV200+(1-EXP(-LN(2)/25))/(LN(2)/25)*Calculateur!AQ201*Calculateur!AS201*VLOOKUP('Données projet'!$B$10,Paramètres!$A$1:$I$89,3,0)*0.475*44/12</f>
        <v>2.2935913280772741E-2</v>
      </c>
      <c r="AW201" s="23">
        <f>EXP(-LN(2)/2)*AW200+(1-EXP(-LN(2)/2))/(LN(2)/2)*AQ201*AT201*VLOOKUP('Données projet'!$B$10,Paramètres!$A$1:$I$89,3,0)*0.475*44/12</f>
        <v>1.7852015840067018E-25</v>
      </c>
      <c r="AX201" s="23">
        <f t="shared" si="166"/>
        <v>0.1536427326954711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projet'!$B$11,Paramètres!$A$1:$I$89,3,0)*VLOOKUP('Données projet'!$B$11,Paramètres!$A$1:$I$89,5,0)</f>
        <v>-3.1036506698001178E-14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159.92263609041913</v>
      </c>
      <c r="BJ201" s="62">
        <f t="shared" si="206"/>
        <v>271.78119133009307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0.82332296619887668</v>
      </c>
      <c r="BQ201" s="23">
        <f>EXP(-LN(2)/25)*BQ200+(1-EXP(-LN(2)/25))/(LN(2)/25)*Calculateur!BL201*Calculateur!BN201*VLOOKUP('Données projet'!$B$11,Paramètres!$A$1:$I$89,3,0)*0.475*44/12</f>
        <v>0.18220790937911824</v>
      </c>
      <c r="BR201" s="23">
        <f>EXP(-LN(2)/2)*BR200+(1-EXP(-LN(2)/2))/(LN(2)/2)*BL201*BO201*VLOOKUP('Données projet'!$B$11,Paramètres!$A$1:$I$89,3,0)*0.475*44/12</f>
        <v>4.2049671818926979E-25</v>
      </c>
      <c r="BS201" s="24">
        <f t="shared" si="169"/>
        <v>1.0055308755779948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1.2710188457276673E-13</v>
      </c>
      <c r="P202" s="14">
        <f t="shared" si="203"/>
        <v>1.856866851063998E-12</v>
      </c>
      <c r="Q202" s="22">
        <f t="shared" si="162"/>
        <v>3.4554122145673649E-12</v>
      </c>
      <c r="R202" s="62">
        <f t="shared" si="191"/>
        <v>293.33333333333678</v>
      </c>
      <c r="S202" s="62">
        <f ca="1">AVERAGE(OFFSET($R$3,0,0,'Données projet'!$E$9+1,1))-AVERAGE(OFFSET($H$3,0,0,'Données projet'!$E$9+1,1))</f>
        <v>210.566504119093</v>
      </c>
      <c r="T202" s="62">
        <f t="shared" si="204"/>
        <v>365.95065044620048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0.29574021828311142</v>
      </c>
      <c r="AA202" s="23">
        <f>EXP(-LN(2)/25)*AA201+(1-EXP(-LN(2)/25))/(LN(2)/25)*Calculateur!V202*Calculateur!X202*VLOOKUP('Données projet'!$B$9,Paramètres!$A$1:$I$89,3,0)*0.475*44/12</f>
        <v>3.9809211654601669E-2</v>
      </c>
      <c r="AB202" s="23">
        <f>EXP(-LN(2)/2)*AB201+(1-EXP(-LN(2)/2))/(LN(2)/2)*V202*Y202*VLOOKUP('Données projet'!$B$9,Paramètres!$A$1:$I$89,3,0)*0.475*44/12</f>
        <v>1.5847040144449373E-25</v>
      </c>
      <c r="AC202" s="24">
        <f t="shared" si="163"/>
        <v>0.33554942993771308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295.01137243247126</v>
      </c>
      <c r="AO202" s="62">
        <f t="shared" si="205"/>
        <v>221.9773436301067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0.12814373840926394</v>
      </c>
      <c r="AV202" s="23">
        <f>EXP(-LN(2)/25)*AV201+(1-EXP(-LN(2)/25))/(LN(2)/25)*Calculateur!AQ202*Calculateur!AS202*VLOOKUP('Données projet'!$B$10,Paramètres!$A$1:$I$89,3,0)*0.475*44/12</f>
        <v>2.2308729525962752E-2</v>
      </c>
      <c r="AW202" s="23">
        <f>EXP(-LN(2)/2)*AW201+(1-EXP(-LN(2)/2))/(LN(2)/2)*AQ202*AT202*VLOOKUP('Données projet'!$B$10,Paramètres!$A$1:$I$89,3,0)*0.475*44/12</f>
        <v>1.2623281458361049E-25</v>
      </c>
      <c r="AX202" s="23">
        <f t="shared" si="166"/>
        <v>0.15045246793522668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projet'!$B$11,Paramètres!$A$1:$I$89,3,0)*VLOOKUP('Données projet'!$B$11,Paramètres!$A$1:$I$89,5,0)</f>
        <v>-3.1036506698001178E-14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159.92263609041913</v>
      </c>
      <c r="BJ202" s="62">
        <f t="shared" si="206"/>
        <v>271.78119133009307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0.80717810500914022</v>
      </c>
      <c r="BQ202" s="23">
        <f>EXP(-LN(2)/25)*BQ201+(1-EXP(-LN(2)/25))/(LN(2)/25)*Calculateur!BL202*Calculateur!BN202*VLOOKUP('Données projet'!$B$11,Paramètres!$A$1:$I$89,3,0)*0.475*44/12</f>
        <v>0.17722542451524873</v>
      </c>
      <c r="BR202" s="23">
        <f>EXP(-LN(2)/2)*BR201+(1-EXP(-LN(2)/2))/(LN(2)/2)*BL202*BO202*VLOOKUP('Données projet'!$B$11,Paramètres!$A$1:$I$89,3,0)*0.475*44/12</f>
        <v>2.9733608089832133E-25</v>
      </c>
      <c r="BS202" s="24">
        <f t="shared" si="169"/>
        <v>0.98440352952438892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1.2710188457276673E-13</v>
      </c>
      <c r="P203" s="14">
        <f t="shared" si="203"/>
        <v>1.856866851063998E-12</v>
      </c>
      <c r="Q203" s="22">
        <f t="shared" si="162"/>
        <v>3.4554122145673649E-12</v>
      </c>
      <c r="R203" s="62">
        <f t="shared" si="191"/>
        <v>293.33333333333678</v>
      </c>
      <c r="S203" s="62">
        <f ca="1">AVERAGE(OFFSET($R$3,0,0,'Données projet'!$E$9+1,1))-AVERAGE(OFFSET($H$3,0,0,'Données projet'!$E$9+1,1))</f>
        <v>210.566504119093</v>
      </c>
      <c r="T203" s="62">
        <f t="shared" si="204"/>
        <v>365.95065044620048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0.28994093298630136</v>
      </c>
      <c r="AA203" s="23">
        <f>EXP(-LN(2)/25)*AA202+(1-EXP(-LN(2)/25))/(LN(2)/25)*Calculateur!V203*Calculateur!X203*VLOOKUP('Données projet'!$B$9,Paramètres!$A$1:$I$89,3,0)*0.475*44/12</f>
        <v>3.8720626668431131E-2</v>
      </c>
      <c r="AB203" s="23">
        <f>EXP(-LN(2)/2)*AB202+(1-EXP(-LN(2)/2))/(LN(2)/2)*V203*Y203*VLOOKUP('Données projet'!$B$9,Paramètres!$A$1:$I$89,3,0)*0.475*44/12</f>
        <v>1.1205549547875597E-25</v>
      </c>
      <c r="AC203" s="24">
        <f t="shared" si="163"/>
        <v>0.32866155965473248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295.01137243247126</v>
      </c>
      <c r="AO203" s="62">
        <f t="shared" si="205"/>
        <v>221.9773436301067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0.12563091785902106</v>
      </c>
      <c r="AV203" s="23">
        <f>EXP(-LN(2)/25)*AV202+(1-EXP(-LN(2)/25))/(LN(2)/25)*Calculateur!AQ203*Calculateur!AS203*VLOOKUP('Données projet'!$B$10,Paramètres!$A$1:$I$89,3,0)*0.475*44/12</f>
        <v>2.1698696143910203E-2</v>
      </c>
      <c r="AW203" s="23">
        <f>EXP(-LN(2)/2)*AW202+(1-EXP(-LN(2)/2))/(LN(2)/2)*AQ203*AT203*VLOOKUP('Données projet'!$B$10,Paramètres!$A$1:$I$89,3,0)*0.475*44/12</f>
        <v>8.9260079200335092E-26</v>
      </c>
      <c r="AX203" s="23">
        <f t="shared" si="166"/>
        <v>0.14732961400293126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projet'!$B$11,Paramètres!$A$1:$I$89,3,0)*VLOOKUP('Données projet'!$B$11,Paramètres!$A$1:$I$89,5,0)</f>
        <v>-3.1036506698001178E-14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159.92263609041913</v>
      </c>
      <c r="BJ203" s="62">
        <f t="shared" si="206"/>
        <v>271.78119133009307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0.79134983469994147</v>
      </c>
      <c r="BQ203" s="23">
        <f>EXP(-LN(2)/25)*BQ202+(1-EXP(-LN(2)/25))/(LN(2)/25)*Calculateur!BL203*Calculateur!BN203*VLOOKUP('Données projet'!$B$11,Paramètres!$A$1:$I$89,3,0)*0.475*44/12</f>
        <v>0.17237918596199922</v>
      </c>
      <c r="BR203" s="23">
        <f>EXP(-LN(2)/2)*BR202+(1-EXP(-LN(2)/2))/(LN(2)/2)*BL203*BO203*VLOOKUP('Données projet'!$B$11,Paramètres!$A$1:$I$89,3,0)*0.475*44/12</f>
        <v>2.102483590946349E-25</v>
      </c>
      <c r="BS203" s="24">
        <f t="shared" si="169"/>
        <v>0.96372902066194066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1.2403328890648508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1.4860662319460807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A16" workbookViewId="0">
      <selection activeCell="M31" sqref="M3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Douglas</v>
      </c>
      <c r="B6" s="155">
        <f>'Données projet'!D9</f>
        <v>3.3484799999999999</v>
      </c>
      <c r="C6" s="156">
        <f ca="1">IF(OR('Données projet'!B9="",'Données projet'!C9="",'Données projet'!C9=0%),0,Calculateur!S3)</f>
        <v>210.566504119093</v>
      </c>
      <c r="D6" s="156">
        <f>IF(OR('Données projet'!B9="",'Données projet'!C9="",'Données projet'!C9=0%),0,Calculateur!T3)</f>
        <v>365.95065044620048</v>
      </c>
      <c r="E6" s="156">
        <f ca="1">MIN(C6,D6)</f>
        <v>210.566504119093</v>
      </c>
      <c r="F6" s="156">
        <f ca="1">E6*B6</f>
        <v>705.07772771270049</v>
      </c>
      <c r="G6" s="156">
        <f ca="1">F6*(100%-'Données projet'!$C$24)*(100%-'Données projet'!$C$25)*(100%-'Données projet'!$C$26)*(100%-'Données projet'!$C$27)</f>
        <v>507.65596395314441</v>
      </c>
      <c r="H6" s="157">
        <f>IF(OR('Données projet'!B9="",'Données projet'!C9="",'Données projet'!C9=0%),0,AVERAGE(Calculateur!$AC$3:$AC$33)*B6)</f>
        <v>3.7158357336448629</v>
      </c>
      <c r="I6" s="158">
        <f>H6*(100%-'Données projet'!$C$24)*(100%-'Données projet'!$C$25)*(100%-'Données projet'!$C$26)*(100%-'Données projet'!$C$27)</f>
        <v>2.6754017282243017</v>
      </c>
      <c r="J6" s="159">
        <f>IF(OR('Données projet'!B9="",'Données projet'!C9="",'Données projet'!C9=0%),0,SUM(Calculateur!$V$3:$V$33)*VLOOKUP('Données projet'!$B$9,Paramètres!$A$1:$I$89,9,0)*B6)</f>
        <v>80.631398399999995</v>
      </c>
      <c r="K6" s="160">
        <f>J6*(100%-'Données projet'!$C$24)*(100%-'Données projet'!$C$25)*(100%-'Données projet'!$C$26)*(100%-'Données projet'!$C$27)</f>
        <v>58.054606847999999</v>
      </c>
      <c r="L6" s="161">
        <f ca="1">G6+I6+K6</f>
        <v>568.3859725293687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Pin laricio</v>
      </c>
      <c r="B7" s="163">
        <f>'Données projet'!D10</f>
        <v>0.16511999999999999</v>
      </c>
      <c r="C7" s="156">
        <f ca="1">IF(OR('Données projet'!B10="",'Données projet'!C10="",'Données projet'!C10=0%),0,Calculateur!AN3)</f>
        <v>295.01137243247126</v>
      </c>
      <c r="D7" s="156">
        <f>IF(OR('Données projet'!B10="",'Données projet'!C10="",'Données projet'!C10=0%),0,Calculateur!AO3)</f>
        <v>221.9773436301067</v>
      </c>
      <c r="E7" s="156">
        <f t="shared" ref="E7:E15" ca="1" si="0">MIN(C7,D7)</f>
        <v>221.9773436301067</v>
      </c>
      <c r="F7" s="156">
        <f t="shared" ref="F7:F15" ca="1" si="1">E7*B7</f>
        <v>36.652898980203219</v>
      </c>
      <c r="G7" s="156">
        <f ca="1">F7*(100%-'Données projet'!$C$24)*(100%-'Données projet'!$C$25)*(100%-'Données projet'!$C$26)*(100%-'Données projet'!$C$27)</f>
        <v>26.39008726574632</v>
      </c>
      <c r="H7" s="164">
        <f>IF(OR('Données projet'!B10="",'Données projet'!C10="",'Données projet'!C10=0%),0,AVERAGE(Calculateur!$AX$3:$AX$33)*B7)</f>
        <v>5.066605286278112E-2</v>
      </c>
      <c r="I7" s="158">
        <f>H7*(100%-'Données projet'!$C$24)*(100%-'Données projet'!$C$25)*(100%-'Données projet'!$C$26)*(100%-'Données projet'!$C$27)</f>
        <v>3.6479558061202413E-2</v>
      </c>
      <c r="J7" s="159">
        <f>IF(OR('Données projet'!B10="",'Données projet'!C10="",'Données projet'!C10=0%),0,SUM(Calculateur!$AQ$3:$AQ$33)*VLOOKUP('Données projet'!$B$10,Paramètres!$A$1:$I$89,9,0)*B7)</f>
        <v>4.7571071999999992</v>
      </c>
      <c r="K7" s="160">
        <f>J7*(100%-'Données projet'!$C$24)*(100%-'Données projet'!$C$25)*(100%-'Données projet'!$C$26)*(100%-'Données projet'!$C$27)</f>
        <v>3.4251171839999994</v>
      </c>
      <c r="L7" s="161">
        <f t="shared" ref="L7:L15" ca="1" si="2">G7+I7+K7</f>
        <v>29.851684007807521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Mélèze hybride</v>
      </c>
      <c r="B8" s="163">
        <f>'Données projet'!D11</f>
        <v>0.32640000000000002</v>
      </c>
      <c r="C8" s="156">
        <f ca="1">IF(OR('Données projet'!B11="",'Données projet'!C11="",'Données projet'!C11=0%),0,Calculateur!BI3)</f>
        <v>159.92263609041913</v>
      </c>
      <c r="D8" s="156">
        <f>IF(OR('Données projet'!B11="",'Données projet'!C11="",'Données projet'!C11=0%),0,Calculateur!BJ3)</f>
        <v>271.78119133009307</v>
      </c>
      <c r="E8" s="156">
        <f t="shared" ca="1" si="0"/>
        <v>159.92263609041913</v>
      </c>
      <c r="F8" s="156">
        <f t="shared" ca="1" si="1"/>
        <v>52.19874841991281</v>
      </c>
      <c r="G8" s="156">
        <f ca="1">F8*(100%-'Données projet'!$C$24)*(100%-'Données projet'!$C$25)*(100%-'Données projet'!$C$26)*(100%-'Données projet'!$C$27)</f>
        <v>37.583098862337224</v>
      </c>
      <c r="H8" s="164">
        <f>IF(OR('Données projet'!B11="",'Données projet'!C11="",'Données projet'!C11=0%),0,AVERAGE(Calculateur!$BS$3:$BS$33)*B8)</f>
        <v>3.3268825360117629</v>
      </c>
      <c r="I8" s="158">
        <f>H8*(100%-'Données projet'!$C$24)*(100%-'Données projet'!$C$25)*(100%-'Données projet'!$C$26)*(100%-'Données projet'!$C$27)</f>
        <v>2.3953554259284697</v>
      </c>
      <c r="J8" s="159">
        <f>IF(OR('Données projet'!B11="",'Données projet'!C11="",'Données projet'!C11=0%),0,SUM(Calculateur!$BL$3:$BL$33)*VLOOKUP('Données projet'!$B$11,Paramètres!$A$1:$I$89,9,0)*B8)</f>
        <v>40.561728000000002</v>
      </c>
      <c r="K8" s="160">
        <f>J8*(100%-'Données projet'!$C$24)*(100%-'Données projet'!$C$25)*(100%-'Données projet'!$C$26)*(100%-'Données projet'!$C$27)</f>
        <v>29.204444160000005</v>
      </c>
      <c r="L8" s="161">
        <f t="shared" ca="1" si="2"/>
        <v>69.182898448265703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793.9293751128165</v>
      </c>
      <c r="G16" s="175">
        <f t="shared" ca="1" si="3"/>
        <v>571.62915008122798</v>
      </c>
      <c r="H16" s="176">
        <f t="shared" si="3"/>
        <v>7.0933843225194071</v>
      </c>
      <c r="I16" s="176">
        <f t="shared" si="3"/>
        <v>5.1072367122139735</v>
      </c>
      <c r="J16" s="177">
        <f t="shared" si="3"/>
        <v>125.95023359999999</v>
      </c>
      <c r="K16" s="177">
        <f t="shared" si="3"/>
        <v>90.684168192000001</v>
      </c>
      <c r="L16" s="178">
        <f t="shared" ca="1" si="3"/>
        <v>667.42055498544198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Mélèze hybride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3.3484799999999999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0.16511999999999999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Mélèze hybride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0.32640000000000002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25</v>
      </c>
      <c r="B23" s="193">
        <f>'Données projet'!D36</f>
        <v>14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30</v>
      </c>
      <c r="B24" s="193">
        <f>'Données projet'!D37</f>
        <v>42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35</v>
      </c>
      <c r="B25" s="193">
        <f>'Données projet'!D38</f>
        <v>49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40</v>
      </c>
      <c r="B26" s="193">
        <f>'Données projet'!D39</f>
        <v>58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45</v>
      </c>
      <c r="B27" s="193">
        <f>'Données projet'!D40</f>
        <v>526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22</v>
      </c>
      <c r="B54" s="193">
        <f>'Données projet'!D62</f>
        <v>16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25</v>
      </c>
      <c r="B55" s="193">
        <f>'Données projet'!D63</f>
        <v>17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30</v>
      </c>
      <c r="B56" s="193">
        <f>'Données projet'!D64</f>
        <v>34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35</v>
      </c>
      <c r="B57" s="193">
        <f>'Données projet'!D65</f>
        <v>41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40</v>
      </c>
      <c r="B58" s="193">
        <f>'Données projet'!D66</f>
        <v>41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45</v>
      </c>
      <c r="B59" s="193">
        <f>'Données projet'!D67</f>
        <v>53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50</v>
      </c>
      <c r="B60" s="193">
        <f>'Données projet'!D68</f>
        <v>53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58</v>
      </c>
      <c r="B61" s="193">
        <f>'Données projet'!D69</f>
        <v>78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66</v>
      </c>
      <c r="B62" s="193">
        <f>'Données projet'!D70</f>
        <v>65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74</v>
      </c>
      <c r="B63" s="193">
        <f>'Données projet'!D71</f>
        <v>37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82</v>
      </c>
      <c r="B64" s="193">
        <f>'Données projet'!D72</f>
        <v>567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Mélèze hybride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str">
        <f>IF(O75+1&lt;=MIN('Données projet'!$E$9:$E$18),O75+1,"STOP")</f>
        <v>STOP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12</v>
      </c>
      <c r="B85" s="193">
        <f>'Données projet'!D88</f>
        <v>21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15</v>
      </c>
      <c r="B86" s="193">
        <f>'Données projet'!D89</f>
        <v>47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18</v>
      </c>
      <c r="B87" s="193">
        <f>'Données projet'!D90</f>
        <v>61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24</v>
      </c>
      <c r="B88" s="193">
        <f>'Données projet'!D91</f>
        <v>84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30</v>
      </c>
      <c r="B89" s="193">
        <f>'Données projet'!D92</f>
        <v>76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36</v>
      </c>
      <c r="B90" s="193">
        <f>'Données projet'!D93</f>
        <v>75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42</v>
      </c>
      <c r="B91" s="193">
        <f>'Données projet'!D94</f>
        <v>278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2021-11-16T14:52:20Z</dcterms:modified>
</cp:coreProperties>
</file>