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Contrats NIF/Contrats NIF - Propriétaires/2BROS-121 - Groupe Florentaise JP. Chupin - La Brosse/Administration/LBC/Avril 22/"/>
    </mc:Choice>
  </mc:AlternateContent>
  <xr:revisionPtr revIDLastSave="127" documentId="8_{25BB0AE6-8A6F-4950-B10F-2414F1230DE1}" xr6:coauthVersionLast="47" xr6:coauthVersionMax="47" xr10:uidLastSave="{4D417FD3-A9EF-417F-A82F-20ED7AFDDD7D}"/>
  <bookViews>
    <workbookView xWindow="-120" yWindow="-16320" windowWidth="29040" windowHeight="15840" tabRatio="74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6" l="1"/>
  <c r="E80" i="6"/>
  <c r="E49" i="6"/>
  <c r="E18" i="6"/>
  <c r="H79" i="6" l="1"/>
  <c r="H80" i="6" s="1"/>
  <c r="H57" i="6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0" i="6" s="1"/>
  <c r="H71" i="6" s="1"/>
  <c r="H72" i="6" s="1"/>
  <c r="H73" i="6" s="1"/>
  <c r="H74" i="6" s="1"/>
  <c r="H75" i="6" s="1"/>
  <c r="H76" i="6" s="1"/>
  <c r="H77" i="6" s="1"/>
  <c r="H78" i="6" s="1"/>
  <c r="H22" i="6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ER4" i="2"/>
  <c r="EX4" i="2" s="1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BR4" i="2"/>
  <c r="BQ4" i="2"/>
  <c r="EA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A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FS7" i="2"/>
  <c r="EB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C8" i="2" l="1"/>
  <c r="HG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I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FS11" i="2"/>
  <c r="EW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EC13" i="2"/>
  <c r="HG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X16" i="2" l="1"/>
  <c r="HI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C17" i="2" l="1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HI18" i="2"/>
  <c r="EV18" i="2"/>
  <c r="EW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EV21" i="2"/>
  <c r="HH21" i="2"/>
  <c r="EW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I22" i="2"/>
  <c r="EW22" i="2"/>
  <c r="HG22" i="2"/>
  <c r="EB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I24" i="2" l="1"/>
  <c r="EC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X28" i="2"/>
  <c r="EV28" i="2"/>
  <c r="EC28" i="2"/>
  <c r="EB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EC29" i="2" s="1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X30" i="2" l="1"/>
  <c r="HI30" i="2"/>
  <c r="EV30" i="2"/>
  <c r="EB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I35" i="2"/>
  <c r="FQ35" i="2"/>
  <c r="HH35" i="2"/>
  <c r="EA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Q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G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S39" i="2" l="1"/>
  <c r="HI39" i="2"/>
  <c r="EX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FS43" i="2"/>
  <c r="HG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W46" i="2"/>
  <c r="HG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C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X48" i="2"/>
  <c r="HH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B52" i="2"/>
  <c r="EX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A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HG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FS57" i="2"/>
  <c r="EV57" i="2"/>
  <c r="HH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HI59" i="2"/>
  <c r="EC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FS61" i="2"/>
  <c r="EW61" i="2"/>
  <c r="EX61" i="2"/>
  <c r="EA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HG63" i="2"/>
  <c r="EC63" i="2"/>
  <c r="EB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EV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X69" i="2" l="1"/>
  <c r="EC69" i="2"/>
  <c r="FS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FS70" i="2" l="1"/>
  <c r="EB70" i="2"/>
  <c r="HI70" i="2"/>
  <c r="EW70" i="2"/>
  <c r="HG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FS71" i="2"/>
  <c r="HI71" i="2"/>
  <c r="EA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FS74" i="2"/>
  <c r="FR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EA75" i="2"/>
  <c r="HH75" i="2"/>
  <c r="FS75" i="2"/>
  <c r="HI75" i="2"/>
  <c r="HG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HH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HG79" i="2"/>
  <c r="EB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FS80" i="2" l="1"/>
  <c r="HH80" i="2"/>
  <c r="EC80" i="2"/>
  <c r="HG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V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I84" i="2"/>
  <c r="HG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HI86" i="2" l="1"/>
  <c r="EC86" i="2"/>
  <c r="EX86" i="2"/>
  <c r="FS86" i="2"/>
  <c r="EA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FS87" i="2" l="1"/>
  <c r="HI87" i="2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HG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I95" i="2"/>
  <c r="HG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X102" i="2" l="1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FS103" i="2" l="1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C104" i="2"/>
  <c r="HI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B105" i="2"/>
  <c r="EX105" i="2"/>
  <c r="HH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X108" i="2"/>
  <c r="EB108" i="2"/>
  <c r="EA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C109" i="2" l="1"/>
  <c r="EB109" i="2"/>
  <c r="EX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C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C115" i="2" l="1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X116" i="2" l="1"/>
  <c r="EA116" i="2"/>
  <c r="HI116" i="2"/>
  <c r="EV116" i="2"/>
  <c r="HG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C117" i="2" l="1"/>
  <c r="EX117" i="2"/>
  <c r="EA117" i="2"/>
  <c r="HG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HI118" i="2"/>
  <c r="EX118" i="2"/>
  <c r="FS118" i="2"/>
  <c r="FQ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H120" i="2"/>
  <c r="FQ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C123" i="2" l="1"/>
  <c r="HH123" i="2"/>
  <c r="FS123" i="2"/>
  <c r="HI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A125" i="2" l="1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X126" i="2" l="1"/>
  <c r="HI126" i="2"/>
  <c r="EA126" i="2"/>
  <c r="HG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EC129" i="2" s="1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C131" i="2" l="1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HG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W133" i="2"/>
  <c r="HH133" i="2"/>
  <c r="EV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FS135" i="2" l="1"/>
  <c r="HI135" i="2"/>
  <c r="EA135" i="2"/>
  <c r="EW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EX136" i="2" l="1"/>
  <c r="EC136" i="2"/>
  <c r="HI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I140" i="2"/>
  <c r="HG140" i="2"/>
  <c r="EX140" i="2"/>
  <c r="EB140" i="2"/>
  <c r="FR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A141" i="2"/>
  <c r="HH141" i="2"/>
  <c r="FS141" i="2"/>
  <c r="EB141" i="2"/>
  <c r="HG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G142" i="2"/>
  <c r="EW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FS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HG144" i="2"/>
  <c r="EA144" i="2"/>
  <c r="FR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X145" i="2"/>
  <c r="FR145" i="2"/>
  <c r="EA145" i="2"/>
  <c r="HI145" i="2"/>
  <c r="HG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HH146" i="2"/>
  <c r="FR146" i="2"/>
  <c r="HG146" i="2"/>
  <c r="EA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HG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C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C155" i="2" s="1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A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HH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FS162" i="2"/>
  <c r="EB162" i="2"/>
  <c r="HH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FS163" i="2"/>
  <c r="EC163" i="2"/>
  <c r="HI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EA164" i="2"/>
  <c r="HI164" i="2"/>
  <c r="EX164" i="2"/>
  <c r="EV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X166" i="2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B168" i="2"/>
  <c r="EW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C171" i="2" l="1"/>
  <c r="FS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HI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I178" i="2"/>
  <c r="FS178" i="2"/>
  <c r="EX178" i="2"/>
  <c r="FQ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FS179" i="2"/>
  <c r="EX179" i="2"/>
  <c r="HI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HG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I181" i="2" l="1"/>
  <c r="HG181" i="2"/>
  <c r="EV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X184" i="2" l="1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G185" i="2" l="1"/>
  <c r="EA185" i="2"/>
  <c r="EV185" i="2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X191" i="2" s="1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HG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W192" i="2"/>
  <c r="HG192" i="2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HH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C200" i="2" l="1"/>
  <c r="EW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HI201" i="2"/>
  <c r="EA201" i="2"/>
  <c r="EB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X203" i="2" l="1"/>
  <c r="BP203" i="2"/>
  <c r="HI203" i="2"/>
  <c r="EC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<sst xmlns="http://schemas.openxmlformats.org/spreadsheetml/2006/main" count="1168" uniqueCount="321">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</sst>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168" fontId="1" fillId="0" borderId="51" xfId="0" applyNumberFormat="1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2" xfId="3" xr:uid="{EC11EF46-5E81-4018-BFDC-484047ECF1C0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6.00148160343565</c:v>
                </c:pt>
                <c:pt idx="2">
                  <c:v>11.729857801718786</c:v>
                </c:pt>
                <c:pt idx="3">
                  <c:v>17.370034663171413</c:v>
                </c:pt>
                <c:pt idx="4">
                  <c:v>22.955843401229529</c:v>
                </c:pt>
                <c:pt idx="5">
                  <c:v>28.502617430882832</c:v>
                </c:pt>
                <c:pt idx="6">
                  <c:v>34.019103572229398</c:v>
                </c:pt>
                <c:pt idx="7">
                  <c:v>39.510940561985755</c:v>
                </c:pt>
                <c:pt idx="8">
                  <c:v>44.982056002892115</c:v>
                </c:pt>
                <c:pt idx="9">
                  <c:v>50.435336732925691</c:v>
                </c:pt>
                <c:pt idx="10">
                  <c:v>55.872990435685118</c:v>
                </c:pt>
                <c:pt idx="11">
                  <c:v>61.296757707499445</c:v>
                </c:pt>
                <c:pt idx="12">
                  <c:v>66.708044520841597</c:v>
                </c:pt>
                <c:pt idx="13">
                  <c:v>72.108009157025222</c:v>
                </c:pt>
                <c:pt idx="14">
                  <c:v>77.497621577495494</c:v>
                </c:pt>
                <c:pt idx="15">
                  <c:v>82.877705325978226</c:v>
                </c:pt>
                <c:pt idx="16">
                  <c:v>88.248967928146428</c:v>
                </c:pt>
                <c:pt idx="17">
                  <c:v>93.61202347027897</c:v>
                </c:pt>
                <c:pt idx="18">
                  <c:v>98.96740971201227</c:v>
                </c:pt>
                <c:pt idx="19">
                  <c:v>104.31560128723459</c:v>
                </c:pt>
                <c:pt idx="20">
                  <c:v>109.65702004656204</c:v>
                </c:pt>
                <c:pt idx="21">
                  <c:v>114.99204327253635</c:v>
                </c:pt>
                <c:pt idx="22">
                  <c:v>120.32101028568674</c:v>
                </c:pt>
                <c:pt idx="23">
                  <c:v>125.64422781553765</c:v>
                </c:pt>
                <c:pt idx="24">
                  <c:v>130.9619744111707</c:v>
                </c:pt>
                <c:pt idx="25">
                  <c:v>136.27450409597938</c:v>
                </c:pt>
                <c:pt idx="26">
                  <c:v>141.58204942120318</c:v>
                </c:pt>
                <c:pt idx="27">
                  <c:v>146.88482403647276</c:v>
                </c:pt>
                <c:pt idx="28">
                  <c:v>152.18302486882931</c:v>
                </c:pt>
                <c:pt idx="29">
                  <c:v>157.47683398170673</c:v>
                </c:pt>
                <c:pt idx="30">
                  <c:v>162.76642017029977</c:v>
                </c:pt>
                <c:pt idx="31">
                  <c:v>168.05194033823986</c:v>
                </c:pt>
                <c:pt idx="32">
                  <c:v>173.33354069164636</c:v>
                </c:pt>
                <c:pt idx="33">
                  <c:v>178.6113577797278</c:v>
                </c:pt>
                <c:pt idx="34">
                  <c:v>183.88551940570605</c:v>
                </c:pt>
                <c:pt idx="35">
                  <c:v>189.1561454275616</c:v>
                </c:pt>
                <c:pt idx="36">
                  <c:v>194.42334846469248</c:v>
                </c:pt>
                <c:pt idx="37">
                  <c:v>199.68723452384862</c:v>
                </c:pt>
                <c:pt idx="38">
                  <c:v>204.94790355549432</c:v>
                </c:pt>
                <c:pt idx="39">
                  <c:v>210.20544994995885</c:v>
                </c:pt>
                <c:pt idx="40">
                  <c:v>215.45996298126826</c:v>
                </c:pt>
                <c:pt idx="41">
                  <c:v>220.71152720534405</c:v>
                </c:pt>
                <c:pt idx="42">
                  <c:v>225.96022281826015</c:v>
                </c:pt>
                <c:pt idx="43">
                  <c:v>179.35836102345846</c:v>
                </c:pt>
                <c:pt idx="44">
                  <c:v>191.44056779171277</c:v>
                </c:pt>
                <c:pt idx="45">
                  <c:v>203.5050258813136</c:v>
                </c:pt>
                <c:pt idx="46">
                  <c:v>215.55293641173822</c:v>
                </c:pt>
                <c:pt idx="47">
                  <c:v>227.5853551413918</c:v>
                </c:pt>
                <c:pt idx="48">
                  <c:v>239.60321698163887</c:v>
                </c:pt>
                <c:pt idx="49">
                  <c:v>196.17057600271923</c:v>
                </c:pt>
                <c:pt idx="50">
                  <c:v>207.41421566911529</c:v>
                </c:pt>
                <c:pt idx="51">
                  <c:v>218.64378008490459</c:v>
                </c:pt>
                <c:pt idx="52">
                  <c:v>229.86009453547467</c:v>
                </c:pt>
                <c:pt idx="53">
                  <c:v>241.06389711567908</c:v>
                </c:pt>
                <c:pt idx="54">
                  <c:v>252.25585165357404</c:v>
                </c:pt>
                <c:pt idx="55">
                  <c:v>263.43655821796295</c:v>
                </c:pt>
                <c:pt idx="56">
                  <c:v>274.60656174697812</c:v>
                </c:pt>
                <c:pt idx="57">
                  <c:v>217.42383107628061</c:v>
                </c:pt>
                <c:pt idx="58">
                  <c:v>230.34747151073736</c:v>
                </c:pt>
                <c:pt idx="59">
                  <c:v>243.2545399668592</c:v>
                </c:pt>
                <c:pt idx="60">
                  <c:v>256.14603997721747</c:v>
                </c:pt>
                <c:pt idx="61">
                  <c:v>269.02286575262457</c:v>
                </c:pt>
                <c:pt idx="62">
                  <c:v>281.88581886622069</c:v>
                </c:pt>
                <c:pt idx="63">
                  <c:v>294.73562173020292</c:v>
                </c:pt>
                <c:pt idx="64">
                  <c:v>307.57292859760338</c:v>
                </c:pt>
                <c:pt idx="65">
                  <c:v>239.11627858664042</c:v>
                </c:pt>
                <c:pt idx="66">
                  <c:v>250.3102488763225</c:v>
                </c:pt>
                <c:pt idx="67">
                  <c:v>261.49287101457111</c:v>
                </c:pt>
                <c:pt idx="68">
                  <c:v>272.6646989766358</c:v>
                </c:pt>
                <c:pt idx="69">
                  <c:v>283.82623760553963</c:v>
                </c:pt>
                <c:pt idx="70">
                  <c:v>294.97794877206235</c:v>
                </c:pt>
                <c:pt idx="71">
                  <c:v>306.12025655381473</c:v>
                </c:pt>
                <c:pt idx="72">
                  <c:v>317.25355162035777</c:v>
                </c:pt>
                <c:pt idx="73">
                  <c:v>264.89411110617533</c:v>
                </c:pt>
                <c:pt idx="74">
                  <c:v>274.60656174697812</c:v>
                </c:pt>
                <c:pt idx="75">
                  <c:v>284.31129577048597</c:v>
                </c:pt>
                <c:pt idx="76">
                  <c:v>294.00861390700948</c:v>
                </c:pt>
                <c:pt idx="77">
                  <c:v>303.69879541443919</c:v>
                </c:pt>
                <c:pt idx="78">
                  <c:v>313.38210026249629</c:v>
                </c:pt>
                <c:pt idx="79">
                  <c:v>323.0587710327315</c:v>
                </c:pt>
                <c:pt idx="80">
                  <c:v>332.72903457884451</c:v>
                </c:pt>
                <c:pt idx="81">
                  <c:v>342.393103483792</c:v>
                </c:pt>
                <c:pt idx="82">
                  <c:v>289.69959193116131</c:v>
                </c:pt>
                <c:pt idx="83">
                  <c:v>298.9622481936658</c:v>
                </c:pt>
                <c:pt idx="84">
                  <c:v>308.2185116283606</c:v>
                </c:pt>
                <c:pt idx="85">
                  <c:v>317.46860143287216</c:v>
                </c:pt>
                <c:pt idx="86">
                  <c:v>326.71272297937395</c:v>
                </c:pt>
                <c:pt idx="87">
                  <c:v>335.95106906163033</c:v>
                </c:pt>
                <c:pt idx="88">
                  <c:v>345.18382099762539</c:v>
                </c:pt>
                <c:pt idx="89">
                  <c:v>354.41114960799837</c:v>
                </c:pt>
                <c:pt idx="90">
                  <c:v>363.63321608721009</c:v>
                </c:pt>
                <c:pt idx="91">
                  <c:v>314.8340180865103</c:v>
                </c:pt>
                <c:pt idx="92">
                  <c:v>324.02608209744534</c:v>
                </c:pt>
                <c:pt idx="93">
                  <c:v>333.21238343704948</c:v>
                </c:pt>
                <c:pt idx="94">
                  <c:v>342.39310348379195</c:v>
                </c:pt>
                <c:pt idx="95">
                  <c:v>351.56841308920212</c:v>
                </c:pt>
                <c:pt idx="96">
                  <c:v>360.73847345360633</c:v>
                </c:pt>
                <c:pt idx="97">
                  <c:v>369.90343690812443</c:v>
                </c:pt>
                <c:pt idx="98">
                  <c:v>379.06344761508899</c:v>
                </c:pt>
                <c:pt idx="99">
                  <c:v>388.21864219719714</c:v>
                </c:pt>
                <c:pt idx="100">
                  <c:v>397.36915030419738</c:v>
                </c:pt>
                <c:pt idx="101">
                  <c:v>406.51509512463485</c:v>
                </c:pt>
                <c:pt idx="102">
                  <c:v>415.65659384912652</c:v>
                </c:pt>
                <c:pt idx="103">
                  <c:v>345.45213302786465</c:v>
                </c:pt>
                <c:pt idx="104">
                  <c:v>354.30388563085972</c:v>
                </c:pt>
                <c:pt idx="105">
                  <c:v>363.15079407733782</c:v>
                </c:pt>
                <c:pt idx="106">
                  <c:v>371.9929930937563</c:v>
                </c:pt>
                <c:pt idx="107">
                  <c:v>380.83061047520192</c:v>
                </c:pt>
                <c:pt idx="108">
                  <c:v>389.66376759807395</c:v>
                </c:pt>
                <c:pt idx="109">
                  <c:v>398.49257988383374</c:v>
                </c:pt>
                <c:pt idx="110">
                  <c:v>407.31715721949689</c:v>
                </c:pt>
                <c:pt idx="111">
                  <c:v>416.13760433977217</c:v>
                </c:pt>
                <c:pt idx="112">
                  <c:v>424.95402117510042</c:v>
                </c:pt>
                <c:pt idx="113">
                  <c:v>433.76650316929613</c:v>
                </c:pt>
                <c:pt idx="114">
                  <c:v>442.57514157002379</c:v>
                </c:pt>
                <c:pt idx="115">
                  <c:v>380.34867469944061</c:v>
                </c:pt>
                <c:pt idx="116">
                  <c:v>389.34263869060379</c:v>
                </c:pt>
                <c:pt idx="117">
                  <c:v>398.33209414857441</c:v>
                </c:pt>
                <c:pt idx="118">
                  <c:v>407.31715721949689</c:v>
                </c:pt>
                <c:pt idx="119">
                  <c:v>416.29793850480024</c:v>
                </c:pt>
                <c:pt idx="120">
                  <c:v>425.27454344239959</c:v>
                </c:pt>
                <c:pt idx="121">
                  <c:v>434.24707265402532</c:v>
                </c:pt>
                <c:pt idx="122">
                  <c:v>443.21562226234187</c:v>
                </c:pt>
                <c:pt idx="123">
                  <c:v>452.18028418105382</c:v>
                </c:pt>
                <c:pt idx="124">
                  <c:v>461.141146380804</c:v>
                </c:pt>
                <c:pt idx="125">
                  <c:v>470.09829313332119</c:v>
                </c:pt>
                <c:pt idx="126">
                  <c:v>479.05180523598892</c:v>
                </c:pt>
                <c:pt idx="127">
                  <c:v>413.25136099204695</c:v>
                </c:pt>
                <c:pt idx="128">
                  <c:v>422.3896553638852</c:v>
                </c:pt>
                <c:pt idx="129">
                  <c:v>431.52369414956564</c:v>
                </c:pt>
                <c:pt idx="130">
                  <c:v>440.65358016358778</c:v>
                </c:pt>
                <c:pt idx="131">
                  <c:v>449.77941161089052</c:v>
                </c:pt>
                <c:pt idx="132">
                  <c:v>458.90128238487108</c:v>
                </c:pt>
                <c:pt idx="133">
                  <c:v>468.01928234047074</c:v>
                </c:pt>
                <c:pt idx="134">
                  <c:v>477.13349754486762</c:v>
                </c:pt>
                <c:pt idx="135">
                  <c:v>486.24401050801202</c:v>
                </c:pt>
                <c:pt idx="136">
                  <c:v>495.35090039498436</c:v>
                </c:pt>
                <c:pt idx="137">
                  <c:v>504.45424322192093</c:v>
                </c:pt>
                <c:pt idx="138">
                  <c:v>513.5541120370591</c:v>
                </c:pt>
                <c:pt idx="139">
                  <c:v>448.08262970670506</c:v>
                </c:pt>
                <c:pt idx="140">
                  <c:v>457.42924470500958</c:v>
                </c:pt>
                <c:pt idx="141">
                  <c:v>466.77178143935356</c:v>
                </c:pt>
                <c:pt idx="142">
                  <c:v>476.11033306856484</c:v>
                </c:pt>
                <c:pt idx="143">
                  <c:v>485.44498879797311</c:v>
                </c:pt>
                <c:pt idx="144">
                  <c:v>494.77583412162284</c:v>
                </c:pt>
                <c:pt idx="145">
                  <c:v>504.10295104526307</c:v>
                </c:pt>
                <c:pt idx="146">
                  <c:v>513.42641829197328</c:v>
                </c:pt>
                <c:pt idx="147">
                  <c:v>522.74631149207426</c:v>
                </c:pt>
                <c:pt idx="148">
                  <c:v>532.06270335879185</c:v>
                </c:pt>
                <c:pt idx="149">
                  <c:v>541.37566385097591</c:v>
                </c:pt>
                <c:pt idx="150">
                  <c:v>550.6852603240402</c:v>
                </c:pt>
                <c:pt idx="151">
                  <c:v>559.99155767016623</c:v>
                </c:pt>
                <c:pt idx="152">
                  <c:v>569.29461844870013</c:v>
                </c:pt>
                <c:pt idx="153">
                  <c:v>578.59450300758806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92.141527621369264</c:v>
                </c:pt>
                <c:pt idx="22">
                  <c:v>98.835125282146407</c:v>
                </c:pt>
                <c:pt idx="23">
                  <c:v>105.51746700786147</c:v>
                </c:pt>
                <c:pt idx="24">
                  <c:v>112.18936769914613</c:v>
                </c:pt>
                <c:pt idx="25">
                  <c:v>118.85153716442493</c:v>
                </c:pt>
                <c:pt idx="26">
                  <c:v>125.50459894026331</c:v>
                </c:pt>
                <c:pt idx="27">
                  <c:v>132.14910489975804</c:v>
                </c:pt>
                <c:pt idx="28">
                  <c:v>138.78554676063962</c:v>
                </c:pt>
                <c:pt idx="29">
                  <c:v>145.41436527108689</c:v>
                </c:pt>
                <c:pt idx="30">
                  <c:v>152.03595762869563</c:v>
                </c:pt>
                <c:pt idx="31">
                  <c:v>129.49229651280905</c:v>
                </c:pt>
                <c:pt idx="32">
                  <c:v>136.64231946228742</c:v>
                </c:pt>
                <c:pt idx="33">
                  <c:v>143.78334118192845</c:v>
                </c:pt>
                <c:pt idx="34">
                  <c:v>150.91587256603668</c:v>
                </c:pt>
                <c:pt idx="35">
                  <c:v>158.04037217767925</c:v>
                </c:pt>
                <c:pt idx="36">
                  <c:v>165.15725377990339</c:v>
                </c:pt>
                <c:pt idx="37">
                  <c:v>172.26689249809047</c:v>
                </c:pt>
                <c:pt idx="38">
                  <c:v>179.36962990969707</c:v>
                </c:pt>
                <c:pt idx="39">
                  <c:v>186.46577828407854</c:v>
                </c:pt>
                <c:pt idx="40">
                  <c:v>193.55562414196137</c:v>
                </c:pt>
                <c:pt idx="41">
                  <c:v>163.34823342573378</c:v>
                </c:pt>
                <c:pt idx="42">
                  <c:v>170.96736952034459</c:v>
                </c:pt>
                <c:pt idx="43">
                  <c:v>178.57851371672646</c:v>
                </c:pt>
                <c:pt idx="44">
                  <c:v>186.18205518665516</c:v>
                </c:pt>
                <c:pt idx="45">
                  <c:v>193.77834866786893</c:v>
                </c:pt>
                <c:pt idx="46">
                  <c:v>201.36771877144167</c:v>
                </c:pt>
                <c:pt idx="47">
                  <c:v>208.95046360475382</c:v>
                </c:pt>
                <c:pt idx="48">
                  <c:v>216.52685784022904</c:v>
                </c:pt>
                <c:pt idx="49">
                  <c:v>224.09715533146343</c:v>
                </c:pt>
                <c:pt idx="50">
                  <c:v>231.66159135686442</c:v>
                </c:pt>
                <c:pt idx="51">
                  <c:v>239.22038455452602</c:v>
                </c:pt>
                <c:pt idx="52">
                  <c:v>246.77373859945556</c:v>
                </c:pt>
                <c:pt idx="53">
                  <c:v>254.32184366446259</c:v>
                </c:pt>
                <c:pt idx="54">
                  <c:v>261.86487769834724</c:v>
                </c:pt>
                <c:pt idx="55">
                  <c:v>269.40300754895145</c:v>
                </c:pt>
                <c:pt idx="56">
                  <c:v>276.93638995381065</c:v>
                </c:pt>
                <c:pt idx="57">
                  <c:v>284.46517241726917</c:v>
                </c:pt>
                <c:pt idx="58">
                  <c:v>291.98949398979374</c:v>
                </c:pt>
                <c:pt idx="59">
                  <c:v>299.50948596268842</c:v>
                </c:pt>
                <c:pt idx="60">
                  <c:v>307.02527248932705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1.880011849621203</c:v>
                </c:pt>
                <c:pt idx="2">
                  <c:v>2.4318758558708642</c:v>
                </c:pt>
                <c:pt idx="3">
                  <c:v>3.1463947920565309</c:v>
                </c:pt>
                <c:pt idx="4">
                  <c:v>4.071692537919767</c:v>
                </c:pt>
                <c:pt idx="5">
                  <c:v>5.2701819552087397</c:v>
                </c:pt>
                <c:pt idx="6">
                  <c:v>6.8228216107486013</c:v>
                </c:pt>
                <c:pt idx="7">
                  <c:v>8.8346444458413984</c:v>
                </c:pt>
                <c:pt idx="8">
                  <c:v>11.441939518387292</c:v>
                </c:pt>
                <c:pt idx="9">
                  <c:v>14.821582434007459</c:v>
                </c:pt>
                <c:pt idx="10">
                  <c:v>19.203159043739188</c:v>
                </c:pt>
                <c:pt idx="11">
                  <c:v>24.884720818868868</c:v>
                </c:pt>
                <c:pt idx="12">
                  <c:v>32.253262562139881</c:v>
                </c:pt>
                <c:pt idx="13">
                  <c:v>41.811341418354537</c:v>
                </c:pt>
                <c:pt idx="14">
                  <c:v>54.211683481577545</c:v>
                </c:pt>
                <c:pt idx="15">
                  <c:v>70.302180588518155</c:v>
                </c:pt>
                <c:pt idx="16">
                  <c:v>91.184404125554963</c:v>
                </c:pt>
                <c:pt idx="17">
                  <c:v>118.28970565373884</c:v>
                </c:pt>
                <c:pt idx="18">
                  <c:v>153.47820205187429</c:v>
                </c:pt>
                <c:pt idx="19">
                  <c:v>176.02123066612634</c:v>
                </c:pt>
                <c:pt idx="20">
                  <c:v>198.49643889977418</c:v>
                </c:pt>
                <c:pt idx="21">
                  <c:v>220.91259000068581</c:v>
                </c:pt>
                <c:pt idx="22">
                  <c:v>243.27652005298066</c:v>
                </c:pt>
                <c:pt idx="23">
                  <c:v>265.59370408108947</c:v>
                </c:pt>
                <c:pt idx="24">
                  <c:v>287.86862118883516</c:v>
                </c:pt>
                <c:pt idx="25">
                  <c:v>310.10500044645323</c:v>
                </c:pt>
                <c:pt idx="26">
                  <c:v>263.02087901561282</c:v>
                </c:pt>
                <c:pt idx="27">
                  <c:v>286.67021485790582</c:v>
                </c:pt>
                <c:pt idx="28">
                  <c:v>310.27590864650665</c:v>
                </c:pt>
                <c:pt idx="29">
                  <c:v>333.84174556627704</c:v>
                </c:pt>
                <c:pt idx="30">
                  <c:v>357.3709328289205</c:v>
                </c:pt>
                <c:pt idx="31">
                  <c:v>380.86622096643333</c:v>
                </c:pt>
                <c:pt idx="32">
                  <c:v>404.32999360363425</c:v>
                </c:pt>
                <c:pt idx="33">
                  <c:v>333.67111403204058</c:v>
                </c:pt>
                <c:pt idx="34">
                  <c:v>357.20055648716993</c:v>
                </c:pt>
                <c:pt idx="35">
                  <c:v>380.69608129889815</c:v>
                </c:pt>
                <c:pt idx="36">
                  <c:v>404.16007448469963</c:v>
                </c:pt>
                <c:pt idx="37">
                  <c:v>427.59462255942759</c:v>
                </c:pt>
                <c:pt idx="38">
                  <c:v>451.00156481987364</c:v>
                </c:pt>
                <c:pt idx="39">
                  <c:v>474.38253420761703</c:v>
                </c:pt>
                <c:pt idx="40">
                  <c:v>401.95098506454991</c:v>
                </c:pt>
                <c:pt idx="41">
                  <c:v>424.53954501187906</c:v>
                </c:pt>
                <c:pt idx="42">
                  <c:v>447.10225323882645</c:v>
                </c:pt>
                <c:pt idx="43">
                  <c:v>469.6405967298063</c:v>
                </c:pt>
                <c:pt idx="44">
                  <c:v>492.15590821168735</c:v>
                </c:pt>
                <c:pt idx="45">
                  <c:v>514.64938862406336</c:v>
                </c:pt>
                <c:pt idx="46">
                  <c:v>537.12212545780721</c:v>
                </c:pt>
                <c:pt idx="47">
                  <c:v>456.25601907533411</c:v>
                </c:pt>
                <c:pt idx="48">
                  <c:v>477.26107481583023</c:v>
                </c:pt>
                <c:pt idx="49">
                  <c:v>498.24647653872233</c:v>
                </c:pt>
                <c:pt idx="50">
                  <c:v>519.21316784377666</c:v>
                </c:pt>
                <c:pt idx="51">
                  <c:v>540.16200996781845</c:v>
                </c:pt>
                <c:pt idx="52">
                  <c:v>561.09379195392091</c:v>
                </c:pt>
                <c:pt idx="53">
                  <c:v>582.00923922497191</c:v>
                </c:pt>
                <c:pt idx="54">
                  <c:v>506.87208815769242</c:v>
                </c:pt>
                <c:pt idx="55">
                  <c:v>526.31070153853614</c:v>
                </c:pt>
                <c:pt idx="56">
                  <c:v>545.73419984050929</c:v>
                </c:pt>
                <c:pt idx="57">
                  <c:v>565.14319633657283</c:v>
                </c:pt>
                <c:pt idx="58">
                  <c:v>584.53825877411919</c:v>
                </c:pt>
                <c:pt idx="59">
                  <c:v>603.91991418357395</c:v>
                </c:pt>
                <c:pt idx="60">
                  <c:v>623.28865303799398</c:v>
                </c:pt>
                <c:pt idx="61">
                  <c:v>525.80380205834797</c:v>
                </c:pt>
                <c:pt idx="62">
                  <c:v>542.86382775995662</c:v>
                </c:pt>
                <c:pt idx="63">
                  <c:v>559.91260066689733</c:v>
                </c:pt>
                <c:pt idx="64">
                  <c:v>576.95051144926219</c:v>
                </c:pt>
                <c:pt idx="65">
                  <c:v>593.97792583693843</c:v>
                </c:pt>
                <c:pt idx="66">
                  <c:v>610.9951868957412</c:v>
                </c:pt>
                <c:pt idx="67">
                  <c:v>628.00261703693161</c:v>
                </c:pt>
                <c:pt idx="68">
                  <c:v>6.4094616558195571E-12</c:v>
                </c:pt>
                <c:pt idx="69">
                  <c:v>6.4094616558195571E-12</c:v>
                </c:pt>
                <c:pt idx="70">
                  <c:v>6.4094616558195571E-12</c:v>
                </c:pt>
                <c:pt idx="71">
                  <c:v>6.4094616558195571E-12</c:v>
                </c:pt>
                <c:pt idx="72">
                  <c:v>6.4094616558195571E-12</c:v>
                </c:pt>
                <c:pt idx="73">
                  <c:v>6.4094616558195571E-12</c:v>
                </c:pt>
                <c:pt idx="74">
                  <c:v>6.4094616558195571E-12</c:v>
                </c:pt>
                <c:pt idx="75">
                  <c:v>6.4094616558195571E-12</c:v>
                </c:pt>
                <c:pt idx="76">
                  <c:v>6.4094616558195571E-12</c:v>
                </c:pt>
                <c:pt idx="77">
                  <c:v>6.4094616558195571E-12</c:v>
                </c:pt>
                <c:pt idx="78">
                  <c:v>6.4094616558195571E-12</c:v>
                </c:pt>
                <c:pt idx="79">
                  <c:v>6.4094616558195571E-12</c:v>
                </c:pt>
                <c:pt idx="80">
                  <c:v>6.4094616558195571E-12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704.65375190251507</c:v>
                </c:pt>
                <c:pt idx="84">
                  <c:v>713.33030961393968</c:v>
                </c:pt>
                <c:pt idx="85">
                  <c:v>722.00471168438105</c:v>
                </c:pt>
                <c:pt idx="86">
                  <c:v>730.67698765669229</c:v>
                </c:pt>
                <c:pt idx="87">
                  <c:v>739.34716631546792</c:v>
                </c:pt>
                <c:pt idx="88">
                  <c:v>748.0152757153586</c:v>
                </c:pt>
                <c:pt idx="89">
                  <c:v>756.68134320800482</c:v>
                </c:pt>
                <c:pt idx="90">
                  <c:v>765.34539546767564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89" t="s">
        <v>292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293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1" zoomScale="90" zoomScaleNormal="90" workbookViewId="0">
      <selection activeCell="F15" sqref="F15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0" t="s">
        <v>190</v>
      </c>
      <c r="D1" s="290"/>
      <c r="E1" s="29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5" t="s">
        <v>192</v>
      </c>
      <c r="C3" s="296"/>
      <c r="D3" s="296"/>
      <c r="E3" s="296"/>
      <c r="F3" s="297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1" t="s">
        <v>231</v>
      </c>
      <c r="B5" s="301"/>
      <c r="C5" s="26">
        <v>10.49</v>
      </c>
      <c r="D5" s="302" t="s">
        <v>229</v>
      </c>
      <c r="E5" s="303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99" t="s">
        <v>226</v>
      </c>
      <c r="B7" s="299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0.23546234509056246</v>
      </c>
      <c r="D9" s="36">
        <f t="shared" ref="D9:D18" si="0">C9*$C$5</f>
        <v>2.4700000000000002</v>
      </c>
      <c r="E9" s="37">
        <v>153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0.22878932316491896</v>
      </c>
      <c r="D10" s="36">
        <f t="shared" si="0"/>
        <v>2.4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18</v>
      </c>
      <c r="C11" s="35">
        <v>0.17254528122020973</v>
      </c>
      <c r="D11" s="36">
        <f t="shared" si="0"/>
        <v>1.81</v>
      </c>
      <c r="E11" s="37">
        <v>67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35</v>
      </c>
      <c r="C12" s="35">
        <v>0.36320305052430885</v>
      </c>
      <c r="D12" s="36">
        <f t="shared" si="0"/>
        <v>3.81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10.49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8" t="s">
        <v>232</v>
      </c>
      <c r="B22" s="298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0" t="s">
        <v>227</v>
      </c>
      <c r="B30" s="300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42</v>
      </c>
      <c r="B36" s="63">
        <v>113</v>
      </c>
      <c r="C36" s="63">
        <v>1</v>
      </c>
      <c r="D36" s="63">
        <v>30</v>
      </c>
      <c r="E36" s="54">
        <v>0.3</v>
      </c>
      <c r="F36" s="54">
        <v>0</v>
      </c>
      <c r="G36" s="54">
        <v>0</v>
      </c>
      <c r="H36" s="54">
        <v>0.7</v>
      </c>
      <c r="I36" s="52">
        <f>IFERROR(B36/A36,"")</f>
        <v>2.6904761904761907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48</v>
      </c>
      <c r="B37" s="63">
        <v>120</v>
      </c>
      <c r="C37" s="63">
        <v>2</v>
      </c>
      <c r="D37" s="63">
        <v>28</v>
      </c>
      <c r="E37" s="54">
        <v>0.3</v>
      </c>
      <c r="F37" s="54">
        <v>0</v>
      </c>
      <c r="G37" s="54">
        <v>0</v>
      </c>
      <c r="H37" s="54">
        <v>0.7</v>
      </c>
      <c r="I37" s="56">
        <f t="shared" ref="I37:I55" si="1">IF(A37&lt;&gt;0,(B37-(B36-D36))/(A37-A36),"")</f>
        <v>6.166666666666667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56</v>
      </c>
      <c r="B38" s="63">
        <v>138</v>
      </c>
      <c r="C38" s="63">
        <v>3</v>
      </c>
      <c r="D38" s="63">
        <v>36</v>
      </c>
      <c r="E38" s="54">
        <v>0.3</v>
      </c>
      <c r="F38" s="54">
        <v>0</v>
      </c>
      <c r="G38" s="54">
        <v>0</v>
      </c>
      <c r="H38" s="54">
        <v>0.7</v>
      </c>
      <c r="I38" s="56">
        <f t="shared" si="1"/>
        <v>5.75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64</v>
      </c>
      <c r="B39" s="63">
        <v>155</v>
      </c>
      <c r="C39" s="63">
        <v>4</v>
      </c>
      <c r="D39" s="63">
        <v>41</v>
      </c>
      <c r="E39" s="54">
        <v>0.6</v>
      </c>
      <c r="F39" s="54">
        <v>0</v>
      </c>
      <c r="G39" s="54">
        <v>0</v>
      </c>
      <c r="H39" s="54">
        <v>0.40000000000000008</v>
      </c>
      <c r="I39" s="52">
        <f t="shared" si="1"/>
        <v>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72</v>
      </c>
      <c r="B40" s="63">
        <v>160</v>
      </c>
      <c r="C40" s="63">
        <v>5</v>
      </c>
      <c r="D40" s="63">
        <v>32</v>
      </c>
      <c r="E40" s="54">
        <v>0.6</v>
      </c>
      <c r="F40" s="54">
        <v>0</v>
      </c>
      <c r="G40" s="54">
        <v>0</v>
      </c>
      <c r="H40" s="54">
        <v>0.4</v>
      </c>
      <c r="I40" s="52">
        <f t="shared" si="1"/>
        <v>5.75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81</v>
      </c>
      <c r="B41" s="63">
        <v>173</v>
      </c>
      <c r="C41" s="63">
        <v>6</v>
      </c>
      <c r="D41" s="63">
        <v>32</v>
      </c>
      <c r="E41" s="54">
        <v>0.6</v>
      </c>
      <c r="F41" s="54">
        <v>0</v>
      </c>
      <c r="G41" s="54">
        <v>0</v>
      </c>
      <c r="H41" s="54">
        <v>0.4</v>
      </c>
      <c r="I41" s="56">
        <f t="shared" si="1"/>
        <v>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90</v>
      </c>
      <c r="B42" s="63">
        <v>184</v>
      </c>
      <c r="C42" s="63">
        <v>7</v>
      </c>
      <c r="D42" s="63">
        <v>30</v>
      </c>
      <c r="E42" s="54">
        <v>0.6</v>
      </c>
      <c r="F42" s="54">
        <v>0</v>
      </c>
      <c r="G42" s="54">
        <v>0</v>
      </c>
      <c r="H42" s="54">
        <v>0.4</v>
      </c>
      <c r="I42" s="56">
        <f t="shared" si="1"/>
        <v>4.7777777777777777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102</v>
      </c>
      <c r="B43" s="63">
        <v>211</v>
      </c>
      <c r="C43" s="63">
        <v>8</v>
      </c>
      <c r="D43" s="63">
        <v>41</v>
      </c>
      <c r="E43" s="54">
        <v>0.6</v>
      </c>
      <c r="F43" s="54">
        <v>0</v>
      </c>
      <c r="G43" s="54">
        <v>0</v>
      </c>
      <c r="H43" s="54">
        <v>0.40000000000000008</v>
      </c>
      <c r="I43" s="52">
        <f t="shared" si="1"/>
        <v>4.75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114</v>
      </c>
      <c r="B44" s="63">
        <v>225</v>
      </c>
      <c r="C44" s="63">
        <v>9</v>
      </c>
      <c r="D44" s="63">
        <v>37</v>
      </c>
      <c r="E44" s="54">
        <v>0.6</v>
      </c>
      <c r="F44" s="54">
        <v>0</v>
      </c>
      <c r="G44" s="54">
        <v>0</v>
      </c>
      <c r="H44" s="54">
        <v>0.4</v>
      </c>
      <c r="I44" s="52">
        <f t="shared" si="1"/>
        <v>4.583333333333333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126</v>
      </c>
      <c r="B45" s="63">
        <v>244</v>
      </c>
      <c r="C45" s="63">
        <v>10</v>
      </c>
      <c r="D45" s="63">
        <v>39</v>
      </c>
      <c r="E45" s="54">
        <v>0.6</v>
      </c>
      <c r="F45" s="54">
        <v>0</v>
      </c>
      <c r="G45" s="54">
        <v>0</v>
      </c>
      <c r="H45" s="54">
        <v>0.4</v>
      </c>
      <c r="I45" s="52">
        <f t="shared" si="1"/>
        <v>4.666666666666667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138</v>
      </c>
      <c r="B46" s="63">
        <v>262</v>
      </c>
      <c r="C46" s="63">
        <v>11</v>
      </c>
      <c r="D46" s="63">
        <v>39</v>
      </c>
      <c r="E46" s="54">
        <v>0.6</v>
      </c>
      <c r="F46" s="54">
        <v>0</v>
      </c>
      <c r="G46" s="54">
        <v>0</v>
      </c>
      <c r="H46" s="54">
        <v>0.4</v>
      </c>
      <c r="I46" s="52">
        <f t="shared" si="1"/>
        <v>4.75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153</v>
      </c>
      <c r="B47" s="63">
        <v>296</v>
      </c>
      <c r="C47" s="63">
        <v>12</v>
      </c>
      <c r="D47" s="63">
        <v>296</v>
      </c>
      <c r="E47" s="54">
        <v>0.6</v>
      </c>
      <c r="F47" s="54">
        <v>0</v>
      </c>
      <c r="G47" s="54">
        <v>0</v>
      </c>
      <c r="H47" s="54">
        <v>0.4</v>
      </c>
      <c r="I47" s="52">
        <f t="shared" si="1"/>
        <v>4.8666666666666663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115</v>
      </c>
      <c r="C62" s="53">
        <v>1</v>
      </c>
      <c r="D62" s="63">
        <v>34.5</v>
      </c>
      <c r="E62" s="286">
        <v>0.1</v>
      </c>
      <c r="F62" s="286">
        <v>0.8</v>
      </c>
      <c r="G62" s="286">
        <v>0</v>
      </c>
      <c r="H62" s="286">
        <v>0.1</v>
      </c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145.5</v>
      </c>
      <c r="C63" s="53">
        <v>2</v>
      </c>
      <c r="D63" s="63">
        <v>29.1</v>
      </c>
      <c r="E63" s="286">
        <v>0.3</v>
      </c>
      <c r="F63" s="286">
        <v>0.5</v>
      </c>
      <c r="G63" s="286">
        <v>0</v>
      </c>
      <c r="H63" s="286">
        <v>0.2</v>
      </c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40</v>
      </c>
      <c r="B64" s="63">
        <v>186.4</v>
      </c>
      <c r="C64" s="53">
        <v>3</v>
      </c>
      <c r="D64" s="63">
        <v>37.280000000000008</v>
      </c>
      <c r="E64" s="286">
        <v>0.3</v>
      </c>
      <c r="F64" s="286">
        <v>0.5</v>
      </c>
      <c r="G64" s="286">
        <v>0</v>
      </c>
      <c r="H64" s="286">
        <v>0.2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60</v>
      </c>
      <c r="B65" s="63">
        <v>299.12</v>
      </c>
      <c r="C65" s="53">
        <v>4</v>
      </c>
      <c r="D65" s="63">
        <v>299.12</v>
      </c>
      <c r="E65" s="286">
        <v>0.7</v>
      </c>
      <c r="F65" s="286">
        <v>0.3</v>
      </c>
      <c r="G65" s="286">
        <v>0</v>
      </c>
      <c r="H65" s="286">
        <v>0</v>
      </c>
      <c r="I65" s="52">
        <f>IF(A65&lt;&gt;0,(B65-(B64-D64))/(A65-A64),"")</f>
        <v>7.5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53"/>
      <c r="D66" s="63"/>
      <c r="E66" s="286"/>
      <c r="F66" s="286"/>
      <c r="G66" s="286"/>
      <c r="H66" s="286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Douglas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18</v>
      </c>
      <c r="B88" s="63">
        <v>123</v>
      </c>
      <c r="C88" s="63">
        <v>1</v>
      </c>
      <c r="D88" s="63">
        <v>0</v>
      </c>
      <c r="E88" s="286">
        <v>0.10000000000000002</v>
      </c>
      <c r="F88" s="286">
        <v>0.80000000000000016</v>
      </c>
      <c r="G88" s="286">
        <v>0</v>
      </c>
      <c r="H88" s="286">
        <v>0.10000000000000002</v>
      </c>
      <c r="I88" s="56">
        <f>IFERROR(B88/A88,"")</f>
        <v>6.833333333333333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253</v>
      </c>
      <c r="C89" s="63">
        <v>2</v>
      </c>
      <c r="D89" s="63">
        <v>59</v>
      </c>
      <c r="E89" s="286">
        <v>0.3</v>
      </c>
      <c r="F89" s="286">
        <v>0.5</v>
      </c>
      <c r="G89" s="286">
        <v>0</v>
      </c>
      <c r="H89" s="286">
        <v>0.2</v>
      </c>
      <c r="I89" s="56">
        <f t="shared" ref="I89:I107" si="3">IF(A89&lt;&gt;0,(B89-(B88-D88))/(A89-A88),"")</f>
        <v>18.571428571428573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32</v>
      </c>
      <c r="B90" s="63">
        <v>332</v>
      </c>
      <c r="C90" s="63">
        <v>3</v>
      </c>
      <c r="D90" s="63">
        <v>79</v>
      </c>
      <c r="E90" s="286">
        <v>0.3</v>
      </c>
      <c r="F90" s="286">
        <v>0.5</v>
      </c>
      <c r="G90" s="286">
        <v>0</v>
      </c>
      <c r="H90" s="286">
        <v>0.2</v>
      </c>
      <c r="I90" s="56">
        <f t="shared" si="3"/>
        <v>19.714285714285715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39</v>
      </c>
      <c r="B91" s="63">
        <v>391</v>
      </c>
      <c r="C91" s="63">
        <v>4</v>
      </c>
      <c r="D91" s="63">
        <v>80</v>
      </c>
      <c r="E91" s="286">
        <v>0.7</v>
      </c>
      <c r="F91" s="286">
        <v>0.3</v>
      </c>
      <c r="G91" s="286">
        <v>0</v>
      </c>
      <c r="H91" s="286">
        <v>0</v>
      </c>
      <c r="I91" s="56">
        <f t="shared" si="3"/>
        <v>19.714285714285715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46</v>
      </c>
      <c r="B92" s="63">
        <v>444</v>
      </c>
      <c r="C92" s="63">
        <v>5</v>
      </c>
      <c r="D92" s="63">
        <v>86</v>
      </c>
      <c r="E92" s="286">
        <v>0.7</v>
      </c>
      <c r="F92" s="286">
        <v>0.3</v>
      </c>
      <c r="G92" s="286">
        <v>0</v>
      </c>
      <c r="H92" s="286">
        <v>0</v>
      </c>
      <c r="I92" s="56">
        <f t="shared" si="3"/>
        <v>19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53</v>
      </c>
      <c r="B93" s="63">
        <v>482</v>
      </c>
      <c r="C93" s="63">
        <v>6</v>
      </c>
      <c r="D93" s="63">
        <v>80</v>
      </c>
      <c r="E93" s="286">
        <v>0.7</v>
      </c>
      <c r="F93" s="286">
        <v>0.3</v>
      </c>
      <c r="G93" s="286">
        <v>0</v>
      </c>
      <c r="H93" s="286">
        <v>0</v>
      </c>
      <c r="I93" s="56">
        <f t="shared" si="3"/>
        <v>17.714285714285715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60</v>
      </c>
      <c r="B94" s="63">
        <v>517</v>
      </c>
      <c r="C94" s="63">
        <v>7</v>
      </c>
      <c r="D94" s="63">
        <v>97</v>
      </c>
      <c r="E94" s="286">
        <v>0.7</v>
      </c>
      <c r="F94" s="286">
        <v>0.3</v>
      </c>
      <c r="G94" s="286">
        <v>0</v>
      </c>
      <c r="H94" s="286">
        <v>0</v>
      </c>
      <c r="I94" s="56">
        <f t="shared" si="3"/>
        <v>16.428571428571427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67</v>
      </c>
      <c r="B95" s="63">
        <v>521</v>
      </c>
      <c r="C95" s="63">
        <v>8</v>
      </c>
      <c r="D95" s="63">
        <v>521</v>
      </c>
      <c r="E95" s="286">
        <v>0.7</v>
      </c>
      <c r="F95" s="286">
        <v>0.3</v>
      </c>
      <c r="G95" s="286">
        <v>0</v>
      </c>
      <c r="H95" s="286">
        <v>0</v>
      </c>
      <c r="I95" s="56">
        <f t="shared" si="3"/>
        <v>14.428571428571429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laricio</v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22</v>
      </c>
      <c r="B114" s="63">
        <v>123</v>
      </c>
      <c r="C114" s="53">
        <v>1</v>
      </c>
      <c r="D114" s="63">
        <v>16</v>
      </c>
      <c r="E114" s="54">
        <v>0.1</v>
      </c>
      <c r="F114" s="54">
        <v>0.8</v>
      </c>
      <c r="G114" s="54">
        <v>0</v>
      </c>
      <c r="H114" s="54">
        <v>0.1</v>
      </c>
      <c r="I114" s="56">
        <f>IFERROR(B114/A114,"")</f>
        <v>5.5909090909090908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v>144</v>
      </c>
      <c r="C115" s="53">
        <v>2</v>
      </c>
      <c r="D115" s="63">
        <v>17</v>
      </c>
      <c r="E115" s="54">
        <v>0.3</v>
      </c>
      <c r="F115" s="54">
        <v>0.5</v>
      </c>
      <c r="G115" s="54">
        <v>0</v>
      </c>
      <c r="H115" s="54">
        <v>0.2</v>
      </c>
      <c r="I115" s="56">
        <f t="shared" ref="I115:I133" si="4">IF(A115&lt;&gt;0,(B115-(B114-D114))/(A115-A114),"")</f>
        <v>12.333333333333334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v>194</v>
      </c>
      <c r="C116" s="53">
        <v>3</v>
      </c>
      <c r="D116" s="63">
        <v>34</v>
      </c>
      <c r="E116" s="54">
        <v>0.3</v>
      </c>
      <c r="F116" s="54">
        <v>0.5</v>
      </c>
      <c r="G116" s="54">
        <v>0</v>
      </c>
      <c r="H116" s="54">
        <v>0.2</v>
      </c>
      <c r="I116" s="56">
        <f t="shared" si="4"/>
        <v>13.4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v>233</v>
      </c>
      <c r="C117" s="53">
        <v>4</v>
      </c>
      <c r="D117" s="63">
        <v>41</v>
      </c>
      <c r="E117" s="54">
        <v>0.7</v>
      </c>
      <c r="F117" s="54">
        <v>0.3</v>
      </c>
      <c r="G117" s="54">
        <v>0</v>
      </c>
      <c r="H117" s="54">
        <v>0</v>
      </c>
      <c r="I117" s="56">
        <f t="shared" si="4"/>
        <v>14.6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v>264</v>
      </c>
      <c r="C118" s="53">
        <v>5</v>
      </c>
      <c r="D118" s="63">
        <v>41</v>
      </c>
      <c r="E118" s="54">
        <v>0.7</v>
      </c>
      <c r="F118" s="54">
        <v>0.3</v>
      </c>
      <c r="G118" s="54">
        <v>0</v>
      </c>
      <c r="H118" s="54">
        <v>0</v>
      </c>
      <c r="I118" s="56">
        <f t="shared" si="4"/>
        <v>14.4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v>318</v>
      </c>
      <c r="C119" s="53">
        <v>6</v>
      </c>
      <c r="D119" s="63">
        <v>53</v>
      </c>
      <c r="E119" s="54">
        <v>0.7</v>
      </c>
      <c r="F119" s="54">
        <v>0.3</v>
      </c>
      <c r="G119" s="54">
        <v>0</v>
      </c>
      <c r="H119" s="54">
        <v>0</v>
      </c>
      <c r="I119" s="56">
        <f t="shared" si="4"/>
        <v>19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50</v>
      </c>
      <c r="B120" s="63">
        <v>352</v>
      </c>
      <c r="C120" s="53">
        <v>7</v>
      </c>
      <c r="D120" s="63">
        <v>53</v>
      </c>
      <c r="E120" s="54">
        <v>0.7</v>
      </c>
      <c r="F120" s="54">
        <v>0.3</v>
      </c>
      <c r="G120" s="54">
        <v>0</v>
      </c>
      <c r="H120" s="54">
        <v>0</v>
      </c>
      <c r="I120" s="56">
        <f t="shared" si="4"/>
        <v>17.399999999999999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58</v>
      </c>
      <c r="B121" s="63">
        <v>440</v>
      </c>
      <c r="C121" s="53">
        <v>8</v>
      </c>
      <c r="D121" s="63">
        <v>78</v>
      </c>
      <c r="E121" s="54">
        <v>0.7</v>
      </c>
      <c r="F121" s="54">
        <v>0.3</v>
      </c>
      <c r="G121" s="54">
        <v>0</v>
      </c>
      <c r="H121" s="54">
        <v>0</v>
      </c>
      <c r="I121" s="56">
        <f t="shared" si="4"/>
        <v>17.625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66</v>
      </c>
      <c r="B122" s="63">
        <v>495</v>
      </c>
      <c r="C122" s="53">
        <v>9</v>
      </c>
      <c r="D122" s="63">
        <v>65</v>
      </c>
      <c r="E122" s="54">
        <v>0.7</v>
      </c>
      <c r="F122" s="54">
        <v>0.3</v>
      </c>
      <c r="G122" s="54">
        <v>0</v>
      </c>
      <c r="H122" s="54">
        <v>0</v>
      </c>
      <c r="I122" s="56">
        <f t="shared" si="4"/>
        <v>16.625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74</v>
      </c>
      <c r="B123" s="63">
        <v>533</v>
      </c>
      <c r="C123" s="53">
        <v>10</v>
      </c>
      <c r="D123" s="63">
        <v>37</v>
      </c>
      <c r="E123" s="54">
        <v>0.7</v>
      </c>
      <c r="F123" s="54">
        <v>0.3</v>
      </c>
      <c r="G123" s="54">
        <v>0</v>
      </c>
      <c r="H123" s="54">
        <v>0</v>
      </c>
      <c r="I123" s="56">
        <f t="shared" si="4"/>
        <v>12.875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82</v>
      </c>
      <c r="B124" s="63">
        <v>567</v>
      </c>
      <c r="C124" s="53">
        <v>11</v>
      </c>
      <c r="D124" s="63">
        <v>26</v>
      </c>
      <c r="E124" s="54">
        <v>0.7</v>
      </c>
      <c r="F124" s="54">
        <v>0.3</v>
      </c>
      <c r="G124" s="54">
        <v>0</v>
      </c>
      <c r="H124" s="54">
        <v>0</v>
      </c>
      <c r="I124" s="56">
        <f t="shared" si="4"/>
        <v>8.875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90</v>
      </c>
      <c r="B125" s="63">
        <v>596.20000000000005</v>
      </c>
      <c r="C125" s="53">
        <v>12</v>
      </c>
      <c r="D125" s="63">
        <v>596.20000000000005</v>
      </c>
      <c r="E125" s="54">
        <v>0.7</v>
      </c>
      <c r="F125" s="54">
        <v>0.3</v>
      </c>
      <c r="G125" s="54">
        <v>0</v>
      </c>
      <c r="H125" s="54">
        <v>0</v>
      </c>
      <c r="I125" s="56">
        <f t="shared" si="4"/>
        <v>6.9000000000000057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="85" zoomScaleNormal="85" workbookViewId="0">
      <selection activeCell="C17" sqref="C17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Cèdre de l'Atlas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Douglas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Pin laricio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/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329.02356155998905</v>
      </c>
      <c r="T3" s="62">
        <f>IF('Données projet'!E9&gt;30,$R$33-$H$33,LOOKUP('Données projet'!$E$9,$A$3:$A$203,R3:R203)-LOOKUP('Données projet'!$E$9,$A$3:$A$203,$H$3:$H$203))</f>
        <v>199.43308683696642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160.55473404658039</v>
      </c>
      <c r="AO3" s="62">
        <f>IF('Données projet'!E10&gt;30,$AM$33-$H$33,LOOKUP('Données projet'!$E$10,$A$3:$A$203,AM3:AM203)-LOOKUP('Données projet'!$E$10,$A$3:$A$203,$H$3:$H$203))</f>
        <v>188.70262429536223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358.417829688045</v>
      </c>
      <c r="BJ3" s="62">
        <f>IF('Données projet'!E11&gt;30,$BH$33-$H$33,LOOKUP('Données projet'!$E$11,$A$3:$A$203,BH3:BH203)-LOOKUP('Données projet'!$E$11,$A$3:$A$203,$H$3:$H$203))</f>
        <v>394.03759949558713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405.42845699663462</v>
      </c>
      <c r="CE3" s="62">
        <f>IF('Données projet'!E12&gt;30,$CC$33-$H$33,LOOKUP('Données projet'!$E$12,$A$3:$A$203,CC3:CC203)-LOOKUP('Données projet'!$E$12,$A$3:$A$203,$H$3:$H$203))</f>
        <v>292.26503163353146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2.6904761904761907</v>
      </c>
      <c r="N4" s="14">
        <f>IF('Données projet'!$A$36&gt;35,N3+M4-V3,IF(A4&lt;'Données projet'!$A$36,$K$205^A4,IF(A4='Données projet'!$A$36,'Données projet'!$B$36,N3+M4-V3)))</f>
        <v>2.6904761904761907</v>
      </c>
      <c r="O4" s="14">
        <f>N4*VLOOKUP('Données projet'!$B$9,Paramètres!$A$1:$I$88,3,0)*VLOOKUP('Données projet'!$B$9,Paramètres!$A$1:$I$88,5,0)</f>
        <v>2.4343428571428576</v>
      </c>
      <c r="P4" s="14">
        <f>EXP(-1.0587+0.8836*LN(O4)+0.284)</f>
        <v>1.0114839008106258</v>
      </c>
      <c r="Q4" s="22">
        <f t="shared" ref="Q4:Q34" si="2">(O4+P4)*0.475*44/12</f>
        <v>6.00148160343565</v>
      </c>
      <c r="R4" s="62">
        <f t="shared" si="0"/>
        <v>263.89037049232451</v>
      </c>
      <c r="S4" s="62">
        <f ca="1">AVERAGE(OFFSET($R$3,0,0,'Données projet'!$E$9+1,1))-AVERAGE(OFFSET($H$3,0,0,'Données projet'!$E$9+1,1))</f>
        <v>329.02356155998905</v>
      </c>
      <c r="T4" s="62">
        <f>$T$3</f>
        <v>199.43308683696642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projet'!$B$10,Paramètres!$A$1:$I$88,3,0)*VLOOKUP('Données projet'!$B$10,Paramètres!$A$1:$I$88,5,0)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259.42827858270829</v>
      </c>
      <c r="AN4" s="62">
        <f ca="1">AVERAGE(OFFSET($AM$3,0,0,'Données projet'!$E$10+1,1))-AVERAGE(OFFSET($H$3,0,0,'Données projet'!$E$10+1,1))</f>
        <v>160.55473404658039</v>
      </c>
      <c r="AO4" s="62">
        <f>$AO$3</f>
        <v>188.70262429536223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6.833333333333333</v>
      </c>
      <c r="BD4" s="13">
        <f>IF('Données projet'!$A$88&gt;35,BD3+BC4-BL3,IF(A4&lt;'Données projet'!$A$88,$BA$205^A4,IF(A4='Données projet'!$A$88,'Données projet'!$B$88,BD3+BC4-BL3)))</f>
        <v>1.3064892466607521</v>
      </c>
      <c r="BE4" s="14">
        <f>BD4*VLOOKUP('Données projet'!$B$11,Paramètres!$A$1:$I$88,3,0)*VLOOKUP('Données projet'!$B$11,Paramètres!$A$1:$I$88,5,0)</f>
        <v>0.73032748888336041</v>
      </c>
      <c r="BF4" s="14">
        <f>EXP(-1.0587+0.8836*LN(BE4)+0.284)</f>
        <v>0.349105152047474</v>
      </c>
      <c r="BG4" s="22">
        <f t="shared" ref="BG4:BG67" si="7">(BE4+BF4)*0.475*44/12</f>
        <v>1.880011849621203</v>
      </c>
      <c r="BH4" s="62">
        <f t="shared" ref="BH4:BH67" si="8">BG4+(AY4+AZ4)*44/12</f>
        <v>259.76890073851007</v>
      </c>
      <c r="BI4" s="62">
        <f ca="1">AVERAGE(OFFSET($BH$3,0,0,'Données projet'!$E$11+1,1))-AVERAGE(OFFSET($H$3,0,0,'Données projet'!$E$11+1,1))</f>
        <v>358.417829688045</v>
      </c>
      <c r="BJ4" s="62">
        <f>$BJ$3</f>
        <v>394.03759949558713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5.5909090909090908</v>
      </c>
      <c r="BY4" s="13">
        <f>IF('Données projet'!$A$114&gt;35,BY3+BX4-CG3,IF(A4&lt;'Données projet'!$A$114,$BV$205^A4,IF(A4='Données projet'!$A$114,'Données projet'!$B$114,BY3+BX4-CG3)))</f>
        <v>1.244502252163008</v>
      </c>
      <c r="BZ4" s="14">
        <f>BY4*VLOOKUP('Données projet'!$B$12,Paramètres!$A$1:$I$88,3,0)*VLOOKUP('Données projet'!$B$12,Paramètres!$A$1:$I$88,5,0)</f>
        <v>0.74421234679347892</v>
      </c>
      <c r="CA4" s="14">
        <f>EXP(-1.0587+0.8836*LN(BZ4)+0.284)</f>
        <v>0.3549632728022305</v>
      </c>
      <c r="CB4" s="22">
        <f t="shared" ref="CB4:CB67" si="10">(BZ4+CA4)*0.475*44/12</f>
        <v>1.9143975374625271</v>
      </c>
      <c r="CC4" s="62">
        <f t="shared" ref="CC4:CC67" si="11">CB4+(BT4+BU4)*44/12</f>
        <v>259.80328642635141</v>
      </c>
      <c r="CD4" s="62">
        <f ca="1">AVERAGE(OFFSET($CC$3,0,0,'Données projet'!$E$12+1,1))-AVERAGE(OFFSET($H$3,0,0,'Données projet'!$E$12+1,1))</f>
        <v>405.42845699663462</v>
      </c>
      <c r="CE4" s="62">
        <f>$CE$3</f>
        <v>292.26503163353146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2.6904761904761907</v>
      </c>
      <c r="N5" s="14">
        <f>IF('Données projet'!$A$36&gt;35,N4+M5-V4,IF(A5&lt;'Données projet'!$A$36,$K$205^A5,IF(A5='Données projet'!$A$36,'Données projet'!$B$36,N4+M5-V4)))</f>
        <v>5.3809523809523814</v>
      </c>
      <c r="O5" s="14">
        <f>N5*VLOOKUP('Données projet'!$B$9,Paramètres!$A$1:$I$88,3,0)*VLOOKUP('Données projet'!$B$9,Paramètres!$A$1:$I$88,5,0)</f>
        <v>4.8686857142857152</v>
      </c>
      <c r="P5" s="14">
        <f t="shared" ref="P5:P68" si="33">EXP(-1.0587+0.8836*LN(O5)+0.284)</f>
        <v>1.8661608704332051</v>
      </c>
      <c r="Q5" s="22">
        <f t="shared" si="2"/>
        <v>11.729857801718786</v>
      </c>
      <c r="R5" s="62">
        <f t="shared" si="0"/>
        <v>270.84096891282991</v>
      </c>
      <c r="S5" s="62">
        <f ca="1">AVERAGE(OFFSET($R$3,0,0,'Données projet'!$E$9+1,1))-AVERAGE(OFFSET($H$3,0,0,'Données projet'!$E$9+1,1))</f>
        <v>329.02356155998905</v>
      </c>
      <c r="T5" s="62">
        <f t="shared" ref="T5:T68" si="34">$T$3</f>
        <v>199.43308683696642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projet'!$B$10,Paramètres!$A$1:$I$88,3,0)*VLOOKUP('Données projet'!$B$10,Paramètres!$A$1:$I$88,5,0)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261.04520408716911</v>
      </c>
      <c r="AN5" s="62">
        <f ca="1">AVERAGE(OFFSET($AM$3,0,0,'Données projet'!$E$10+1,1))-AVERAGE(OFFSET($H$3,0,0,'Données projet'!$E$10+1,1))</f>
        <v>160.55473404658039</v>
      </c>
      <c r="AO5" s="62">
        <f t="shared" ref="AO5:AO68" si="36">$AO$3</f>
        <v>188.70262429536223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6.833333333333333</v>
      </c>
      <c r="BD5" s="13">
        <f>IF('Données projet'!$A$88&gt;35,BD4+BC5-BL4,IF(A5&lt;'Données projet'!$A$88,$BA$205^A5,IF(A5='Données projet'!$A$88,'Données projet'!$B$88,BD4+BC5-BL4)))</f>
        <v>1.7069141516401793</v>
      </c>
      <c r="BE5" s="14">
        <f>BD5*VLOOKUP('Données projet'!$B$11,Paramètres!$A$1:$I$88,3,0)*VLOOKUP('Données projet'!$B$11,Paramètres!$A$1:$I$88,5,0)</f>
        <v>0.95416501076686033</v>
      </c>
      <c r="BF5" s="14">
        <f t="shared" ref="BF5:BF68" si="37">EXP(-1.0587+0.8836*LN(BE5)+0.284)</f>
        <v>0.44212734667095638</v>
      </c>
      <c r="BG5" s="22">
        <f t="shared" si="7"/>
        <v>2.4318758558708642</v>
      </c>
      <c r="BH5" s="62">
        <f t="shared" si="8"/>
        <v>261.54298696698203</v>
      </c>
      <c r="BI5" s="62">
        <f ca="1">AVERAGE(OFFSET($BH$3,0,0,'Données projet'!$E$11+1,1))-AVERAGE(OFFSET($H$3,0,0,'Données projet'!$E$11+1,1))</f>
        <v>358.417829688045</v>
      </c>
      <c r="BJ5" s="62">
        <f t="shared" ref="BJ5:BJ68" si="38">$BJ$3</f>
        <v>394.03759949558713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5.5909090909090908</v>
      </c>
      <c r="BY5" s="13">
        <f>IF('Données projet'!$A$114&gt;35,BY4+BX5-CG4,IF(A5&lt;'Données projet'!$A$114,$BV$205^A5,IF(A5='Données projet'!$A$114,'Données projet'!$B$114,BY4+BX5-CG4)))</f>
        <v>1.5487858556387992</v>
      </c>
      <c r="BZ5" s="14">
        <f>BY5*VLOOKUP('Données projet'!$B$12,Paramètres!$A$1:$I$88,3,0)*VLOOKUP('Données projet'!$B$12,Paramètres!$A$1:$I$88,5,0)</f>
        <v>0.92617394167200195</v>
      </c>
      <c r="CA5" s="14">
        <f t="shared" ref="CA5:CA68" si="39">EXP(-1.0587+0.8836*LN(BZ5)+0.284)</f>
        <v>0.43064718121421069</v>
      </c>
      <c r="CB5" s="22">
        <f t="shared" si="10"/>
        <v>2.3631301223601535</v>
      </c>
      <c r="CC5" s="62">
        <f t="shared" si="11"/>
        <v>261.47424123347128</v>
      </c>
      <c r="CD5" s="62">
        <f ca="1">AVERAGE(OFFSET($CC$3,0,0,'Données projet'!$E$12+1,1))-AVERAGE(OFFSET($H$3,0,0,'Données projet'!$E$12+1,1))</f>
        <v>405.42845699663462</v>
      </c>
      <c r="CE5" s="62">
        <f t="shared" ref="CE5:CE68" si="40">$CE$3</f>
        <v>292.26503163353146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2.6904761904761907</v>
      </c>
      <c r="N6" s="14">
        <f>IF('Données projet'!$A$36&gt;35,N5+M6-V5,IF(A6&lt;'Données projet'!$A$36,$K$205^A6,IF(A6='Données projet'!$A$36,'Données projet'!$B$36,N5+M6-V5)))</f>
        <v>8.071428571428573</v>
      </c>
      <c r="O6" s="14">
        <f>N6*VLOOKUP('Données projet'!$B$9,Paramètres!$A$1:$I$88,3,0)*VLOOKUP('Données projet'!$B$9,Paramètres!$A$1:$I$88,5,0)</f>
        <v>7.3030285714285732</v>
      </c>
      <c r="P6" s="14">
        <f t="shared" si="33"/>
        <v>2.6701970724975985</v>
      </c>
      <c r="Q6" s="22">
        <f t="shared" si="2"/>
        <v>17.370034663171413</v>
      </c>
      <c r="R6" s="62">
        <f t="shared" si="0"/>
        <v>277.70336799650471</v>
      </c>
      <c r="S6" s="62">
        <f ca="1">AVERAGE(OFFSET($R$3,0,0,'Données projet'!$E$9+1,1))-AVERAGE(OFFSET($H$3,0,0,'Données projet'!$E$9+1,1))</f>
        <v>329.02356155998905</v>
      </c>
      <c r="T6" s="62">
        <f t="shared" si="34"/>
        <v>199.43308683696642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projet'!$B$10,Paramètres!$A$1:$I$88,3,0)*VLOOKUP('Données projet'!$B$10,Paramètres!$A$1:$I$88,5,0)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262.76373751603086</v>
      </c>
      <c r="AN6" s="62">
        <f ca="1">AVERAGE(OFFSET($AM$3,0,0,'Données projet'!$E$10+1,1))-AVERAGE(OFFSET($H$3,0,0,'Données projet'!$E$10+1,1))</f>
        <v>160.55473404658039</v>
      </c>
      <c r="AO6" s="62">
        <f t="shared" si="36"/>
        <v>188.70262429536223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6.833333333333333</v>
      </c>
      <c r="BD6" s="13">
        <f>IF('Données projet'!$A$88&gt;35,BD5+BC6-BL5,IF(A6&lt;'Données projet'!$A$88,$BA$205^A6,IF(A6='Données projet'!$A$88,'Données projet'!$B$88,BD5+BC6-BL5)))</f>
        <v>2.2300649840909545</v>
      </c>
      <c r="BE6" s="14">
        <f>BD6*VLOOKUP('Données projet'!$B$11,Paramètres!$A$1:$I$88,3,0)*VLOOKUP('Données projet'!$B$11,Paramètres!$A$1:$I$88,5,0)</f>
        <v>1.2466063261068436</v>
      </c>
      <c r="BF6" s="14">
        <f t="shared" si="37"/>
        <v>0.55993613823183452</v>
      </c>
      <c r="BG6" s="22">
        <f t="shared" si="7"/>
        <v>3.1463947920565309</v>
      </c>
      <c r="BH6" s="62">
        <f t="shared" si="8"/>
        <v>263.47972812538984</v>
      </c>
      <c r="BI6" s="62">
        <f ca="1">AVERAGE(OFFSET($BH$3,0,0,'Données projet'!$E$11+1,1))-AVERAGE(OFFSET($H$3,0,0,'Données projet'!$E$11+1,1))</f>
        <v>358.417829688045</v>
      </c>
      <c r="BJ6" s="62">
        <f t="shared" si="38"/>
        <v>394.03759949558713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5.5909090909090908</v>
      </c>
      <c r="BY6" s="13">
        <f>IF('Données projet'!$A$114&gt;35,BY5+BX6-CG5,IF(A6&lt;'Données projet'!$A$114,$BV$205^A6,IF(A6='Données projet'!$A$114,'Données projet'!$B$114,BY5+BX6-CG5)))</f>
        <v>1.927467485460697</v>
      </c>
      <c r="BZ6" s="14">
        <f>BY6*VLOOKUP('Données projet'!$B$12,Paramètres!$A$1:$I$88,3,0)*VLOOKUP('Données projet'!$B$12,Paramètres!$A$1:$I$88,5,0)</f>
        <v>1.152625556305497</v>
      </c>
      <c r="CA6" s="14">
        <f t="shared" si="39"/>
        <v>0.52246812247269758</v>
      </c>
      <c r="CB6" s="22">
        <f t="shared" si="10"/>
        <v>2.9174548238720219</v>
      </c>
      <c r="CC6" s="62">
        <f t="shared" si="11"/>
        <v>263.25078815720536</v>
      </c>
      <c r="CD6" s="62">
        <f ca="1">AVERAGE(OFFSET($CC$3,0,0,'Données projet'!$E$12+1,1))-AVERAGE(OFFSET($H$3,0,0,'Données projet'!$E$12+1,1))</f>
        <v>405.42845699663462</v>
      </c>
      <c r="CE6" s="62">
        <f t="shared" si="40"/>
        <v>292.26503163353146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2.6904761904761907</v>
      </c>
      <c r="N7" s="14">
        <f>IF('Données projet'!$A$36&gt;35,N6+M7-V6,IF(A7&lt;'Données projet'!$A$36,$K$205^A7,IF(A7='Données projet'!$A$36,'Données projet'!$B$36,N6+M7-V6)))</f>
        <v>10.761904761904763</v>
      </c>
      <c r="O7" s="14">
        <f>N7*VLOOKUP('Données projet'!$B$9,Paramètres!$A$1:$I$88,3,0)*VLOOKUP('Données projet'!$B$9,Paramètres!$A$1:$I$88,5,0)</f>
        <v>9.7373714285714303</v>
      </c>
      <c r="P7" s="14">
        <f t="shared" si="33"/>
        <v>3.443017127158444</v>
      </c>
      <c r="Q7" s="22">
        <f t="shared" si="2"/>
        <v>22.955843401229529</v>
      </c>
      <c r="R7" s="62">
        <f t="shared" si="0"/>
        <v>284.51139895678506</v>
      </c>
      <c r="S7" s="62">
        <f ca="1">AVERAGE(OFFSET($R$3,0,0,'Données projet'!$E$9+1,1))-AVERAGE(OFFSET($H$3,0,0,'Données projet'!$E$9+1,1))</f>
        <v>329.02356155998905</v>
      </c>
      <c r="T7" s="62">
        <f t="shared" si="34"/>
        <v>199.43308683696642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projet'!$B$10,Paramètres!$A$1:$I$88,3,0)*VLOOKUP('Données projet'!$B$10,Paramètres!$A$1:$I$88,5,0)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264.61013430399953</v>
      </c>
      <c r="AN7" s="62">
        <f ca="1">AVERAGE(OFFSET($AM$3,0,0,'Données projet'!$E$10+1,1))-AVERAGE(OFFSET($H$3,0,0,'Données projet'!$E$10+1,1))</f>
        <v>160.55473404658039</v>
      </c>
      <c r="AO7" s="62">
        <f t="shared" si="36"/>
        <v>188.70262429536223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6.833333333333333</v>
      </c>
      <c r="BD7" s="13">
        <f>IF('Données projet'!$A$88&gt;35,BD6+BC7-BL6,IF(A7&lt;'Données projet'!$A$88,$BA$205^A7,IF(A7='Données projet'!$A$88,'Données projet'!$B$88,BD6+BC7-BL6)))</f>
        <v>2.9135559210695132</v>
      </c>
      <c r="BE7" s="14">
        <f>BD7*VLOOKUP('Données projet'!$B$11,Paramètres!$A$1:$I$88,3,0)*VLOOKUP('Données projet'!$B$11,Paramètres!$A$1:$I$88,5,0)</f>
        <v>1.6286777598778581</v>
      </c>
      <c r="BF7" s="14">
        <f t="shared" si="37"/>
        <v>0.70913613749234317</v>
      </c>
      <c r="BG7" s="22">
        <f t="shared" si="7"/>
        <v>4.071692537919767</v>
      </c>
      <c r="BH7" s="62">
        <f t="shared" si="8"/>
        <v>265.62724809347532</v>
      </c>
      <c r="BI7" s="62">
        <f ca="1">AVERAGE(OFFSET($BH$3,0,0,'Données projet'!$E$11+1,1))-AVERAGE(OFFSET($H$3,0,0,'Données projet'!$E$11+1,1))</f>
        <v>358.417829688045</v>
      </c>
      <c r="BJ7" s="62">
        <f t="shared" si="38"/>
        <v>394.03759949558713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5.5909090909090908</v>
      </c>
      <c r="BY7" s="13">
        <f>IF('Données projet'!$A$114&gt;35,BY6+BX7-CG6,IF(A7&lt;'Données projet'!$A$114,$BV$205^A7,IF(A7='Données projet'!$A$114,'Données projet'!$B$114,BY6+BX7-CG6)))</f>
        <v>2.3987376266268075</v>
      </c>
      <c r="BZ7" s="14">
        <f>BY7*VLOOKUP('Données projet'!$B$12,Paramètres!$A$1:$I$88,3,0)*VLOOKUP('Données projet'!$B$12,Paramètres!$A$1:$I$88,5,0)</f>
        <v>1.4344451007228309</v>
      </c>
      <c r="CA7" s="14">
        <f t="shared" si="39"/>
        <v>0.63386677286612625</v>
      </c>
      <c r="CB7" s="22">
        <f t="shared" si="10"/>
        <v>3.6023098465007668</v>
      </c>
      <c r="CC7" s="62">
        <f t="shared" si="11"/>
        <v>265.1578654020563</v>
      </c>
      <c r="CD7" s="62">
        <f ca="1">AVERAGE(OFFSET($CC$3,0,0,'Données projet'!$E$12+1,1))-AVERAGE(OFFSET($H$3,0,0,'Données projet'!$E$12+1,1))</f>
        <v>405.42845699663462</v>
      </c>
      <c r="CE7" s="62">
        <f t="shared" si="40"/>
        <v>292.26503163353146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2.6904761904761907</v>
      </c>
      <c r="N8" s="14">
        <f>IF('Données projet'!$A$36&gt;35,N7+M8-V7,IF(A8&lt;'Données projet'!$A$36,$K$205^A8,IF(A8='Données projet'!$A$36,'Données projet'!$B$36,N7+M8-V7)))</f>
        <v>13.452380952380953</v>
      </c>
      <c r="O8" s="14">
        <f>N8*VLOOKUP('Données projet'!$B$9,Paramètres!$A$1:$I$88,3,0)*VLOOKUP('Données projet'!$B$9,Paramètres!$A$1:$I$88,5,0)</f>
        <v>12.171714285714286</v>
      </c>
      <c r="P8" s="14">
        <f t="shared" si="33"/>
        <v>4.1934249090509752</v>
      </c>
      <c r="Q8" s="22">
        <f t="shared" si="2"/>
        <v>28.502617430882832</v>
      </c>
      <c r="R8" s="62">
        <f t="shared" si="0"/>
        <v>291.28039520866059</v>
      </c>
      <c r="S8" s="62">
        <f ca="1">AVERAGE(OFFSET($R$3,0,0,'Données projet'!$E$9+1,1))-AVERAGE(OFFSET($H$3,0,0,'Données projet'!$E$9+1,1))</f>
        <v>329.02356155998905</v>
      </c>
      <c r="T8" s="62">
        <f t="shared" si="34"/>
        <v>199.43308683696642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projet'!$B$10,Paramètres!$A$1:$I$88,3,0)*VLOOKUP('Données projet'!$B$10,Paramètres!$A$1:$I$88,5,0)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266.61745820573537</v>
      </c>
      <c r="AN8" s="62">
        <f ca="1">AVERAGE(OFFSET($AM$3,0,0,'Données projet'!$E$10+1,1))-AVERAGE(OFFSET($H$3,0,0,'Données projet'!$E$10+1,1))</f>
        <v>160.55473404658039</v>
      </c>
      <c r="AO8" s="62">
        <f t="shared" si="36"/>
        <v>188.70262429536223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6.833333333333333</v>
      </c>
      <c r="BD8" s="13">
        <f>IF('Données projet'!$A$88&gt;35,BD7+BC8-BL7,IF(A8&lt;'Données projet'!$A$88,$BA$205^A8,IF(A8='Données projet'!$A$88,'Données projet'!$B$88,BD7+BC8-BL7)))</f>
        <v>3.8065294804220819</v>
      </c>
      <c r="BE8" s="14">
        <f>BD8*VLOOKUP('Données projet'!$B$11,Paramètres!$A$1:$I$88,3,0)*VLOOKUP('Données projet'!$B$11,Paramètres!$A$1:$I$88,5,0)</f>
        <v>2.1278499795559438</v>
      </c>
      <c r="BF8" s="14">
        <f t="shared" si="37"/>
        <v>0.89809181290840445</v>
      </c>
      <c r="BG8" s="22">
        <f t="shared" si="7"/>
        <v>5.2701819552087397</v>
      </c>
      <c r="BH8" s="62">
        <f t="shared" si="8"/>
        <v>268.0479597329865</v>
      </c>
      <c r="BI8" s="62">
        <f ca="1">AVERAGE(OFFSET($BH$3,0,0,'Données projet'!$E$11+1,1))-AVERAGE(OFFSET($H$3,0,0,'Données projet'!$E$11+1,1))</f>
        <v>358.417829688045</v>
      </c>
      <c r="BJ8" s="62">
        <f t="shared" si="38"/>
        <v>394.03759949558713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5.5909090909090908</v>
      </c>
      <c r="BY8" s="13">
        <f>IF('Données projet'!$A$114&gt;35,BY7+BX8-CG7,IF(A8&lt;'Données projet'!$A$114,$BV$205^A8,IF(A8='Données projet'!$A$114,'Données projet'!$B$114,BY7+BX8-CG7)))</f>
        <v>2.9852343786852105</v>
      </c>
      <c r="BZ8" s="14">
        <f>BY8*VLOOKUP('Données projet'!$B$12,Paramètres!$A$1:$I$88,3,0)*VLOOKUP('Données projet'!$B$12,Paramètres!$A$1:$I$88,5,0)</f>
        <v>1.785170158453756</v>
      </c>
      <c r="CA8" s="14">
        <f t="shared" si="39"/>
        <v>0.7690174164926461</v>
      </c>
      <c r="CB8" s="22">
        <f t="shared" si="10"/>
        <v>4.4485433596983173</v>
      </c>
      <c r="CC8" s="62">
        <f t="shared" si="11"/>
        <v>267.22632113747608</v>
      </c>
      <c r="CD8" s="62">
        <f ca="1">AVERAGE(OFFSET($CC$3,0,0,'Données projet'!$E$12+1,1))-AVERAGE(OFFSET($H$3,0,0,'Données projet'!$E$12+1,1))</f>
        <v>405.42845699663462</v>
      </c>
      <c r="CE8" s="62">
        <f t="shared" si="40"/>
        <v>292.26503163353146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2.6904761904761907</v>
      </c>
      <c r="N9" s="14">
        <f>IF('Données projet'!$A$36&gt;35,N8+M9-V8,IF(A9&lt;'Données projet'!$A$36,$K$205^A9,IF(A9='Données projet'!$A$36,'Données projet'!$B$36,N8+M9-V8)))</f>
        <v>16.142857142857142</v>
      </c>
      <c r="O9" s="14">
        <f>N9*VLOOKUP('Données projet'!$B$9,Paramètres!$A$1:$I$88,3,0)*VLOOKUP('Données projet'!$B$9,Paramètres!$A$1:$I$88,5,0)</f>
        <v>14.606057142857141</v>
      </c>
      <c r="P9" s="14">
        <f t="shared" si="33"/>
        <v>4.9264425158391649</v>
      </c>
      <c r="Q9" s="22">
        <f t="shared" si="2"/>
        <v>34.019103572229398</v>
      </c>
      <c r="R9" s="62">
        <f t="shared" si="0"/>
        <v>298.01910357222937</v>
      </c>
      <c r="S9" s="62">
        <f ca="1">AVERAGE(OFFSET($R$3,0,0,'Données projet'!$E$9+1,1))-AVERAGE(OFFSET($H$3,0,0,'Données projet'!$E$9+1,1))</f>
        <v>329.02356155998905</v>
      </c>
      <c r="T9" s="62">
        <f t="shared" si="34"/>
        <v>199.43308683696642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projet'!$B$10,Paramètres!$A$1:$I$88,3,0)*VLOOKUP('Données projet'!$B$10,Paramètres!$A$1:$I$88,5,0)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268.82735255020987</v>
      </c>
      <c r="AN9" s="62">
        <f ca="1">AVERAGE(OFFSET($AM$3,0,0,'Données projet'!$E$10+1,1))-AVERAGE(OFFSET($H$3,0,0,'Données projet'!$E$10+1,1))</f>
        <v>160.55473404658039</v>
      </c>
      <c r="AO9" s="62">
        <f t="shared" si="36"/>
        <v>188.70262429536223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6.833333333333333</v>
      </c>
      <c r="BD9" s="13">
        <f>IF('Données projet'!$A$88&gt;35,BD8+BC9-BL8,IF(A9&lt;'Données projet'!$A$88,$BA$205^A9,IF(A9='Données projet'!$A$88,'Données projet'!$B$88,BD8+BC9-BL8)))</f>
        <v>4.9731898332685898</v>
      </c>
      <c r="BE9" s="14">
        <f>BD9*VLOOKUP('Données projet'!$B$11,Paramètres!$A$1:$I$88,3,0)*VLOOKUP('Données projet'!$B$11,Paramètres!$A$1:$I$88,5,0)</f>
        <v>2.7800131167971416</v>
      </c>
      <c r="BF9" s="14">
        <f t="shared" si="37"/>
        <v>1.1373964204747828</v>
      </c>
      <c r="BG9" s="22">
        <f t="shared" si="7"/>
        <v>6.8228216107486013</v>
      </c>
      <c r="BH9" s="62">
        <f t="shared" si="8"/>
        <v>270.82282161074858</v>
      </c>
      <c r="BI9" s="62">
        <f ca="1">AVERAGE(OFFSET($BH$3,0,0,'Données projet'!$E$11+1,1))-AVERAGE(OFFSET($H$3,0,0,'Données projet'!$E$11+1,1))</f>
        <v>358.417829688045</v>
      </c>
      <c r="BJ9" s="62">
        <f t="shared" si="38"/>
        <v>394.03759949558713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5.5909090909090908</v>
      </c>
      <c r="BY9" s="13">
        <f>IF('Données projet'!$A$114&gt;35,BY8+BX9-CG8,IF(A9&lt;'Données projet'!$A$114,$BV$205^A9,IF(A9='Données projet'!$A$114,'Données projet'!$B$114,BY8+BX9-CG8)))</f>
        <v>3.7151309075081826</v>
      </c>
      <c r="BZ9" s="14">
        <f>BY9*VLOOKUP('Données projet'!$B$12,Paramètres!$A$1:$I$88,3,0)*VLOOKUP('Données projet'!$B$12,Paramètres!$A$1:$I$88,5,0)</f>
        <v>2.2216482826898933</v>
      </c>
      <c r="CA9" s="14">
        <f t="shared" si="39"/>
        <v>0.93298436230530435</v>
      </c>
      <c r="CB9" s="22">
        <f t="shared" si="10"/>
        <v>5.4943185233666361</v>
      </c>
      <c r="CC9" s="62">
        <f t="shared" si="11"/>
        <v>269.49431852336664</v>
      </c>
      <c r="CD9" s="62">
        <f ca="1">AVERAGE(OFFSET($CC$3,0,0,'Données projet'!$E$12+1,1))-AVERAGE(OFFSET($H$3,0,0,'Données projet'!$E$12+1,1))</f>
        <v>405.42845699663462</v>
      </c>
      <c r="CE9" s="62">
        <f t="shared" si="40"/>
        <v>292.26503163353146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2.6904761904761907</v>
      </c>
      <c r="N10" s="14">
        <f>IF('Données projet'!$A$36&gt;35,N9+M10-V9,IF(A10&lt;'Données projet'!$A$36,$K$205^A10,IF(A10='Données projet'!$A$36,'Données projet'!$B$36,N9+M10-V9)))</f>
        <v>18.833333333333332</v>
      </c>
      <c r="O10" s="14">
        <f>N10*VLOOKUP('Données projet'!$B$9,Paramètres!$A$1:$I$88,3,0)*VLOOKUP('Données projet'!$B$9,Paramètres!$A$1:$I$88,5,0)</f>
        <v>17.040399999999998</v>
      </c>
      <c r="P10" s="14">
        <f t="shared" si="33"/>
        <v>5.6453074997047406</v>
      </c>
      <c r="Q10" s="22">
        <f t="shared" si="2"/>
        <v>39.510940561985755</v>
      </c>
      <c r="R10" s="62">
        <f t="shared" si="0"/>
        <v>304.73316278420799</v>
      </c>
      <c r="S10" s="62">
        <f ca="1">AVERAGE(OFFSET($R$3,0,0,'Données projet'!$E$9+1,1))-AVERAGE(OFFSET($H$3,0,0,'Données projet'!$E$9+1,1))</f>
        <v>329.02356155998905</v>
      </c>
      <c r="T10" s="62">
        <f t="shared" si="34"/>
        <v>199.43308683696642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projet'!$B$10,Paramètres!$A$1:$I$88,3,0)*VLOOKUP('Données projet'!$B$10,Paramètres!$A$1:$I$88,5,0)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271.29227369769058</v>
      </c>
      <c r="AN10" s="62">
        <f ca="1">AVERAGE(OFFSET($AM$3,0,0,'Données projet'!$E$10+1,1))-AVERAGE(OFFSET($H$3,0,0,'Données projet'!$E$10+1,1))</f>
        <v>160.55473404658039</v>
      </c>
      <c r="AO10" s="62">
        <f t="shared" si="36"/>
        <v>188.70262429536223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6.833333333333333</v>
      </c>
      <c r="BD10" s="13">
        <f>IF('Données projet'!$A$88&gt;35,BD9+BC10-BL9,IF(A10&lt;'Données projet'!$A$88,$BA$205^A10,IF(A10='Données projet'!$A$88,'Données projet'!$B$88,BD9+BC10-BL9)))</f>
        <v>6.4974190387679904</v>
      </c>
      <c r="BE10" s="14">
        <f>BD10*VLOOKUP('Données projet'!$B$11,Paramètres!$A$1:$I$88,3,0)*VLOOKUP('Données projet'!$B$11,Paramètres!$A$1:$I$88,5,0)</f>
        <v>3.6320572426713067</v>
      </c>
      <c r="BF10" s="14">
        <f t="shared" si="37"/>
        <v>1.4404658841275837</v>
      </c>
      <c r="BG10" s="22">
        <f t="shared" si="7"/>
        <v>8.8346444458413984</v>
      </c>
      <c r="BH10" s="62">
        <f t="shared" si="8"/>
        <v>274.05686666806361</v>
      </c>
      <c r="BI10" s="62">
        <f ca="1">AVERAGE(OFFSET($BH$3,0,0,'Données projet'!$E$11+1,1))-AVERAGE(OFFSET($H$3,0,0,'Données projet'!$E$11+1,1))</f>
        <v>358.417829688045</v>
      </c>
      <c r="BJ10" s="62">
        <f t="shared" si="38"/>
        <v>394.03759949558713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5.5909090909090908</v>
      </c>
      <c r="BY10" s="13">
        <f>IF('Données projet'!$A$114&gt;35,BY9+BX10-CG9,IF(A10&lt;'Données projet'!$A$114,$BV$205^A10,IF(A10='Données projet'!$A$114,'Données projet'!$B$114,BY9+BX10-CG9)))</f>
        <v>4.6234887814743333</v>
      </c>
      <c r="BZ10" s="14">
        <f>BY10*VLOOKUP('Données projet'!$B$12,Paramètres!$A$1:$I$88,3,0)*VLOOKUP('Données projet'!$B$12,Paramètres!$A$1:$I$88,5,0)</f>
        <v>2.7648462913216516</v>
      </c>
      <c r="CA10" s="14">
        <f t="shared" si="39"/>
        <v>1.1319117118000401</v>
      </c>
      <c r="CB10" s="22">
        <f t="shared" si="10"/>
        <v>6.7868535221036126</v>
      </c>
      <c r="CC10" s="62">
        <f t="shared" si="11"/>
        <v>272.00907574432586</v>
      </c>
      <c r="CD10" s="62">
        <f ca="1">AVERAGE(OFFSET($CC$3,0,0,'Données projet'!$E$12+1,1))-AVERAGE(OFFSET($H$3,0,0,'Données projet'!$E$12+1,1))</f>
        <v>405.42845699663462</v>
      </c>
      <c r="CE10" s="62">
        <f t="shared" si="40"/>
        <v>292.26503163353146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2.6904761904761907</v>
      </c>
      <c r="N11" s="14">
        <f>IF('Données projet'!$A$36&gt;35,N10+M11-V10,IF(A11&lt;'Données projet'!$A$36,$K$205^A11,IF(A11='Données projet'!$A$36,'Données projet'!$B$36,N10+M11-V10)))</f>
        <v>21.523809523809522</v>
      </c>
      <c r="O11" s="14">
        <f>N11*VLOOKUP('Données projet'!$B$9,Paramètres!$A$1:$I$88,3,0)*VLOOKUP('Données projet'!$B$9,Paramètres!$A$1:$I$88,5,0)</f>
        <v>19.474742857142854</v>
      </c>
      <c r="P11" s="14">
        <f t="shared" si="33"/>
        <v>6.3522749435607562</v>
      </c>
      <c r="Q11" s="22">
        <f t="shared" si="2"/>
        <v>44.982056002892115</v>
      </c>
      <c r="R11" s="62">
        <f t="shared" si="0"/>
        <v>311.42650044733659</v>
      </c>
      <c r="S11" s="62">
        <f ca="1">AVERAGE(OFFSET($R$3,0,0,'Données projet'!$E$9+1,1))-AVERAGE(OFFSET($H$3,0,0,'Données projet'!$E$9+1,1))</f>
        <v>329.02356155998905</v>
      </c>
      <c r="T11" s="62">
        <f t="shared" si="34"/>
        <v>199.43308683696642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projet'!$B$10,Paramètres!$A$1:$I$88,3,0)*VLOOKUP('Données projet'!$B$10,Paramètres!$A$1:$I$88,5,0)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274.07830764378383</v>
      </c>
      <c r="AN11" s="62">
        <f ca="1">AVERAGE(OFFSET($AM$3,0,0,'Données projet'!$E$10+1,1))-AVERAGE(OFFSET($H$3,0,0,'Données projet'!$E$10+1,1))</f>
        <v>160.55473404658039</v>
      </c>
      <c r="AO11" s="62">
        <f t="shared" si="36"/>
        <v>188.70262429536223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6.833333333333333</v>
      </c>
      <c r="BD11" s="13">
        <f>IF('Données projet'!$A$88&gt;35,BD10+BC11-BL10,IF(A11&lt;'Données projet'!$A$88,$BA$205^A11,IF(A11='Données projet'!$A$88,'Données projet'!$B$88,BD10+BC11-BL10)))</f>
        <v>8.4888081051992188</v>
      </c>
      <c r="BE11" s="14">
        <f>BD11*VLOOKUP('Données projet'!$B$11,Paramètres!$A$1:$I$88,3,0)*VLOOKUP('Données projet'!$B$11,Paramètres!$A$1:$I$88,5,0)</f>
        <v>4.7452437308063633</v>
      </c>
      <c r="BF11" s="14">
        <f t="shared" si="37"/>
        <v>1.8242909208992584</v>
      </c>
      <c r="BG11" s="22">
        <f t="shared" si="7"/>
        <v>11.441939518387292</v>
      </c>
      <c r="BH11" s="62">
        <f t="shared" si="8"/>
        <v>277.88638396283176</v>
      </c>
      <c r="BI11" s="62">
        <f ca="1">AVERAGE(OFFSET($BH$3,0,0,'Données projet'!$E$11+1,1))-AVERAGE(OFFSET($H$3,0,0,'Données projet'!$E$11+1,1))</f>
        <v>358.417829688045</v>
      </c>
      <c r="BJ11" s="62">
        <f t="shared" si="38"/>
        <v>394.03759949558713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5.5909090909090908</v>
      </c>
      <c r="BY11" s="13">
        <f>IF('Données projet'!$A$114&gt;35,BY10+BX11-CG10,IF(A11&lt;'Données projet'!$A$114,$BV$205^A11,IF(A11='Données projet'!$A$114,'Données projet'!$B$114,BY10+BX11-CG10)))</f>
        <v>5.7539422013952093</v>
      </c>
      <c r="BZ11" s="14">
        <f>BY11*VLOOKUP('Données projet'!$B$12,Paramètres!$A$1:$I$88,3,0)*VLOOKUP('Données projet'!$B$12,Paramètres!$A$1:$I$88,5,0)</f>
        <v>3.4408574364343356</v>
      </c>
      <c r="CA11" s="14">
        <f t="shared" si="39"/>
        <v>1.3732535882427113</v>
      </c>
      <c r="CB11" s="22">
        <f t="shared" si="10"/>
        <v>8.3845767013125236</v>
      </c>
      <c r="CC11" s="62">
        <f t="shared" si="11"/>
        <v>274.829021145757</v>
      </c>
      <c r="CD11" s="62">
        <f ca="1">AVERAGE(OFFSET($CC$3,0,0,'Données projet'!$E$12+1,1))-AVERAGE(OFFSET($H$3,0,0,'Données projet'!$E$12+1,1))</f>
        <v>405.42845699663462</v>
      </c>
      <c r="CE11" s="62">
        <f t="shared" si="40"/>
        <v>292.26503163353146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2.6904761904761907</v>
      </c>
      <c r="N12" s="14">
        <f>IF('Données projet'!$A$36&gt;35,N11+M12-V11,IF(A12&lt;'Données projet'!$A$36,$K$205^A12,IF(A12='Données projet'!$A$36,'Données projet'!$B$36,N11+M12-V11)))</f>
        <v>24.214285714285712</v>
      </c>
      <c r="O12" s="14">
        <f>N12*VLOOKUP('Données projet'!$B$9,Paramètres!$A$1:$I$88,3,0)*VLOOKUP('Données projet'!$B$9,Paramètres!$A$1:$I$88,5,0)</f>
        <v>21.909085714285712</v>
      </c>
      <c r="P12" s="14">
        <f t="shared" si="33"/>
        <v>7.0490023620352611</v>
      </c>
      <c r="Q12" s="22">
        <f t="shared" si="2"/>
        <v>50.435336732925691</v>
      </c>
      <c r="R12" s="62">
        <f t="shared" si="0"/>
        <v>318.10200339959238</v>
      </c>
      <c r="S12" s="62">
        <f ca="1">AVERAGE(OFFSET($R$3,0,0,'Données projet'!$E$9+1,1))-AVERAGE(OFFSET($H$3,0,0,'Données projet'!$E$9+1,1))</f>
        <v>329.02356155998905</v>
      </c>
      <c r="T12" s="62">
        <f t="shared" si="34"/>
        <v>199.43308683696642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projet'!$B$10,Paramètres!$A$1:$I$88,3,0)*VLOOKUP('Données projet'!$B$10,Paramètres!$A$1:$I$88,5,0)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277.26872244245249</v>
      </c>
      <c r="AN12" s="62">
        <f ca="1">AVERAGE(OFFSET($AM$3,0,0,'Données projet'!$E$10+1,1))-AVERAGE(OFFSET($H$3,0,0,'Données projet'!$E$10+1,1))</f>
        <v>160.55473404658039</v>
      </c>
      <c r="AO12" s="62">
        <f t="shared" si="36"/>
        <v>188.70262429536223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6.833333333333333</v>
      </c>
      <c r="BD12" s="13">
        <f>IF('Données projet'!$A$88&gt;35,BD11+BC12-BL11,IF(A12&lt;'Données projet'!$A$88,$BA$205^A12,IF(A12='Données projet'!$A$88,'Données projet'!$B$88,BD11+BC12-BL11)))</f>
        <v>11.090536506409414</v>
      </c>
      <c r="BE12" s="14">
        <f>BD12*VLOOKUP('Données projet'!$B$11,Paramètres!$A$1:$I$88,3,0)*VLOOKUP('Données projet'!$B$11,Paramètres!$A$1:$I$88,5,0)</f>
        <v>6.1996099070828619</v>
      </c>
      <c r="BF12" s="14">
        <f t="shared" si="37"/>
        <v>2.310389576557784</v>
      </c>
      <c r="BG12" s="22">
        <f t="shared" si="7"/>
        <v>14.821582434007459</v>
      </c>
      <c r="BH12" s="62">
        <f t="shared" si="8"/>
        <v>282.48824910067412</v>
      </c>
      <c r="BI12" s="62">
        <f ca="1">AVERAGE(OFFSET($BH$3,0,0,'Données projet'!$E$11+1,1))-AVERAGE(OFFSET($H$3,0,0,'Données projet'!$E$11+1,1))</f>
        <v>358.417829688045</v>
      </c>
      <c r="BJ12" s="62">
        <f t="shared" si="38"/>
        <v>394.03759949558713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5.5909090909090908</v>
      </c>
      <c r="BY12" s="13">
        <f>IF('Données projet'!$A$114&gt;35,BY11+BX12-CG11,IF(A12&lt;'Données projet'!$A$114,$BV$205^A12,IF(A12='Données projet'!$A$114,'Données projet'!$B$114,BY11+BX12-CG11)))</f>
        <v>7.1607940284521145</v>
      </c>
      <c r="BZ12" s="14">
        <f>BY12*VLOOKUP('Données projet'!$B$12,Paramètres!$A$1:$I$88,3,0)*VLOOKUP('Données projet'!$B$12,Paramètres!$A$1:$I$88,5,0)</f>
        <v>4.2821548290143649</v>
      </c>
      <c r="CA12" s="14">
        <f t="shared" si="39"/>
        <v>1.6660534544894132</v>
      </c>
      <c r="CB12" s="22">
        <f t="shared" si="10"/>
        <v>10.359796093769079</v>
      </c>
      <c r="CC12" s="62">
        <f t="shared" si="11"/>
        <v>278.02646276043578</v>
      </c>
      <c r="CD12" s="62">
        <f ca="1">AVERAGE(OFFSET($CC$3,0,0,'Données projet'!$E$12+1,1))-AVERAGE(OFFSET($H$3,0,0,'Données projet'!$E$12+1,1))</f>
        <v>405.42845699663462</v>
      </c>
      <c r="CE12" s="62">
        <f t="shared" si="40"/>
        <v>292.26503163353146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2.6904761904761907</v>
      </c>
      <c r="N13" s="14">
        <f>IF('Données projet'!$A$36&gt;35,N12+M13-V12,IF(A13&lt;'Données projet'!$A$36,$K$205^A13,IF(A13='Données projet'!$A$36,'Données projet'!$B$36,N12+M13-V12)))</f>
        <v>26.904761904761902</v>
      </c>
      <c r="O13" s="14">
        <f>N13*VLOOKUP('Données projet'!$B$9,Paramètres!$A$1:$I$88,3,0)*VLOOKUP('Données projet'!$B$9,Paramètres!$A$1:$I$88,5,0)</f>
        <v>24.343428571428568</v>
      </c>
      <c r="P13" s="14">
        <f t="shared" si="33"/>
        <v>7.7367573246585843</v>
      </c>
      <c r="Q13" s="22">
        <f t="shared" si="2"/>
        <v>55.872990435685118</v>
      </c>
      <c r="R13" s="62">
        <f t="shared" si="0"/>
        <v>324.76187932457395</v>
      </c>
      <c r="S13" s="62">
        <f ca="1">AVERAGE(OFFSET($R$3,0,0,'Données projet'!$E$9+1,1))-AVERAGE(OFFSET($H$3,0,0,'Données projet'!$E$9+1,1))</f>
        <v>329.02356155998905</v>
      </c>
      <c r="T13" s="62">
        <f t="shared" si="34"/>
        <v>199.43308683696642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projet'!$B$10,Paramètres!$A$1:$I$88,3,0)*VLOOKUP('Données projet'!$B$10,Paramètres!$A$1:$I$88,5,0)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280.96844918960909</v>
      </c>
      <c r="AN13" s="62">
        <f ca="1">AVERAGE(OFFSET($AM$3,0,0,'Données projet'!$E$10+1,1))-AVERAGE(OFFSET($H$3,0,0,'Données projet'!$E$10+1,1))</f>
        <v>160.55473404658039</v>
      </c>
      <c r="AO13" s="62">
        <f t="shared" si="36"/>
        <v>188.70262429536223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6.833333333333333</v>
      </c>
      <c r="BD13" s="13">
        <f>IF('Données projet'!$A$88&gt;35,BD12+BC13-BL12,IF(A13&lt;'Données projet'!$A$88,$BA$205^A13,IF(A13='Données projet'!$A$88,'Données projet'!$B$88,BD12+BC13-BL12)))</f>
        <v>14.489666685322403</v>
      </c>
      <c r="BE13" s="14">
        <f>BD13*VLOOKUP('Données projet'!$B$11,Paramètres!$A$1:$I$88,3,0)*VLOOKUP('Données projet'!$B$11,Paramètres!$A$1:$I$88,5,0)</f>
        <v>8.0997236770952235</v>
      </c>
      <c r="BF13" s="14">
        <f t="shared" si="37"/>
        <v>2.9260135728985692</v>
      </c>
      <c r="BG13" s="22">
        <f t="shared" si="7"/>
        <v>19.203159043739188</v>
      </c>
      <c r="BH13" s="62">
        <f t="shared" si="8"/>
        <v>288.09204793262802</v>
      </c>
      <c r="BI13" s="62">
        <f ca="1">AVERAGE(OFFSET($BH$3,0,0,'Données projet'!$E$11+1,1))-AVERAGE(OFFSET($H$3,0,0,'Données projet'!$E$11+1,1))</f>
        <v>358.417829688045</v>
      </c>
      <c r="BJ13" s="62">
        <f t="shared" si="38"/>
        <v>394.03759949558713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5.5909090909090908</v>
      </c>
      <c r="BY13" s="13">
        <f>IF('Données projet'!$A$114&gt;35,BY12+BX13-CG12,IF(A13&lt;'Données projet'!$A$114,$BV$205^A13,IF(A13='Données projet'!$A$114,'Données projet'!$B$114,BY12+BX13-CG12)))</f>
        <v>8.9116242956840761</v>
      </c>
      <c r="BZ13" s="14">
        <f>BY13*VLOOKUP('Données projet'!$B$12,Paramètres!$A$1:$I$88,3,0)*VLOOKUP('Données projet'!$B$12,Paramètres!$A$1:$I$88,5,0)</f>
        <v>5.3291513288190782</v>
      </c>
      <c r="CA13" s="14">
        <f t="shared" si="39"/>
        <v>2.0212829858817885</v>
      </c>
      <c r="CB13" s="22">
        <f t="shared" si="10"/>
        <v>12.802006431437341</v>
      </c>
      <c r="CC13" s="62">
        <f t="shared" si="11"/>
        <v>281.69089532032621</v>
      </c>
      <c r="CD13" s="62">
        <f ca="1">AVERAGE(OFFSET($CC$3,0,0,'Données projet'!$E$12+1,1))-AVERAGE(OFFSET($H$3,0,0,'Données projet'!$E$12+1,1))</f>
        <v>405.42845699663462</v>
      </c>
      <c r="CE13" s="62">
        <f t="shared" si="40"/>
        <v>292.26503163353146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2.6904761904761907</v>
      </c>
      <c r="N14" s="14">
        <f>IF('Données projet'!$A$36&gt;35,N13+M14-V13,IF(A14&lt;'Données projet'!$A$36,$K$205^A14,IF(A14='Données projet'!$A$36,'Données projet'!$B$36,N13+M14-V13)))</f>
        <v>29.595238095238091</v>
      </c>
      <c r="O14" s="14">
        <f>N14*VLOOKUP('Données projet'!$B$9,Paramètres!$A$1:$I$88,3,0)*VLOOKUP('Données projet'!$B$9,Paramètres!$A$1:$I$88,5,0)</f>
        <v>26.777771428571423</v>
      </c>
      <c r="P14" s="14">
        <f t="shared" si="33"/>
        <v>8.4165392168828053</v>
      </c>
      <c r="Q14" s="22">
        <f t="shared" si="2"/>
        <v>61.296757707499445</v>
      </c>
      <c r="R14" s="62">
        <f t="shared" si="0"/>
        <v>331.40786881861061</v>
      </c>
      <c r="S14" s="62">
        <f ca="1">AVERAGE(OFFSET($R$3,0,0,'Données projet'!$E$9+1,1))-AVERAGE(OFFSET($H$3,0,0,'Données projet'!$E$9+1,1))</f>
        <v>329.02356155998905</v>
      </c>
      <c r="T14" s="62">
        <f t="shared" si="34"/>
        <v>199.43308683696642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projet'!$B$10,Paramètres!$A$1:$I$88,3,0)*VLOOKUP('Données projet'!$B$10,Paramètres!$A$1:$I$88,5,0)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285.30973491875153</v>
      </c>
      <c r="AN14" s="62">
        <f ca="1">AVERAGE(OFFSET($AM$3,0,0,'Données projet'!$E$10+1,1))-AVERAGE(OFFSET($H$3,0,0,'Données projet'!$E$10+1,1))</f>
        <v>160.55473404658039</v>
      </c>
      <c r="AO14" s="62">
        <f t="shared" si="36"/>
        <v>188.70262429536223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6.833333333333333</v>
      </c>
      <c r="BD14" s="13">
        <f>IF('Données projet'!$A$88&gt;35,BD13+BC14-BL13,IF(A14&lt;'Données projet'!$A$88,$BA$205^A14,IF(A14='Données projet'!$A$88,'Données projet'!$B$88,BD13+BC14-BL13)))</f>
        <v>18.930593712072262</v>
      </c>
      <c r="BE14" s="14">
        <f>BD14*VLOOKUP('Données projet'!$B$11,Paramètres!$A$1:$I$88,3,0)*VLOOKUP('Données projet'!$B$11,Paramètres!$A$1:$I$88,5,0)</f>
        <v>10.582201885048397</v>
      </c>
      <c r="BF14" s="14">
        <f t="shared" si="37"/>
        <v>3.7056760970772684</v>
      </c>
      <c r="BG14" s="22">
        <f t="shared" si="7"/>
        <v>24.884720818868868</v>
      </c>
      <c r="BH14" s="62">
        <f t="shared" si="8"/>
        <v>294.99583192998</v>
      </c>
      <c r="BI14" s="62">
        <f ca="1">AVERAGE(OFFSET($BH$3,0,0,'Données projet'!$E$11+1,1))-AVERAGE(OFFSET($H$3,0,0,'Données projet'!$E$11+1,1))</f>
        <v>358.417829688045</v>
      </c>
      <c r="BJ14" s="62">
        <f t="shared" si="38"/>
        <v>394.03759949558713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5.5909090909090908</v>
      </c>
      <c r="BY14" s="13">
        <f>IF('Données projet'!$A$114&gt;35,BY13+BX14-CG13,IF(A14&lt;'Données projet'!$A$114,$BV$205^A14,IF(A14='Données projet'!$A$114,'Données projet'!$B$114,BY13+BX14-CG13)))</f>
        <v>11.090536506409412</v>
      </c>
      <c r="BZ14" s="14">
        <f>BY14*VLOOKUP('Données projet'!$B$12,Paramètres!$A$1:$I$88,3,0)*VLOOKUP('Données projet'!$B$12,Paramètres!$A$1:$I$88,5,0)</f>
        <v>6.6321408308328289</v>
      </c>
      <c r="CA14" s="14">
        <f t="shared" si="39"/>
        <v>2.4522531963221348</v>
      </c>
      <c r="CB14" s="22">
        <f t="shared" si="10"/>
        <v>15.821986263961561</v>
      </c>
      <c r="CC14" s="62">
        <f t="shared" si="11"/>
        <v>285.93309737507269</v>
      </c>
      <c r="CD14" s="62">
        <f ca="1">AVERAGE(OFFSET($CC$3,0,0,'Données projet'!$E$12+1,1))-AVERAGE(OFFSET($H$3,0,0,'Données projet'!$E$12+1,1))</f>
        <v>405.42845699663462</v>
      </c>
      <c r="CE14" s="62">
        <f t="shared" si="40"/>
        <v>292.26503163353146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2.6904761904761907</v>
      </c>
      <c r="N15" s="14">
        <f>IF('Données projet'!$A$36&gt;35,N14+M15-V14,IF(A15&lt;'Données projet'!$A$36,$K$205^A15,IF(A15='Données projet'!$A$36,'Données projet'!$B$36,N14+M15-V14)))</f>
        <v>32.285714285714285</v>
      </c>
      <c r="O15" s="14">
        <f>N15*VLOOKUP('Données projet'!$B$9,Paramètres!$A$1:$I$88,3,0)*VLOOKUP('Données projet'!$B$9,Paramètres!$A$1:$I$88,5,0)</f>
        <v>29.212114285714282</v>
      </c>
      <c r="P15" s="14">
        <f t="shared" si="33"/>
        <v>9.0891552956301744</v>
      </c>
      <c r="Q15" s="22">
        <f t="shared" si="2"/>
        <v>66.708044520841597</v>
      </c>
      <c r="R15" s="62">
        <f t="shared" si="0"/>
        <v>338.04137785417493</v>
      </c>
      <c r="S15" s="62">
        <f ca="1">AVERAGE(OFFSET($R$3,0,0,'Données projet'!$E$9+1,1))-AVERAGE(OFFSET($H$3,0,0,'Données projet'!$E$9+1,1))</f>
        <v>329.02356155998905</v>
      </c>
      <c r="T15" s="62">
        <f t="shared" si="34"/>
        <v>199.43308683696642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projet'!$B$10,Paramètres!$A$1:$I$88,3,0)*VLOOKUP('Données projet'!$B$10,Paramètres!$A$1:$I$88,5,0)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290.45927468832531</v>
      </c>
      <c r="AN15" s="62">
        <f ca="1">AVERAGE(OFFSET($AM$3,0,0,'Données projet'!$E$10+1,1))-AVERAGE(OFFSET($H$3,0,0,'Données projet'!$E$10+1,1))</f>
        <v>160.55473404658039</v>
      </c>
      <c r="AO15" s="62">
        <f t="shared" si="36"/>
        <v>188.70262429536223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6.833333333333333</v>
      </c>
      <c r="BD15" s="13">
        <f>IF('Données projet'!$A$88&gt;35,BD14+BC15-BL14,IF(A15&lt;'Données projet'!$A$88,$BA$205^A15,IF(A15='Données projet'!$A$88,'Données projet'!$B$88,BD14+BC15-BL14)))</f>
        <v>24.732617117726058</v>
      </c>
      <c r="BE15" s="14">
        <f>BD15*VLOOKUP('Données projet'!$B$11,Paramètres!$A$1:$I$88,3,0)*VLOOKUP('Données projet'!$B$11,Paramètres!$A$1:$I$88,5,0)</f>
        <v>13.825532968808867</v>
      </c>
      <c r="BF15" s="14">
        <f t="shared" si="37"/>
        <v>4.6930866840944168</v>
      </c>
      <c r="BG15" s="22">
        <f t="shared" si="7"/>
        <v>32.253262562139881</v>
      </c>
      <c r="BH15" s="62">
        <f t="shared" si="8"/>
        <v>303.58659589547318</v>
      </c>
      <c r="BI15" s="62">
        <f ca="1">AVERAGE(OFFSET($BH$3,0,0,'Données projet'!$E$11+1,1))-AVERAGE(OFFSET($H$3,0,0,'Données projet'!$E$11+1,1))</f>
        <v>358.417829688045</v>
      </c>
      <c r="BJ15" s="62">
        <f t="shared" si="38"/>
        <v>394.03759949558713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5.5909090909090908</v>
      </c>
      <c r="BY15" s="13">
        <f>IF('Données projet'!$A$114&gt;35,BY14+BX15-CG14,IF(A15&lt;'Données projet'!$A$114,$BV$205^A15,IF(A15='Données projet'!$A$114,'Données projet'!$B$114,BY14+BX15-CG14)))</f>
        <v>13.802197659922571</v>
      </c>
      <c r="BZ15" s="14">
        <f>BY15*VLOOKUP('Données projet'!$B$12,Paramètres!$A$1:$I$88,3,0)*VLOOKUP('Données projet'!$B$12,Paramètres!$A$1:$I$88,5,0)</f>
        <v>8.2537142006336985</v>
      </c>
      <c r="CA15" s="14">
        <f t="shared" si="39"/>
        <v>2.9751132230743558</v>
      </c>
      <c r="CB15" s="22">
        <f t="shared" si="10"/>
        <v>19.556874429624859</v>
      </c>
      <c r="CC15" s="62">
        <f t="shared" si="11"/>
        <v>290.8902077629582</v>
      </c>
      <c r="CD15" s="62">
        <f ca="1">AVERAGE(OFFSET($CC$3,0,0,'Données projet'!$E$12+1,1))-AVERAGE(OFFSET($H$3,0,0,'Données projet'!$E$12+1,1))</f>
        <v>405.42845699663462</v>
      </c>
      <c r="CE15" s="62">
        <f t="shared" si="40"/>
        <v>292.26503163353146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2.6904761904761907</v>
      </c>
      <c r="N16" s="14">
        <f>IF('Données projet'!$A$36&gt;35,N15+M16-V15,IF(A16&lt;'Données projet'!$A$36,$K$205^A16,IF(A16='Données projet'!$A$36,'Données projet'!$B$36,N15+M16-V15)))</f>
        <v>34.976190476190474</v>
      </c>
      <c r="O16" s="14">
        <f>N16*VLOOKUP('Données projet'!$B$9,Paramètres!$A$1:$I$88,3,0)*VLOOKUP('Données projet'!$B$9,Paramètres!$A$1:$I$88,5,0)</f>
        <v>31.646457142857141</v>
      </c>
      <c r="P16" s="14">
        <f t="shared" si="33"/>
        <v>9.7552706028032752</v>
      </c>
      <c r="Q16" s="22">
        <f t="shared" si="2"/>
        <v>72.108009157025222</v>
      </c>
      <c r="R16" s="62">
        <f t="shared" si="0"/>
        <v>344.66356471258075</v>
      </c>
      <c r="S16" s="62">
        <f ca="1">AVERAGE(OFFSET($R$3,0,0,'Données projet'!$E$9+1,1))-AVERAGE(OFFSET($H$3,0,0,'Données projet'!$E$9+1,1))</f>
        <v>329.02356155998905</v>
      </c>
      <c r="T16" s="62">
        <f t="shared" si="34"/>
        <v>199.43308683696642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projet'!$B$10,Paramètres!$A$1:$I$88,3,0)*VLOOKUP('Données projet'!$B$10,Paramètres!$A$1:$I$88,5,0)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296.62721089887179</v>
      </c>
      <c r="AN16" s="62">
        <f ca="1">AVERAGE(OFFSET($AM$3,0,0,'Données projet'!$E$10+1,1))-AVERAGE(OFFSET($H$3,0,0,'Données projet'!$E$10+1,1))</f>
        <v>160.55473404658039</v>
      </c>
      <c r="AO16" s="62">
        <f t="shared" si="36"/>
        <v>188.70262429536223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6.833333333333333</v>
      </c>
      <c r="BD16" s="13">
        <f>IF('Données projet'!$A$88&gt;35,BD15+BC16-BL15,IF(A16&lt;'Données projet'!$A$88,$BA$205^A16,IF(A16='Données projet'!$A$88,'Données projet'!$B$88,BD15+BC16-BL15)))</f>
        <v>32.312898306086737</v>
      </c>
      <c r="BE16" s="14">
        <f>BD16*VLOOKUP('Données projet'!$B$11,Paramètres!$A$1:$I$88,3,0)*VLOOKUP('Données projet'!$B$11,Paramètres!$A$1:$I$88,5,0)</f>
        <v>18.062910153102486</v>
      </c>
      <c r="BF16" s="14">
        <f t="shared" si="37"/>
        <v>5.9436016660484441</v>
      </c>
      <c r="BG16" s="22">
        <f t="shared" si="7"/>
        <v>41.811341418354537</v>
      </c>
      <c r="BH16" s="62">
        <f t="shared" si="8"/>
        <v>314.36689697391006</v>
      </c>
      <c r="BI16" s="62">
        <f ca="1">AVERAGE(OFFSET($BH$3,0,0,'Données projet'!$E$11+1,1))-AVERAGE(OFFSET($H$3,0,0,'Données projet'!$E$11+1,1))</f>
        <v>358.417829688045</v>
      </c>
      <c r="BJ16" s="62">
        <f t="shared" si="38"/>
        <v>394.03759949558713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5.5909090909090908</v>
      </c>
      <c r="BY16" s="13">
        <f>IF('Données projet'!$A$114&gt;35,BY15+BX16-CG15,IF(A16&lt;'Données projet'!$A$114,$BV$205^A16,IF(A16='Données projet'!$A$114,'Données projet'!$B$114,BY15+BX16-CG15)))</f>
        <v>17.17686607257264</v>
      </c>
      <c r="BZ16" s="14">
        <f>BY16*VLOOKUP('Données projet'!$B$12,Paramètres!$A$1:$I$88,3,0)*VLOOKUP('Données projet'!$B$12,Paramètres!$A$1:$I$88,5,0)</f>
        <v>10.27176591139844</v>
      </c>
      <c r="CA16" s="14">
        <f t="shared" si="39"/>
        <v>3.609455460548272</v>
      </c>
      <c r="CB16" s="22">
        <f t="shared" si="10"/>
        <v>24.176460556140523</v>
      </c>
      <c r="CC16" s="62">
        <f t="shared" si="11"/>
        <v>296.73201611169605</v>
      </c>
      <c r="CD16" s="62">
        <f ca="1">AVERAGE(OFFSET($CC$3,0,0,'Données projet'!$E$12+1,1))-AVERAGE(OFFSET($H$3,0,0,'Données projet'!$E$12+1,1))</f>
        <v>405.42845699663462</v>
      </c>
      <c r="CE16" s="62">
        <f t="shared" si="40"/>
        <v>292.26503163353146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2.6904761904761907</v>
      </c>
      <c r="N17" s="14">
        <f>IF('Données projet'!$A$36&gt;35,N16+M17-V16,IF(A17&lt;'Données projet'!$A$36,$K$205^A17,IF(A17='Données projet'!$A$36,'Données projet'!$B$36,N16+M17-V16)))</f>
        <v>37.666666666666664</v>
      </c>
      <c r="O17" s="14">
        <f>N17*VLOOKUP('Données projet'!$B$9,Paramètres!$A$1:$I$88,3,0)*VLOOKUP('Données projet'!$B$9,Paramètres!$A$1:$I$88,5,0)</f>
        <v>34.080799999999996</v>
      </c>
      <c r="P17" s="14">
        <f t="shared" si="33"/>
        <v>10.415442054064398</v>
      </c>
      <c r="Q17" s="22">
        <f t="shared" si="2"/>
        <v>77.497621577495494</v>
      </c>
      <c r="R17" s="62">
        <f t="shared" si="0"/>
        <v>351.27539935527329</v>
      </c>
      <c r="S17" s="62">
        <f ca="1">AVERAGE(OFFSET($R$3,0,0,'Données projet'!$E$9+1,1))-AVERAGE(OFFSET($H$3,0,0,'Données projet'!$E$9+1,1))</f>
        <v>329.02356155998905</v>
      </c>
      <c r="T17" s="62">
        <f t="shared" si="34"/>
        <v>199.43308683696642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projet'!$B$10,Paramètres!$A$1:$I$88,3,0)*VLOOKUP('Données projet'!$B$10,Paramètres!$A$1:$I$88,5,0)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304.07848990595699</v>
      </c>
      <c r="AN17" s="62">
        <f ca="1">AVERAGE(OFFSET($AM$3,0,0,'Données projet'!$E$10+1,1))-AVERAGE(OFFSET($H$3,0,0,'Données projet'!$E$10+1,1))</f>
        <v>160.55473404658039</v>
      </c>
      <c r="AO17" s="62">
        <f t="shared" si="36"/>
        <v>188.70262429536223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6.833333333333333</v>
      </c>
      <c r="BD17" s="13">
        <f>IF('Données projet'!$A$88&gt;35,BD16+BC17-BL16,IF(A17&lt;'Données projet'!$A$88,$BA$205^A17,IF(A17='Données projet'!$A$88,'Données projet'!$B$88,BD16+BC17-BL16)))</f>
        <v>42.216454165344757</v>
      </c>
      <c r="BE17" s="14">
        <f>BD17*VLOOKUP('Données projet'!$B$11,Paramètres!$A$1:$I$88,3,0)*VLOOKUP('Données projet'!$B$11,Paramètres!$A$1:$I$88,5,0)</f>
        <v>23.598997878427717</v>
      </c>
      <c r="BF17" s="14">
        <f t="shared" si="37"/>
        <v>7.5273275655402552</v>
      </c>
      <c r="BG17" s="22">
        <f t="shared" si="7"/>
        <v>54.211683481577545</v>
      </c>
      <c r="BH17" s="62">
        <f t="shared" si="8"/>
        <v>327.98946125935532</v>
      </c>
      <c r="BI17" s="62">
        <f ca="1">AVERAGE(OFFSET($BH$3,0,0,'Données projet'!$E$11+1,1))-AVERAGE(OFFSET($H$3,0,0,'Données projet'!$E$11+1,1))</f>
        <v>358.417829688045</v>
      </c>
      <c r="BJ17" s="62">
        <f t="shared" si="38"/>
        <v>394.03759949558713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5.5909090909090908</v>
      </c>
      <c r="BY17" s="13">
        <f>IF('Données projet'!$A$114&gt;35,BY16+BX17-CG16,IF(A17&lt;'Données projet'!$A$114,$BV$205^A17,IF(A17='Données projet'!$A$114,'Données projet'!$B$114,BY16+BX17-CG16)))</f>
        <v>21.376648512419013</v>
      </c>
      <c r="BZ17" s="14">
        <f>BY17*VLOOKUP('Données projet'!$B$12,Paramètres!$A$1:$I$88,3,0)*VLOOKUP('Données projet'!$B$12,Paramètres!$A$1:$I$88,5,0)</f>
        <v>12.783235810426572</v>
      </c>
      <c r="CA17" s="14">
        <f t="shared" si="39"/>
        <v>4.3790497183898731</v>
      </c>
      <c r="CB17" s="22">
        <f t="shared" si="10"/>
        <v>29.890980629355308</v>
      </c>
      <c r="CC17" s="62">
        <f t="shared" si="11"/>
        <v>303.66875840713305</v>
      </c>
      <c r="CD17" s="62">
        <f ca="1">AVERAGE(OFFSET($CC$3,0,0,'Données projet'!$E$12+1,1))-AVERAGE(OFFSET($H$3,0,0,'Données projet'!$E$12+1,1))</f>
        <v>405.42845699663462</v>
      </c>
      <c r="CE17" s="62">
        <f t="shared" si="40"/>
        <v>292.26503163353146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2.6904761904761907</v>
      </c>
      <c r="N18" s="14">
        <f>IF('Données projet'!$A$36&gt;35,N17+M18-V17,IF(A18&lt;'Données projet'!$A$36,$K$205^A18,IF(A18='Données projet'!$A$36,'Données projet'!$B$36,N17+M18-V17)))</f>
        <v>40.357142857142854</v>
      </c>
      <c r="O18" s="14">
        <f>N18*VLOOKUP('Données projet'!$B$9,Paramètres!$A$1:$I$88,3,0)*VLOOKUP('Données projet'!$B$9,Paramètres!$A$1:$I$88,5,0)</f>
        <v>36.515142857142855</v>
      </c>
      <c r="P18" s="14">
        <f t="shared" si="33"/>
        <v>11.070142497485797</v>
      </c>
      <c r="Q18" s="22">
        <f t="shared" si="2"/>
        <v>82.877705325978226</v>
      </c>
      <c r="R18" s="62">
        <f t="shared" si="0"/>
        <v>357.87770532597824</v>
      </c>
      <c r="S18" s="62">
        <f ca="1">AVERAGE(OFFSET($R$3,0,0,'Données projet'!$E$9+1,1))-AVERAGE(OFFSET($H$3,0,0,'Données projet'!$E$9+1,1))</f>
        <v>329.02356155998905</v>
      </c>
      <c r="T18" s="62">
        <f t="shared" si="34"/>
        <v>199.43308683696642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projet'!$B$10,Paramètres!$A$1:$I$88,3,0)*VLOOKUP('Données projet'!$B$10,Paramètres!$A$1:$I$88,5,0)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313.14719490489927</v>
      </c>
      <c r="AN18" s="62">
        <f ca="1">AVERAGE(OFFSET($AM$3,0,0,'Données projet'!$E$10+1,1))-AVERAGE(OFFSET($H$3,0,0,'Données projet'!$E$10+1,1))</f>
        <v>160.55473404658039</v>
      </c>
      <c r="AO18" s="62">
        <f t="shared" si="36"/>
        <v>188.70262429536223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6.833333333333333</v>
      </c>
      <c r="BD18" s="13">
        <f>IF('Données projet'!$A$88&gt;35,BD17+BC18-BL17,IF(A18&lt;'Données projet'!$A$88,$BA$205^A18,IF(A18='Données projet'!$A$88,'Données projet'!$B$88,BD17+BC18-BL17)))</f>
        <v>55.155343399169432</v>
      </c>
      <c r="BE18" s="14">
        <f>BD18*VLOOKUP('Données projet'!$B$11,Paramètres!$A$1:$I$88,3,0)*VLOOKUP('Données projet'!$B$11,Paramètres!$A$1:$I$88,5,0)</f>
        <v>30.831836960135711</v>
      </c>
      <c r="BF18" s="14">
        <f t="shared" si="37"/>
        <v>9.5330514160469608</v>
      </c>
      <c r="BG18" s="22">
        <f t="shared" si="7"/>
        <v>70.302180588518155</v>
      </c>
      <c r="BH18" s="62">
        <f t="shared" si="8"/>
        <v>345.30218058851813</v>
      </c>
      <c r="BI18" s="62">
        <f ca="1">AVERAGE(OFFSET($BH$3,0,0,'Données projet'!$E$11+1,1))-AVERAGE(OFFSET($H$3,0,0,'Données projet'!$E$11+1,1))</f>
        <v>358.417829688045</v>
      </c>
      <c r="BJ18" s="62">
        <f t="shared" si="38"/>
        <v>394.03759949558713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5.5909090909090908</v>
      </c>
      <c r="BY18" s="13">
        <f>IF('Données projet'!$A$114&gt;35,BY17+BX18-CG17,IF(A18&lt;'Données projet'!$A$114,$BV$205^A18,IF(A18='Données projet'!$A$114,'Données projet'!$B$114,BY17+BX18-CG17)))</f>
        <v>26.603287217402478</v>
      </c>
      <c r="BZ18" s="14">
        <f>BY18*VLOOKUP('Données projet'!$B$12,Paramètres!$A$1:$I$88,3,0)*VLOOKUP('Données projet'!$B$12,Paramètres!$A$1:$I$88,5,0)</f>
        <v>15.908765756006684</v>
      </c>
      <c r="CA18" s="14">
        <f t="shared" si="39"/>
        <v>5.312733913945455</v>
      </c>
      <c r="CB18" s="22">
        <f t="shared" si="10"/>
        <v>36.960778591833304</v>
      </c>
      <c r="CC18" s="62">
        <f t="shared" si="11"/>
        <v>311.96077859183333</v>
      </c>
      <c r="CD18" s="62">
        <f ca="1">AVERAGE(OFFSET($CC$3,0,0,'Données projet'!$E$12+1,1))-AVERAGE(OFFSET($H$3,0,0,'Données projet'!$E$12+1,1))</f>
        <v>405.42845699663462</v>
      </c>
      <c r="CE18" s="62">
        <f t="shared" si="40"/>
        <v>292.26503163353146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2.6904761904761907</v>
      </c>
      <c r="N19" s="14">
        <f>IF('Données projet'!$A$36&gt;35,N18+M19-V18,IF(A19&lt;'Données projet'!$A$36,$K$205^A19,IF(A19='Données projet'!$A$36,'Données projet'!$B$36,N18+M19-V18)))</f>
        <v>43.047619047619044</v>
      </c>
      <c r="O19" s="14">
        <f>N19*VLOOKUP('Données projet'!$B$9,Paramètres!$A$1:$I$88,3,0)*VLOOKUP('Données projet'!$B$9,Paramètres!$A$1:$I$88,5,0)</f>
        <v>38.949485714285707</v>
      </c>
      <c r="P19" s="14">
        <f t="shared" si="33"/>
        <v>11.719778167903632</v>
      </c>
      <c r="Q19" s="22">
        <f t="shared" si="2"/>
        <v>88.248967928146428</v>
      </c>
      <c r="R19" s="62">
        <f t="shared" si="0"/>
        <v>364.47119015036867</v>
      </c>
      <c r="S19" s="62">
        <f ca="1">AVERAGE(OFFSET($R$3,0,0,'Données projet'!$E$9+1,1))-AVERAGE(OFFSET($H$3,0,0,'Données projet'!$E$9+1,1))</f>
        <v>329.02356155998905</v>
      </c>
      <c r="T19" s="62">
        <f t="shared" si="34"/>
        <v>199.43308683696642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projet'!$B$10,Paramètres!$A$1:$I$88,3,0)*VLOOKUP('Données projet'!$B$10,Paramètres!$A$1:$I$88,5,0)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324.25463695142008</v>
      </c>
      <c r="AN19" s="62">
        <f ca="1">AVERAGE(OFFSET($AM$3,0,0,'Données projet'!$E$10+1,1))-AVERAGE(OFFSET($H$3,0,0,'Données projet'!$E$10+1,1))</f>
        <v>160.55473404658039</v>
      </c>
      <c r="AO19" s="62">
        <f t="shared" si="36"/>
        <v>188.70262429536223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6.833333333333333</v>
      </c>
      <c r="BD19" s="13">
        <f>IF('Données projet'!$A$88&gt;35,BD18+BC19-BL18,IF(A19&lt;'Données projet'!$A$88,$BA$205^A19,IF(A19='Données projet'!$A$88,'Données projet'!$B$88,BD18+BC19-BL18)))</f>
        <v>72.059863046895956</v>
      </c>
      <c r="BE19" s="14">
        <f>BD19*VLOOKUP('Données projet'!$B$11,Paramètres!$A$1:$I$88,3,0)*VLOOKUP('Données projet'!$B$11,Paramètres!$A$1:$I$88,5,0)</f>
        <v>40.28146344321484</v>
      </c>
      <c r="BF19" s="14">
        <f t="shared" si="37"/>
        <v>12.073218351362174</v>
      </c>
      <c r="BG19" s="22">
        <f t="shared" si="7"/>
        <v>91.184404125554963</v>
      </c>
      <c r="BH19" s="62">
        <f t="shared" si="8"/>
        <v>367.40662634777721</v>
      </c>
      <c r="BI19" s="62">
        <f ca="1">AVERAGE(OFFSET($BH$3,0,0,'Données projet'!$E$11+1,1))-AVERAGE(OFFSET($H$3,0,0,'Données projet'!$E$11+1,1))</f>
        <v>358.417829688045</v>
      </c>
      <c r="BJ19" s="62">
        <f t="shared" si="38"/>
        <v>394.03759949558713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5.5909090909090908</v>
      </c>
      <c r="BY19" s="13">
        <f>IF('Données projet'!$A$114&gt;35,BY18+BX19-CG18,IF(A19&lt;'Données projet'!$A$114,$BV$205^A19,IF(A19='Données projet'!$A$114,'Données projet'!$B$114,BY18+BX19-CG18)))</f>
        <v>33.107850856996748</v>
      </c>
      <c r="BZ19" s="14">
        <f>BY19*VLOOKUP('Données projet'!$B$12,Paramètres!$A$1:$I$88,3,0)*VLOOKUP('Données projet'!$B$12,Paramètres!$A$1:$I$88,5,0)</f>
        <v>19.798494812484059</v>
      </c>
      <c r="CA19" s="14">
        <f t="shared" si="39"/>
        <v>6.4454946747588586</v>
      </c>
      <c r="CB19" s="22">
        <f t="shared" si="10"/>
        <v>45.70828169028141</v>
      </c>
      <c r="CC19" s="62">
        <f t="shared" si="11"/>
        <v>321.93050391250364</v>
      </c>
      <c r="CD19" s="62">
        <f ca="1">AVERAGE(OFFSET($CC$3,0,0,'Données projet'!$E$12+1,1))-AVERAGE(OFFSET($H$3,0,0,'Données projet'!$E$12+1,1))</f>
        <v>405.42845699663462</v>
      </c>
      <c r="CE19" s="62">
        <f t="shared" si="40"/>
        <v>292.26503163353146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2.6904761904761907</v>
      </c>
      <c r="N20" s="14">
        <f>IF('Données projet'!$A$36&gt;35,N19+M20-V19,IF(A20&lt;'Données projet'!$A$36,$K$205^A20,IF(A20='Données projet'!$A$36,'Données projet'!$B$36,N19+M20-V19)))</f>
        <v>45.738095238095234</v>
      </c>
      <c r="O20" s="14">
        <f>N20*VLOOKUP('Données projet'!$B$9,Paramètres!$A$1:$I$88,3,0)*VLOOKUP('Données projet'!$B$9,Paramètres!$A$1:$I$88,5,0)</f>
        <v>41.383828571428566</v>
      </c>
      <c r="P20" s="14">
        <f t="shared" si="33"/>
        <v>12.364701650741173</v>
      </c>
      <c r="Q20" s="22">
        <f t="shared" si="2"/>
        <v>93.61202347027897</v>
      </c>
      <c r="R20" s="62">
        <f t="shared" si="0"/>
        <v>371.05646791472344</v>
      </c>
      <c r="S20" s="62">
        <f ca="1">AVERAGE(OFFSET($R$3,0,0,'Données projet'!$E$9+1,1))-AVERAGE(OFFSET($H$3,0,0,'Données projet'!$E$9+1,1))</f>
        <v>329.02356155998905</v>
      </c>
      <c r="T20" s="62">
        <f t="shared" si="34"/>
        <v>199.43308683696642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projet'!$B$10,Paramètres!$A$1:$I$88,3,0)*VLOOKUP('Données projet'!$B$10,Paramètres!$A$1:$I$88,5,0)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337.93219182083425</v>
      </c>
      <c r="AN20" s="62">
        <f ca="1">AVERAGE(OFFSET($AM$3,0,0,'Données projet'!$E$10+1,1))-AVERAGE(OFFSET($H$3,0,0,'Données projet'!$E$10+1,1))</f>
        <v>160.55473404658039</v>
      </c>
      <c r="AO20" s="62">
        <f t="shared" si="36"/>
        <v>188.70262429536223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6.833333333333333</v>
      </c>
      <c r="BD20" s="13">
        <f>IF('Données projet'!$A$88&gt;35,BD19+BC20-BL19,IF(A20&lt;'Données projet'!$A$88,$BA$205^A20,IF(A20='Données projet'!$A$88,'Données projet'!$B$88,BD19+BC20-BL19)))</f>
        <v>94.145436186616067</v>
      </c>
      <c r="BE20" s="14">
        <f>BD20*VLOOKUP('Données projet'!$B$11,Paramètres!$A$1:$I$88,3,0)*VLOOKUP('Données projet'!$B$11,Paramètres!$A$1:$I$88,5,0)</f>
        <v>52.627298828318381</v>
      </c>
      <c r="BF20" s="14">
        <f t="shared" si="37"/>
        <v>15.29023551832592</v>
      </c>
      <c r="BG20" s="22">
        <f t="shared" si="7"/>
        <v>118.28970565373884</v>
      </c>
      <c r="BH20" s="62">
        <f t="shared" si="8"/>
        <v>395.73415009818331</v>
      </c>
      <c r="BI20" s="62">
        <f ca="1">AVERAGE(OFFSET($BH$3,0,0,'Données projet'!$E$11+1,1))-AVERAGE(OFFSET($H$3,0,0,'Données projet'!$E$11+1,1))</f>
        <v>358.417829688045</v>
      </c>
      <c r="BJ20" s="62">
        <f t="shared" si="38"/>
        <v>394.03759949558713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5.5909090909090908</v>
      </c>
      <c r="BY20" s="13">
        <f>IF('Données projet'!$A$114&gt;35,BY19+BX20-CG19,IF(A20&lt;'Données projet'!$A$114,$BV$205^A20,IF(A20='Données projet'!$A$114,'Données projet'!$B$114,BY19+BX20-CG19)))</f>
        <v>41.202794955809431</v>
      </c>
      <c r="BZ20" s="14">
        <f>BY20*VLOOKUP('Données projet'!$B$12,Paramètres!$A$1:$I$88,3,0)*VLOOKUP('Données projet'!$B$12,Paramètres!$A$1:$I$88,5,0)</f>
        <v>24.639271383574041</v>
      </c>
      <c r="CA20" s="14">
        <f t="shared" si="39"/>
        <v>7.8197783429910519</v>
      </c>
      <c r="CB20" s="22">
        <f t="shared" si="10"/>
        <v>56.532844940434195</v>
      </c>
      <c r="CC20" s="62">
        <f t="shared" si="11"/>
        <v>333.97728938487865</v>
      </c>
      <c r="CD20" s="62">
        <f ca="1">AVERAGE(OFFSET($CC$3,0,0,'Données projet'!$E$12+1,1))-AVERAGE(OFFSET($H$3,0,0,'Données projet'!$E$12+1,1))</f>
        <v>405.42845699663462</v>
      </c>
      <c r="CE20" s="62">
        <f t="shared" si="40"/>
        <v>292.26503163353146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2.6904761904761907</v>
      </c>
      <c r="N21" s="14">
        <f>IF('Données projet'!$A$36&gt;35,N20+M21-V20,IF(A21&lt;'Données projet'!$A$36,$K$205^A21,IF(A21='Données projet'!$A$36,'Données projet'!$B$36,N20+M21-V20)))</f>
        <v>48.428571428571423</v>
      </c>
      <c r="O21" s="14">
        <f>N21*VLOOKUP('Données projet'!$B$9,Paramètres!$A$1:$I$88,3,0)*VLOOKUP('Données projet'!$B$9,Paramètres!$A$1:$I$88,5,0)</f>
        <v>43.818171428571425</v>
      </c>
      <c r="P21" s="14">
        <f t="shared" si="33"/>
        <v>13.005221707512169</v>
      </c>
      <c r="Q21" s="22">
        <f t="shared" si="2"/>
        <v>98.96740971201227</v>
      </c>
      <c r="R21" s="62">
        <f t="shared" si="0"/>
        <v>377.63407637867897</v>
      </c>
      <c r="S21" s="62">
        <f ca="1">AVERAGE(OFFSET($R$3,0,0,'Données projet'!$E$9+1,1))-AVERAGE(OFFSET($H$3,0,0,'Données projet'!$E$9+1,1))</f>
        <v>329.02356155998905</v>
      </c>
      <c r="T21" s="62">
        <f t="shared" si="34"/>
        <v>199.43308683696642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projet'!$B$10,Paramètres!$A$1:$I$88,3,0)*VLOOKUP('Données projet'!$B$10,Paramètres!$A$1:$I$88,5,0)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354.85013054262487</v>
      </c>
      <c r="AN21" s="62">
        <f ca="1">AVERAGE(OFFSET($AM$3,0,0,'Données projet'!$E$10+1,1))-AVERAGE(OFFSET($H$3,0,0,'Données projet'!$E$10+1,1))</f>
        <v>160.55473404658039</v>
      </c>
      <c r="AO21" s="62">
        <f t="shared" si="36"/>
        <v>188.70262429536223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123</v>
      </c>
      <c r="BB21" s="13">
        <f>VLOOKUP(A21,'Données projet'!$A$87:$I$107,9,0)</f>
        <v>6.833333333333333</v>
      </c>
      <c r="BC21" s="13">
        <f t="array" ref="BC21">INDEX(BB:BB,MIN(IF(ISNUMBER(BB21:BB217),ROW(BB21:BB217),"")))</f>
        <v>6.833333333333333</v>
      </c>
      <c r="BD21" s="13">
        <f>IF('Données projet'!$A$88&gt;35,BD20+BC21-BL20,IF(A21&lt;'Données projet'!$A$88,$BA$205^A21,IF(A21='Données projet'!$A$88,'Données projet'!$B$88,BD20+BC21-BL20)))</f>
        <v>123</v>
      </c>
      <c r="BE21" s="14">
        <f>BD21*VLOOKUP('Données projet'!$B$11,Paramètres!$A$1:$I$88,3,0)*VLOOKUP('Données projet'!$B$11,Paramètres!$A$1:$I$88,5,0)</f>
        <v>68.757000000000005</v>
      </c>
      <c r="BF21" s="14">
        <f t="shared" si="37"/>
        <v>19.364455723564195</v>
      </c>
      <c r="BG21" s="22">
        <f t="shared" si="7"/>
        <v>153.47820205187429</v>
      </c>
      <c r="BH21" s="62">
        <f t="shared" si="8"/>
        <v>432.14486871854098</v>
      </c>
      <c r="BI21" s="62">
        <f ca="1">AVERAGE(OFFSET($BH$3,0,0,'Données projet'!$E$11+1,1))-AVERAGE(OFFSET($H$3,0,0,'Données projet'!$E$11+1,1))</f>
        <v>358.417829688045</v>
      </c>
      <c r="BJ21" s="62">
        <f t="shared" si="38"/>
        <v>394.03759949558713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5.5000000000000014E-2</v>
      </c>
      <c r="BN21" s="17">
        <f>IF(ISNA(VLOOKUP(A21,'Données projet'!$A$87:$I$107,6,0)),0%,VLOOKUP(A21,'Données projet'!$A$87:$I$107,6,0)*VLOOKUP('Données projet'!$B$11,Paramètres!$A$1:$I$88,7,0))</f>
        <v>0.44000000000000011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5.5909090909090908</v>
      </c>
      <c r="BY21" s="13">
        <f>IF('Données projet'!$A$114&gt;35,BY20+BX21-CG20,IF(A21&lt;'Données projet'!$A$114,$BV$205^A21,IF(A21='Données projet'!$A$114,'Données projet'!$B$114,BY20+BX21-CG20)))</f>
        <v>51.276971117915458</v>
      </c>
      <c r="BZ21" s="14">
        <f>BY21*VLOOKUP('Données projet'!$B$12,Paramètres!$A$1:$I$88,3,0)*VLOOKUP('Données projet'!$B$12,Paramètres!$A$1:$I$88,5,0)</f>
        <v>30.663628728513448</v>
      </c>
      <c r="CA21" s="14">
        <f t="shared" si="39"/>
        <v>9.4870815071768995</v>
      </c>
      <c r="CB21" s="22">
        <f t="shared" si="10"/>
        <v>69.929153660494023</v>
      </c>
      <c r="CC21" s="62">
        <f t="shared" si="11"/>
        <v>348.59582032716071</v>
      </c>
      <c r="CD21" s="62">
        <f ca="1">AVERAGE(OFFSET($CC$3,0,0,'Données projet'!$E$12+1,1))-AVERAGE(OFFSET($H$3,0,0,'Données projet'!$E$12+1,1))</f>
        <v>405.42845699663462</v>
      </c>
      <c r="CE21" s="62">
        <f t="shared" si="40"/>
        <v>292.26503163353146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2.6904761904761907</v>
      </c>
      <c r="N22" s="14">
        <f>IF('Données projet'!$A$36&gt;35,N21+M22-V21,IF(A22&lt;'Données projet'!$A$36,$K$205^A22,IF(A22='Données projet'!$A$36,'Données projet'!$B$36,N21+M22-V21)))</f>
        <v>51.119047619047613</v>
      </c>
      <c r="O22" s="14">
        <f>N22*VLOOKUP('Données projet'!$B$9,Paramètres!$A$1:$I$88,3,0)*VLOOKUP('Données projet'!$B$9,Paramètres!$A$1:$I$88,5,0)</f>
        <v>46.252514285714277</v>
      </c>
      <c r="P22" s="14">
        <f t="shared" si="33"/>
        <v>13.641610855281657</v>
      </c>
      <c r="Q22" s="22">
        <f t="shared" si="2"/>
        <v>104.31560128723459</v>
      </c>
      <c r="R22" s="62">
        <f t="shared" si="0"/>
        <v>384.20449017612344</v>
      </c>
      <c r="S22" s="62">
        <f ca="1">AVERAGE(OFFSET($R$3,0,0,'Données projet'!$E$9+1,1))-AVERAGE(OFFSET($H$3,0,0,'Données projet'!$E$9+1,1))</f>
        <v>329.02356155998905</v>
      </c>
      <c r="T22" s="62">
        <f t="shared" si="34"/>
        <v>199.43308683696642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projet'!$B$10,Paramètres!$A$1:$I$88,3,0)*VLOOKUP('Données projet'!$B$10,Paramètres!$A$1:$I$88,5,0)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375.85402022428224</v>
      </c>
      <c r="AN22" s="62">
        <f ca="1">AVERAGE(OFFSET($AM$3,0,0,'Données projet'!$E$10+1,1))-AVERAGE(OFFSET($H$3,0,0,'Données projet'!$E$10+1,1))</f>
        <v>160.55473404658039</v>
      </c>
      <c r="AO22" s="62">
        <f t="shared" si="36"/>
        <v>188.70262429536223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18.571428571428573</v>
      </c>
      <c r="BD22" s="13">
        <f>IF('Données projet'!$A$88&gt;35,BD21+BC22-BL21,IF(A22&lt;'Données projet'!$A$88,$BA$205^A22,IF(A22='Données projet'!$A$88,'Données projet'!$B$88,BD21+BC22-BL21)))</f>
        <v>141.57142857142858</v>
      </c>
      <c r="BE22" s="14">
        <f>BD22*VLOOKUP('Données projet'!$B$11,Paramètres!$A$1:$I$88,3,0)*VLOOKUP('Données projet'!$B$11,Paramètres!$A$1:$I$88,5,0)</f>
        <v>79.138428571428577</v>
      </c>
      <c r="BF22" s="14">
        <f t="shared" si="37"/>
        <v>21.926392863667889</v>
      </c>
      <c r="BG22" s="22">
        <f t="shared" si="7"/>
        <v>176.02123066612634</v>
      </c>
      <c r="BH22" s="62">
        <f t="shared" si="8"/>
        <v>455.91011955501517</v>
      </c>
      <c r="BI22" s="62">
        <f ca="1">AVERAGE(OFFSET($BH$3,0,0,'Données projet'!$E$11+1,1))-AVERAGE(OFFSET($H$3,0,0,'Données projet'!$E$11+1,1))</f>
        <v>358.417829688045</v>
      </c>
      <c r="BJ22" s="62">
        <f t="shared" si="38"/>
        <v>394.03759949558713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5.5909090909090908</v>
      </c>
      <c r="BY22" s="13">
        <f>IF('Données projet'!$A$114&gt;35,BY21+BX22-CG21,IF(A22&lt;'Données projet'!$A$114,$BV$205^A22,IF(A22='Données projet'!$A$114,'Données projet'!$B$114,BY21+BX22-CG21)))</f>
        <v>63.814306040343304</v>
      </c>
      <c r="BZ22" s="14">
        <f>BY22*VLOOKUP('Données projet'!$B$12,Paramètres!$A$1:$I$88,3,0)*VLOOKUP('Données projet'!$B$12,Paramètres!$A$1:$I$88,5,0)</f>
        <v>38.160955012125299</v>
      </c>
      <c r="CA22" s="14">
        <f t="shared" si="39"/>
        <v>11.509880661066306</v>
      </c>
      <c r="CB22" s="22">
        <f t="shared" si="10"/>
        <v>86.510038797475374</v>
      </c>
      <c r="CC22" s="62">
        <f t="shared" si="11"/>
        <v>366.39892768636423</v>
      </c>
      <c r="CD22" s="62">
        <f ca="1">AVERAGE(OFFSET($CC$3,0,0,'Données projet'!$E$12+1,1))-AVERAGE(OFFSET($H$3,0,0,'Données projet'!$E$12+1,1))</f>
        <v>405.42845699663462</v>
      </c>
      <c r="CE22" s="62">
        <f t="shared" si="40"/>
        <v>292.26503163353146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2.6904761904761907</v>
      </c>
      <c r="N23" s="14">
        <f>IF('Données projet'!$A$36&gt;35,N22+M23-V22,IF(A23&lt;'Données projet'!$A$36,$K$205^A23,IF(A23='Données projet'!$A$36,'Données projet'!$B$36,N22+M23-V22)))</f>
        <v>53.809523809523803</v>
      </c>
      <c r="O23" s="14">
        <f>N23*VLOOKUP('Données projet'!$B$9,Paramètres!$A$1:$I$88,3,0)*VLOOKUP('Données projet'!$B$9,Paramètres!$A$1:$I$88,5,0)</f>
        <v>48.686857142857136</v>
      </c>
      <c r="P23" s="14">
        <f t="shared" si="33"/>
        <v>14.274111304929692</v>
      </c>
      <c r="Q23" s="22">
        <f t="shared" si="2"/>
        <v>109.65702004656204</v>
      </c>
      <c r="R23" s="62">
        <f t="shared" si="0"/>
        <v>390.76813115767317</v>
      </c>
      <c r="S23" s="62">
        <f ca="1">AVERAGE(OFFSET($R$3,0,0,'Données projet'!$E$9+1,1))-AVERAGE(OFFSET($H$3,0,0,'Données projet'!$E$9+1,1))</f>
        <v>329.02356155998905</v>
      </c>
      <c r="T23" s="62">
        <f t="shared" si="34"/>
        <v>199.43308683696642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projet'!$B$10,Paramètres!$A$1:$I$88,3,0)*VLOOKUP('Données projet'!$B$10,Paramètres!$A$1:$I$88,5,0)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402.01068734212339</v>
      </c>
      <c r="AN23" s="62">
        <f ca="1">AVERAGE(OFFSET($AM$3,0,0,'Données projet'!$E$10+1,1))-AVERAGE(OFFSET($H$3,0,0,'Données projet'!$E$10+1,1))</f>
        <v>160.55473404658039</v>
      </c>
      <c r="AO23" s="62">
        <f t="shared" si="36"/>
        <v>188.70262429536223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34.5</v>
      </c>
      <c r="AR23" s="17">
        <f>IF(ISNA(VLOOKUP(A23,'Données projet'!$A$61:$I$81,5,0)),0%,VLOOKUP(A23,'Données projet'!$A$61:$I$81,5,0)*VLOOKUP('Données projet'!$B$10,Paramètres!$A$1:$I$88,7,0))</f>
        <v>5.5000000000000007E-2</v>
      </c>
      <c r="AS23" s="17">
        <f>IF(ISNA(VLOOKUP(A23,'Données projet'!$A$61:$I$81,6,0)),0%,VLOOKUP(A23,'Données projet'!$A$61:$I$81,6,0)*VLOOKUP('Données projet'!$B$10,Paramètres!$A$1:$I$88,7,0))</f>
        <v>0.44000000000000006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1.1780290333639751</v>
      </c>
      <c r="AV23" s="23">
        <f>EXP(-LN(2)/25)*AV22+(1-EXP(-LN(2)/25))/(LN(2)/25)*Calculateur!AQ23*Calculateur!AS23*VLOOKUP('Données projet'!$B$10,Paramètres!$A$1:$I$88,3,0)*0.475*44/12</f>
        <v>9.3871254735629517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10.565154506926927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18.571428571428573</v>
      </c>
      <c r="BD23" s="13">
        <f>IF('Données projet'!$A$88&gt;35,BD22+BC23-BL22,IF(A23&lt;'Données projet'!$A$88,$BA$205^A23,IF(A23='Données projet'!$A$88,'Données projet'!$B$88,BD22+BC23-BL22)))</f>
        <v>160.14285714285717</v>
      </c>
      <c r="BE23" s="14">
        <f>BD23*VLOOKUP('Données projet'!$B$11,Paramètres!$A$1:$I$88,3,0)*VLOOKUP('Données projet'!$B$11,Paramètres!$A$1:$I$88,5,0)</f>
        <v>89.519857142857148</v>
      </c>
      <c r="BF23" s="14">
        <f t="shared" si="37"/>
        <v>24.449390072324189</v>
      </c>
      <c r="BG23" s="22">
        <f t="shared" si="7"/>
        <v>198.49643889977418</v>
      </c>
      <c r="BH23" s="62">
        <f t="shared" si="8"/>
        <v>479.60755001088535</v>
      </c>
      <c r="BI23" s="62">
        <f ca="1">AVERAGE(OFFSET($BH$3,0,0,'Données projet'!$E$11+1,1))-AVERAGE(OFFSET($H$3,0,0,'Données projet'!$E$11+1,1))</f>
        <v>358.417829688045</v>
      </c>
      <c r="BJ23" s="62">
        <f t="shared" si="38"/>
        <v>394.03759949558713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5.5909090909090908</v>
      </c>
      <c r="BY23" s="13">
        <f>IF('Données projet'!$A$114&gt;35,BY22+BX23-CG22,IF(A23&lt;'Données projet'!$A$114,$BV$205^A23,IF(A23='Données projet'!$A$114,'Données projet'!$B$114,BY22+BX23-CG22)))</f>
        <v>79.417047587426694</v>
      </c>
      <c r="BZ23" s="14">
        <f>BY23*VLOOKUP('Données projet'!$B$12,Paramètres!$A$1:$I$88,3,0)*VLOOKUP('Données projet'!$B$12,Paramètres!$A$1:$I$88,5,0)</f>
        <v>47.49139445728116</v>
      </c>
      <c r="CA23" s="14">
        <f t="shared" si="39"/>
        <v>13.96397329692701</v>
      </c>
      <c r="CB23" s="22">
        <f t="shared" si="10"/>
        <v>107.03476550524589</v>
      </c>
      <c r="CC23" s="62">
        <f t="shared" si="11"/>
        <v>388.14587661635704</v>
      </c>
      <c r="CD23" s="62">
        <f ca="1">AVERAGE(OFFSET($CC$3,0,0,'Données projet'!$E$12+1,1))-AVERAGE(OFFSET($H$3,0,0,'Données projet'!$E$12+1,1))</f>
        <v>405.42845699663462</v>
      </c>
      <c r="CE23" s="62">
        <f t="shared" si="40"/>
        <v>292.26503163353146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2.6904761904761907</v>
      </c>
      <c r="N24" s="14">
        <f>IF('Données projet'!$A$36&gt;35,N23+M24-V23,IF(A24&lt;'Données projet'!$A$36,$K$205^A24,IF(A24='Données projet'!$A$36,'Données projet'!$B$36,N23+M24-V23)))</f>
        <v>56.499999999999993</v>
      </c>
      <c r="O24" s="14">
        <f>N24*VLOOKUP('Données projet'!$B$9,Paramètres!$A$1:$I$88,3,0)*VLOOKUP('Données projet'!$B$9,Paramètres!$A$1:$I$88,5,0)</f>
        <v>51.121199999999995</v>
      </c>
      <c r="P24" s="14">
        <f t="shared" si="33"/>
        <v>14.902939678011313</v>
      </c>
      <c r="Q24" s="22">
        <f t="shared" si="2"/>
        <v>114.99204327253635</v>
      </c>
      <c r="R24" s="62">
        <f t="shared" si="0"/>
        <v>397.32537660586968</v>
      </c>
      <c r="S24" s="62">
        <f ca="1">AVERAGE(OFFSET($R$3,0,0,'Données projet'!$E$9+1,1))-AVERAGE(OFFSET($H$3,0,0,'Données projet'!$E$9+1,1))</f>
        <v>329.02356155998905</v>
      </c>
      <c r="T24" s="62">
        <f t="shared" si="34"/>
        <v>199.43308683696642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87</v>
      </c>
      <c r="AJ24" s="14">
        <f>AI24*VLOOKUP('Données projet'!$B$10,Paramètres!$A$1:$I$88,3,0)*VLOOKUP('Données projet'!$B$10,Paramètres!$A$1:$I$88,5,0)</f>
        <v>40.716000000000001</v>
      </c>
      <c r="AK24" s="14">
        <f t="shared" si="35"/>
        <v>12.188226385475176</v>
      </c>
      <c r="AL24" s="22">
        <f t="shared" si="4"/>
        <v>92.141527621369264</v>
      </c>
      <c r="AM24" s="62">
        <f t="shared" si="5"/>
        <v>374.47486095470259</v>
      </c>
      <c r="AN24" s="62">
        <f ca="1">AVERAGE(OFFSET($AM$3,0,0,'Données projet'!$E$10+1,1))-AVERAGE(OFFSET($H$3,0,0,'Données projet'!$E$10+1,1))</f>
        <v>160.55473404658039</v>
      </c>
      <c r="AO24" s="62">
        <f t="shared" si="36"/>
        <v>188.70262429536223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1.1549286025464693</v>
      </c>
      <c r="AV24" s="23">
        <f>EXP(-LN(2)/25)*AV23+(1-EXP(-LN(2)/25))/(LN(2)/25)*Calculateur!AQ24*Calculateur!AS24*VLOOKUP('Données projet'!$B$10,Paramètres!$A$1:$I$88,3,0)*0.475*44/12</f>
        <v>9.1304340338408991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10.285362636387369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18.571428571428573</v>
      </c>
      <c r="BD24" s="13">
        <f>IF('Données projet'!$A$88&gt;35,BD23+BC24-BL23,IF(A24&lt;'Données projet'!$A$88,$BA$205^A24,IF(A24='Données projet'!$A$88,'Données projet'!$B$88,BD23+BC24-BL23)))</f>
        <v>178.71428571428575</v>
      </c>
      <c r="BE24" s="14">
        <f>BD24*VLOOKUP('Données projet'!$B$11,Paramètres!$A$1:$I$88,3,0)*VLOOKUP('Données projet'!$B$11,Paramètres!$A$1:$I$88,5,0)</f>
        <v>99.901285714285734</v>
      </c>
      <c r="BF24" s="14">
        <f t="shared" si="37"/>
        <v>26.938478879409491</v>
      </c>
      <c r="BG24" s="22">
        <f t="shared" si="7"/>
        <v>220.91259000068581</v>
      </c>
      <c r="BH24" s="62">
        <f t="shared" si="8"/>
        <v>503.24592333401915</v>
      </c>
      <c r="BI24" s="62">
        <f ca="1">AVERAGE(OFFSET($BH$3,0,0,'Données projet'!$E$11+1,1))-AVERAGE(OFFSET($H$3,0,0,'Données projet'!$E$11+1,1))</f>
        <v>358.417829688045</v>
      </c>
      <c r="BJ24" s="62">
        <f t="shared" si="38"/>
        <v>394.03759949558713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5.5909090909090908</v>
      </c>
      <c r="BY24" s="13">
        <f>IF('Données projet'!$A$114&gt;35,BY23+BX24-CG23,IF(A24&lt;'Données projet'!$A$114,$BV$205^A24,IF(A24='Données projet'!$A$114,'Données projet'!$B$114,BY23+BX24-CG23)))</f>
        <v>98.834694582689295</v>
      </c>
      <c r="BZ24" s="14">
        <f>BY24*VLOOKUP('Données projet'!$B$12,Paramètres!$A$1:$I$88,3,0)*VLOOKUP('Données projet'!$B$12,Paramètres!$A$1:$I$88,5,0)</f>
        <v>59.103147360448204</v>
      </c>
      <c r="CA24" s="14">
        <f t="shared" si="39"/>
        <v>16.94131815778756</v>
      </c>
      <c r="CB24" s="22">
        <f t="shared" si="10"/>
        <v>132.44411077759398</v>
      </c>
      <c r="CC24" s="62">
        <f t="shared" si="11"/>
        <v>414.77744411092726</v>
      </c>
      <c r="CD24" s="62">
        <f ca="1">AVERAGE(OFFSET($CC$3,0,0,'Données projet'!$E$12+1,1))-AVERAGE(OFFSET($H$3,0,0,'Données projet'!$E$12+1,1))</f>
        <v>405.42845699663462</v>
      </c>
      <c r="CE24" s="62">
        <f t="shared" si="40"/>
        <v>292.26503163353146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2.6904761904761907</v>
      </c>
      <c r="N25" s="14">
        <f>IF('Données projet'!$A$36&gt;35,N24+M25-V24,IF(A25&lt;'Données projet'!$A$36,$K$205^A25,IF(A25='Données projet'!$A$36,'Données projet'!$B$36,N24+M25-V24)))</f>
        <v>59.190476190476183</v>
      </c>
      <c r="O25" s="14">
        <f>N25*VLOOKUP('Données projet'!$B$9,Paramètres!$A$1:$I$88,3,0)*VLOOKUP('Données projet'!$B$9,Paramètres!$A$1:$I$88,5,0)</f>
        <v>53.555542857142846</v>
      </c>
      <c r="P25" s="14">
        <f t="shared" si="33"/>
        <v>15.528290799710788</v>
      </c>
      <c r="Q25" s="22">
        <f t="shared" si="2"/>
        <v>120.32101028568674</v>
      </c>
      <c r="R25" s="62">
        <f t="shared" si="0"/>
        <v>403.87656584124227</v>
      </c>
      <c r="S25" s="62">
        <f ca="1">AVERAGE(OFFSET($R$3,0,0,'Données projet'!$E$9+1,1))-AVERAGE(OFFSET($H$3,0,0,'Données projet'!$E$9+1,1))</f>
        <v>329.02356155998905</v>
      </c>
      <c r="T25" s="62">
        <f t="shared" si="34"/>
        <v>199.43308683696642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93.5</v>
      </c>
      <c r="AJ25" s="14">
        <f>AI25*VLOOKUP('Données projet'!$B$10,Paramètres!$A$1:$I$88,3,0)*VLOOKUP('Données projet'!$B$10,Paramètres!$A$1:$I$88,5,0)</f>
        <v>43.757999999999996</v>
      </c>
      <c r="AK25" s="14">
        <f t="shared" si="35"/>
        <v>12.989440353385513</v>
      </c>
      <c r="AL25" s="22">
        <f t="shared" si="4"/>
        <v>98.835125282146407</v>
      </c>
      <c r="AM25" s="62">
        <f t="shared" si="5"/>
        <v>382.39068083770195</v>
      </c>
      <c r="AN25" s="62">
        <f ca="1">AVERAGE(OFFSET($AM$3,0,0,'Données projet'!$E$10+1,1))-AVERAGE(OFFSET($H$3,0,0,'Données projet'!$E$10+1,1))</f>
        <v>160.55473404658039</v>
      </c>
      <c r="AO25" s="62">
        <f t="shared" si="36"/>
        <v>188.70262429536223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1.1322811570874232</v>
      </c>
      <c r="AV25" s="23">
        <f>EXP(-LN(2)/25)*AV24+(1-EXP(-LN(2)/25))/(LN(2)/25)*Calculateur!AQ25*Calculateur!AS25*VLOOKUP('Données projet'!$B$10,Paramètres!$A$1:$I$88,3,0)*0.475*44/12</f>
        <v>8.8807618350368625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10.013042992124285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18.571428571428573</v>
      </c>
      <c r="BD25" s="13">
        <f>IF('Données projet'!$A$88&gt;35,BD24+BC25-BL24,IF(A25&lt;'Données projet'!$A$88,$BA$205^A25,IF(A25='Données projet'!$A$88,'Données projet'!$B$88,BD24+BC25-BL24)))</f>
        <v>197.28571428571433</v>
      </c>
      <c r="BE25" s="14">
        <f>BD25*VLOOKUP('Données projet'!$B$11,Paramètres!$A$1:$I$88,3,0)*VLOOKUP('Données projet'!$B$11,Paramètres!$A$1:$I$88,5,0)</f>
        <v>110.28271428571432</v>
      </c>
      <c r="BF25" s="14">
        <f t="shared" si="37"/>
        <v>29.397584309298498</v>
      </c>
      <c r="BG25" s="22">
        <f t="shared" si="7"/>
        <v>243.27652005298066</v>
      </c>
      <c r="BH25" s="62">
        <f t="shared" si="8"/>
        <v>526.83207560853623</v>
      </c>
      <c r="BI25" s="62">
        <f ca="1">AVERAGE(OFFSET($BH$3,0,0,'Données projet'!$E$11+1,1))-AVERAGE(OFFSET($H$3,0,0,'Données projet'!$E$11+1,1))</f>
        <v>358.417829688045</v>
      </c>
      <c r="BJ25" s="62">
        <f t="shared" si="38"/>
        <v>394.03759949558713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>
        <f>VLOOKUP(A25,'Données projet'!$A$113:$I$133,2,0)</f>
        <v>123</v>
      </c>
      <c r="BW25" s="13">
        <f>VLOOKUP(A25,'Données projet'!$A$113:$I$133,9,0)</f>
        <v>5.5909090909090908</v>
      </c>
      <c r="BX25" s="13">
        <f t="array" ref="BX25">INDEX(BW:BW,MIN(IF(ISNUMBER(BW25:BW221),ROW(BW25:BW221),"")))</f>
        <v>5.5909090909090908</v>
      </c>
      <c r="BY25" s="13">
        <f>IF('Données projet'!$A$114&gt;35,BY24+BX25-CG24,IF(A25&lt;'Données projet'!$A$114,$BV$205^A25,IF(A25='Données projet'!$A$114,'Données projet'!$B$114,BY24+BX25-CG24)))</f>
        <v>123</v>
      </c>
      <c r="BZ25" s="14">
        <f>BY25*VLOOKUP('Données projet'!$B$12,Paramètres!$A$1:$I$88,3,0)*VLOOKUP('Données projet'!$B$12,Paramètres!$A$1:$I$88,5,0)</f>
        <v>73.554000000000016</v>
      </c>
      <c r="CA25" s="14">
        <f t="shared" si="39"/>
        <v>20.553481077376691</v>
      </c>
      <c r="CB25" s="22">
        <f t="shared" si="10"/>
        <v>163.90386287643108</v>
      </c>
      <c r="CC25" s="62">
        <f t="shared" si="11"/>
        <v>447.45941843198659</v>
      </c>
      <c r="CD25" s="62">
        <f ca="1">AVERAGE(OFFSET($CC$3,0,0,'Données projet'!$E$12+1,1))-AVERAGE(OFFSET($H$3,0,0,'Données projet'!$E$12+1,1))</f>
        <v>405.42845699663462</v>
      </c>
      <c r="CE25" s="62">
        <f t="shared" si="40"/>
        <v>292.26503163353146</v>
      </c>
      <c r="CF25" s="16">
        <f>IF(ISNA(VLOOKUP(A25,'Données projet'!$A$113:$I$133,3,0)),0,VLOOKUP(A25,'Données projet'!$A$113:$I$133,3,0))</f>
        <v>1</v>
      </c>
      <c r="CG25" s="16">
        <f>IF(ISNA(VLOOKUP(A25,'Données projet'!$A$113:$I$133,4,0)),0,VLOOKUP(A25,'Données projet'!$A$113:$I$133,4,0))</f>
        <v>16</v>
      </c>
      <c r="CH25" s="17">
        <f>IF(ISNA(VLOOKUP(A25,'Données projet'!$A$113:$I$133,5,0)),0%,VLOOKUP(A25,'Données projet'!$A$113:$I$133,5,0)*VLOOKUP('Données projet'!$B$12,Paramètres!$A$1:$I$88,7,0))</f>
        <v>4.5000000000000005E-2</v>
      </c>
      <c r="CI25" s="17">
        <f>IF(ISNA(VLOOKUP(A25,'Données projet'!$A$113:$I$133,6,0)),0%,VLOOKUP(A25,'Données projet'!$A$113:$I$133,6,0)*VLOOKUP('Données projet'!$B$12,Paramètres!$A$1:$I$88,7,0))</f>
        <v>0.36000000000000004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0.57116559193404848</v>
      </c>
      <c r="CL25" s="23">
        <f>EXP(-LN(2)/25)*CL24+(1-EXP(-LN(2)/25))/(LN(2)/25)*Calculateur!CG25*Calculateur!CI25*VLOOKUP('Données projet'!$B$12,Paramètres!$A$1:$I$88,3,0)*0.475*44/12</f>
        <v>4.5513335629396128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5.1224991548736609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2.6904761904761907</v>
      </c>
      <c r="N26" s="14">
        <f>IF('Données projet'!$A$36&gt;35,N25+M26-V25,IF(A26&lt;'Données projet'!$A$36,$K$205^A26,IF(A26='Données projet'!$A$36,'Données projet'!$B$36,N25+M26-V25)))</f>
        <v>61.880952380952372</v>
      </c>
      <c r="O26" s="14">
        <f>N26*VLOOKUP('Données projet'!$B$9,Paramètres!$A$1:$I$88,3,0)*VLOOKUP('Données projet'!$B$9,Paramètres!$A$1:$I$88,5,0)</f>
        <v>55.989885714285698</v>
      </c>
      <c r="P26" s="14">
        <f t="shared" si="33"/>
        <v>16.150340782673716</v>
      </c>
      <c r="Q26" s="22">
        <f t="shared" si="2"/>
        <v>125.64422781553765</v>
      </c>
      <c r="R26" s="62">
        <f t="shared" si="0"/>
        <v>410.42200559331542</v>
      </c>
      <c r="S26" s="62">
        <f ca="1">AVERAGE(OFFSET($R$3,0,0,'Données projet'!$E$9+1,1))-AVERAGE(OFFSET($H$3,0,0,'Données projet'!$E$9+1,1))</f>
        <v>329.02356155998905</v>
      </c>
      <c r="T26" s="62">
        <f t="shared" si="34"/>
        <v>199.43308683696642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100</v>
      </c>
      <c r="AJ26" s="14">
        <f>AI26*VLOOKUP('Données projet'!$B$10,Paramètres!$A$1:$I$88,3,0)*VLOOKUP('Données projet'!$B$10,Paramètres!$A$1:$I$88,5,0)</f>
        <v>46.800000000000004</v>
      </c>
      <c r="AK26" s="14">
        <f t="shared" si="35"/>
        <v>13.784191583461139</v>
      </c>
      <c r="AL26" s="22">
        <f t="shared" si="4"/>
        <v>105.51746700786147</v>
      </c>
      <c r="AM26" s="62">
        <f t="shared" si="5"/>
        <v>390.29524478563923</v>
      </c>
      <c r="AN26" s="62">
        <f ca="1">AVERAGE(OFFSET($AM$3,0,0,'Données projet'!$E$10+1,1))-AVERAGE(OFFSET($H$3,0,0,'Données projet'!$E$10+1,1))</f>
        <v>160.55473404658039</v>
      </c>
      <c r="AO26" s="62">
        <f t="shared" si="36"/>
        <v>188.70262429536223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1.1100778142202512</v>
      </c>
      <c r="AV26" s="23">
        <f>EXP(-LN(2)/25)*AV25+(1-EXP(-LN(2)/25))/(LN(2)/25)*Calculateur!AQ26*Calculateur!AS26*VLOOKUP('Données projet'!$B$10,Paramètres!$A$1:$I$88,3,0)*0.475*44/12</f>
        <v>8.6379169356388115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9.7479947498590622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18.571428571428573</v>
      </c>
      <c r="BD26" s="13">
        <f>IF('Données projet'!$A$88&gt;35,BD25+BC26-BL25,IF(A26&lt;'Données projet'!$A$88,$BA$205^A26,IF(A26='Données projet'!$A$88,'Données projet'!$B$88,BD25+BC26-BL25)))</f>
        <v>215.85714285714292</v>
      </c>
      <c r="BE26" s="14">
        <f>BD26*VLOOKUP('Données projet'!$B$11,Paramètres!$A$1:$I$88,3,0)*VLOOKUP('Données projet'!$B$11,Paramètres!$A$1:$I$88,5,0)</f>
        <v>120.66414285714291</v>
      </c>
      <c r="BF26" s="14">
        <f t="shared" si="37"/>
        <v>31.829849916688374</v>
      </c>
      <c r="BG26" s="22">
        <f t="shared" si="7"/>
        <v>265.59370408108947</v>
      </c>
      <c r="BH26" s="62">
        <f t="shared" si="8"/>
        <v>550.37148185886724</v>
      </c>
      <c r="BI26" s="62">
        <f ca="1">AVERAGE(OFFSET($BH$3,0,0,'Données projet'!$E$11+1,1))-AVERAGE(OFFSET($H$3,0,0,'Données projet'!$E$11+1,1))</f>
        <v>358.417829688045</v>
      </c>
      <c r="BJ26" s="62">
        <f t="shared" si="38"/>
        <v>394.03759949558713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12.333333333333334</v>
      </c>
      <c r="BY26" s="13">
        <f>IF('Données projet'!$A$114&gt;35,BY25+BX26-CG25,IF(A26&lt;'Données projet'!$A$114,$BV$205^A26,IF(A26='Données projet'!$A$114,'Données projet'!$B$114,BY25+BX26-CG25)))</f>
        <v>119.33333333333334</v>
      </c>
      <c r="BZ26" s="14">
        <f>BY26*VLOOKUP('Données projet'!$B$12,Paramètres!$A$1:$I$88,3,0)*VLOOKUP('Données projet'!$B$12,Paramètres!$A$1:$I$88,5,0)</f>
        <v>71.361333333333349</v>
      </c>
      <c r="CA26" s="14">
        <f t="shared" si="39"/>
        <v>20.011144716858571</v>
      </c>
      <c r="CB26" s="22">
        <f t="shared" si="10"/>
        <v>159.14039927075092</v>
      </c>
      <c r="CC26" s="62">
        <f t="shared" si="11"/>
        <v>443.91817704852872</v>
      </c>
      <c r="CD26" s="62">
        <f ca="1">AVERAGE(OFFSET($CC$3,0,0,'Données projet'!$E$12+1,1))-AVERAGE(OFFSET($H$3,0,0,'Données projet'!$E$12+1,1))</f>
        <v>405.42845699663462</v>
      </c>
      <c r="CE26" s="62">
        <f t="shared" si="40"/>
        <v>292.26503163353146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0.5599653830528335</v>
      </c>
      <c r="CL26" s="23">
        <f>EXP(-LN(2)/25)*CL25+(1-EXP(-LN(2)/25))/(LN(2)/25)*Calculateur!CG26*Calculateur!CI26*VLOOKUP('Données projet'!$B$12,Paramètres!$A$1:$I$88,3,0)*0.475*44/12</f>
        <v>4.4268771073167992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4.9868424903696322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2.6904761904761907</v>
      </c>
      <c r="N27" s="14">
        <f>IF('Données projet'!$A$36&gt;35,N26+M27-V26,IF(A27&lt;'Données projet'!$A$36,$K$205^A27,IF(A27='Données projet'!$A$36,'Données projet'!$B$36,N26+M27-V26)))</f>
        <v>64.571428571428569</v>
      </c>
      <c r="O27" s="14">
        <f>N27*VLOOKUP('Données projet'!$B$9,Paramètres!$A$1:$I$88,3,0)*VLOOKUP('Données projet'!$B$9,Paramètres!$A$1:$I$88,5,0)</f>
        <v>58.424228571428564</v>
      </c>
      <c r="P27" s="14">
        <f t="shared" si="33"/>
        <v>16.769249559387148</v>
      </c>
      <c r="Q27" s="22">
        <f t="shared" si="2"/>
        <v>130.9619744111707</v>
      </c>
      <c r="R27" s="62">
        <f t="shared" si="0"/>
        <v>416.96197441117067</v>
      </c>
      <c r="S27" s="62">
        <f ca="1">AVERAGE(OFFSET($R$3,0,0,'Données projet'!$E$9+1,1))-AVERAGE(OFFSET($H$3,0,0,'Données projet'!$E$9+1,1))</f>
        <v>329.02356155998905</v>
      </c>
      <c r="T27" s="62">
        <f t="shared" si="34"/>
        <v>199.43308683696642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106.5</v>
      </c>
      <c r="AJ27" s="14">
        <f>AI27*VLOOKUP('Données projet'!$B$10,Paramètres!$A$1:$I$88,3,0)*VLOOKUP('Données projet'!$B$10,Paramètres!$A$1:$I$88,5,0)</f>
        <v>49.841999999999999</v>
      </c>
      <c r="AK27" s="14">
        <f t="shared" si="35"/>
        <v>14.572947961232229</v>
      </c>
      <c r="AL27" s="22">
        <f t="shared" si="4"/>
        <v>112.18936769914613</v>
      </c>
      <c r="AM27" s="62">
        <f t="shared" si="5"/>
        <v>398.18936769914615</v>
      </c>
      <c r="AN27" s="62">
        <f ca="1">AVERAGE(OFFSET($AM$3,0,0,'Données projet'!$E$10+1,1))-AVERAGE(OFFSET($H$3,0,0,'Données projet'!$E$10+1,1))</f>
        <v>160.55473404658039</v>
      </c>
      <c r="AO27" s="62">
        <f t="shared" si="36"/>
        <v>188.70262429536223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1.0883098653640026</v>
      </c>
      <c r="AV27" s="23">
        <f>EXP(-LN(2)/25)*AV26+(1-EXP(-LN(2)/25))/(LN(2)/25)*Calculateur!AQ27*Calculateur!AS27*VLOOKUP('Données projet'!$B$10,Paramètres!$A$1:$I$88,3,0)*0.475*44/12</f>
        <v>8.4017126427854585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9.4900225081494618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18.571428571428573</v>
      </c>
      <c r="BD27" s="13">
        <f>IF('Données projet'!$A$88&gt;35,BD26+BC27-BL26,IF(A27&lt;'Données projet'!$A$88,$BA$205^A27,IF(A27='Données projet'!$A$88,'Données projet'!$B$88,BD26+BC27-BL26)))</f>
        <v>234.4285714285715</v>
      </c>
      <c r="BE27" s="14">
        <f>BD27*VLOOKUP('Données projet'!$B$11,Paramètres!$A$1:$I$88,3,0)*VLOOKUP('Données projet'!$B$11,Paramètres!$A$1:$I$88,5,0)</f>
        <v>131.04557142857146</v>
      </c>
      <c r="BF27" s="14">
        <f t="shared" si="37"/>
        <v>34.237847435831519</v>
      </c>
      <c r="BG27" s="22">
        <f t="shared" si="7"/>
        <v>287.86862118883516</v>
      </c>
      <c r="BH27" s="62">
        <f t="shared" si="8"/>
        <v>573.86862118883516</v>
      </c>
      <c r="BI27" s="62">
        <f ca="1">AVERAGE(OFFSET($BH$3,0,0,'Données projet'!$E$11+1,1))-AVERAGE(OFFSET($H$3,0,0,'Données projet'!$E$11+1,1))</f>
        <v>358.417829688045</v>
      </c>
      <c r="BJ27" s="62">
        <f t="shared" si="38"/>
        <v>394.03759949558713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12.333333333333334</v>
      </c>
      <c r="BY27" s="13">
        <f>IF('Données projet'!$A$114&gt;35,BY26+BX27-CG26,IF(A27&lt;'Données projet'!$A$114,$BV$205^A27,IF(A27='Données projet'!$A$114,'Données projet'!$B$114,BY26+BX27-CG26)))</f>
        <v>131.66666666666669</v>
      </c>
      <c r="BZ27" s="14">
        <f>BY27*VLOOKUP('Données projet'!$B$12,Paramètres!$A$1:$I$88,3,0)*VLOOKUP('Données projet'!$B$12,Paramètres!$A$1:$I$88,5,0)</f>
        <v>78.736666666666679</v>
      </c>
      <c r="CA27" s="14">
        <f t="shared" si="39"/>
        <v>21.828006984037064</v>
      </c>
      <c r="CB27" s="22">
        <f t="shared" si="10"/>
        <v>175.15013994164235</v>
      </c>
      <c r="CC27" s="62">
        <f t="shared" si="11"/>
        <v>461.15013994164235</v>
      </c>
      <c r="CD27" s="62">
        <f ca="1">AVERAGE(OFFSET($CC$3,0,0,'Données projet'!$E$12+1,1))-AVERAGE(OFFSET($H$3,0,0,'Données projet'!$E$12+1,1))</f>
        <v>405.42845699663462</v>
      </c>
      <c r="CE27" s="62">
        <f t="shared" si="40"/>
        <v>292.26503163353146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0.54898480343632627</v>
      </c>
      <c r="CL27" s="23">
        <f>EXP(-LN(2)/25)*CL26+(1-EXP(-LN(2)/25))/(LN(2)/25)*Calculateur!CG27*Calculateur!CI27*VLOOKUP('Données projet'!$B$12,Paramètres!$A$1:$I$88,3,0)*0.475*44/12</f>
        <v>4.3058239200178718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4.8548087234541981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2.6904761904761907</v>
      </c>
      <c r="N28" s="14">
        <f>IF('Données projet'!$A$36&gt;35,N27+M28-V27,IF(A28&lt;'Données projet'!$A$36,$K$205^A28,IF(A28='Données projet'!$A$36,'Données projet'!$B$36,N27+M28-V27)))</f>
        <v>67.261904761904759</v>
      </c>
      <c r="O28" s="14">
        <f>N28*VLOOKUP('Données projet'!$B$9,Paramètres!$A$1:$I$88,3,0)*VLOOKUP('Données projet'!$B$9,Paramètres!$A$1:$I$88,5,0)</f>
        <v>60.858571428571423</v>
      </c>
      <c r="P28" s="14">
        <f t="shared" si="33"/>
        <v>17.385162980603361</v>
      </c>
      <c r="Q28" s="22">
        <f t="shared" si="2"/>
        <v>136.27450409597938</v>
      </c>
      <c r="R28" s="62">
        <f t="shared" si="0"/>
        <v>423.49672631820158</v>
      </c>
      <c r="S28" s="62">
        <f ca="1">AVERAGE(OFFSET($R$3,0,0,'Données projet'!$E$9+1,1))-AVERAGE(OFFSET($H$3,0,0,'Données projet'!$E$9+1,1))</f>
        <v>329.02356155998905</v>
      </c>
      <c r="T28" s="62">
        <f t="shared" si="34"/>
        <v>199.43308683696642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113</v>
      </c>
      <c r="AJ28" s="14">
        <f>AI28*VLOOKUP('Données projet'!$B$10,Paramètres!$A$1:$I$88,3,0)*VLOOKUP('Données projet'!$B$10,Paramètres!$A$1:$I$88,5,0)</f>
        <v>52.884</v>
      </c>
      <c r="AK28" s="14">
        <f t="shared" si="35"/>
        <v>15.356117032205706</v>
      </c>
      <c r="AL28" s="22">
        <f t="shared" si="4"/>
        <v>118.85153716442493</v>
      </c>
      <c r="AM28" s="62">
        <f t="shared" si="5"/>
        <v>406.07375938664717</v>
      </c>
      <c r="AN28" s="62">
        <f ca="1">AVERAGE(OFFSET($AM$3,0,0,'Données projet'!$E$10+1,1))-AVERAGE(OFFSET($H$3,0,0,'Données projet'!$E$10+1,1))</f>
        <v>160.55473404658039</v>
      </c>
      <c r="AO28" s="62">
        <f t="shared" si="36"/>
        <v>188.70262429536223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1.0669687727076873</v>
      </c>
      <c r="AV28" s="23">
        <f>EXP(-LN(2)/25)*AV27+(1-EXP(-LN(2)/25))/(LN(2)/25)*Calculateur!AQ28*Calculateur!AS28*VLOOKUP('Données projet'!$B$10,Paramètres!$A$1:$I$88,3,0)*0.475*44/12</f>
        <v>8.1719673687416243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9.2389361414493116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253</v>
      </c>
      <c r="BB28" s="13">
        <f>VLOOKUP(A28,'Données projet'!$A$87:$I$107,9,0)</f>
        <v>18.571428571428573</v>
      </c>
      <c r="BC28" s="13">
        <f t="array" ref="BC28">INDEX(BB:BB,MIN(IF(ISNUMBER(BB28:BB224),ROW(BB28:BB224),"")))</f>
        <v>18.571428571428573</v>
      </c>
      <c r="BD28" s="13">
        <f>IF('Données projet'!$A$88&gt;35,BD27+BC28-BL27,IF(A28&lt;'Données projet'!$A$88,$BA$205^A28,IF(A28='Données projet'!$A$88,'Données projet'!$B$88,BD27+BC28-BL27)))</f>
        <v>253.00000000000009</v>
      </c>
      <c r="BE28" s="14">
        <f>BD28*VLOOKUP('Données projet'!$B$11,Paramètres!$A$1:$I$88,3,0)*VLOOKUP('Données projet'!$B$11,Paramètres!$A$1:$I$88,5,0)</f>
        <v>141.42700000000005</v>
      </c>
      <c r="BF28" s="14">
        <f t="shared" si="37"/>
        <v>36.623717959686019</v>
      </c>
      <c r="BG28" s="22">
        <f t="shared" si="7"/>
        <v>310.10500044645323</v>
      </c>
      <c r="BH28" s="62">
        <f t="shared" si="8"/>
        <v>597.3272226686754</v>
      </c>
      <c r="BI28" s="62">
        <f ca="1">AVERAGE(OFFSET($BH$3,0,0,'Données projet'!$E$11+1,1))-AVERAGE(OFFSET($H$3,0,0,'Données projet'!$E$11+1,1))</f>
        <v>358.417829688045</v>
      </c>
      <c r="BJ28" s="62">
        <f t="shared" si="38"/>
        <v>394.03759949558713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59</v>
      </c>
      <c r="BM28" s="17">
        <f>IF(ISNA(VLOOKUP(A28,'Données projet'!$A$87:$I$107,5,0)),0%,VLOOKUP(A28,'Données projet'!$A$87:$I$107,5,0)*VLOOKUP('Données projet'!$B$11,Paramètres!$A$1:$I$88,7,0))</f>
        <v>0.16500000000000001</v>
      </c>
      <c r="BN28" s="17">
        <f>IF(ISNA(VLOOKUP(A28,'Données projet'!$A$87:$I$107,6,0)),0%,VLOOKUP(A28,'Données projet'!$A$87:$I$107,6,0)*VLOOKUP('Données projet'!$B$11,Paramètres!$A$1:$I$88,7,0))</f>
        <v>0.27500000000000002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7.2189846803004931</v>
      </c>
      <c r="BQ28" s="23">
        <f>EXP(-LN(2)/25)*BQ27+(1-EXP(-LN(2)/25))/(LN(2)/25)*Calculateur!BL28*Calculateur!BN28*VLOOKUP('Données projet'!$B$11,Paramètres!$A$1:$I$88,3,0)*0.475*44/12</f>
        <v>11.984267978275566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19.203252658576059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144</v>
      </c>
      <c r="BW28" s="13">
        <f>VLOOKUP(A28,'Données projet'!$A$113:$I$133,9,0)</f>
        <v>12.333333333333334</v>
      </c>
      <c r="BX28" s="13">
        <f t="array" ref="BX28">INDEX(BW:BW,MIN(IF(ISNUMBER(BW28:BW224),ROW(BW28:BW224),"")))</f>
        <v>12.333333333333334</v>
      </c>
      <c r="BY28" s="13">
        <f>IF('Données projet'!$A$114&gt;35,BY27+BX28-CG27,IF(A28&lt;'Données projet'!$A$114,$BV$205^A28,IF(A28='Données projet'!$A$114,'Données projet'!$B$114,BY27+BX28-CG27)))</f>
        <v>144.00000000000003</v>
      </c>
      <c r="BZ28" s="14">
        <f>BY28*VLOOKUP('Données projet'!$B$12,Paramètres!$A$1:$I$88,3,0)*VLOOKUP('Données projet'!$B$12,Paramètres!$A$1:$I$88,5,0)</f>
        <v>86.112000000000009</v>
      </c>
      <c r="CA28" s="14">
        <f t="shared" si="39"/>
        <v>23.625136642852297</v>
      </c>
      <c r="CB28" s="22">
        <f t="shared" si="10"/>
        <v>191.12551298630106</v>
      </c>
      <c r="CC28" s="62">
        <f t="shared" si="11"/>
        <v>478.34773520852332</v>
      </c>
      <c r="CD28" s="62">
        <f ca="1">AVERAGE(OFFSET($CC$3,0,0,'Données projet'!$E$12+1,1))-AVERAGE(OFFSET($H$3,0,0,'Données projet'!$E$12+1,1))</f>
        <v>405.42845699663462</v>
      </c>
      <c r="CE28" s="62">
        <f t="shared" si="40"/>
        <v>292.26503163353146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17</v>
      </c>
      <c r="CH28" s="17">
        <f>IF(ISNA(VLOOKUP(A28,'Données projet'!$A$113:$I$133,5,0)),0%,VLOOKUP(A28,'Données projet'!$A$113:$I$133,5,0)*VLOOKUP('Données projet'!$B$12,Paramètres!$A$1:$I$88,7,0))</f>
        <v>0.13500000000000001</v>
      </c>
      <c r="CI28" s="17">
        <f>IF(ISNA(VLOOKUP(A28,'Données projet'!$A$113:$I$133,6,0)),0%,VLOOKUP(A28,'Données projet'!$A$113:$I$133,6,0)*VLOOKUP('Données projet'!$B$12,Paramètres!$A$1:$I$88,7,0))</f>
        <v>0.22500000000000001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2.3588098705783862</v>
      </c>
      <c r="CL28" s="23">
        <f>EXP(-LN(2)/25)*CL27+(1-EXP(-LN(2)/25))/(LN(2)/25)*Calculateur!CG28*Calculateur!CI28*VLOOKUP('Données projet'!$B$12,Paramètres!$A$1:$I$88,3,0)*0.475*44/12</f>
        <v>7.2104508826311307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9.569260753209516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2.6904761904761907</v>
      </c>
      <c r="N29" s="14">
        <f>IF('Données projet'!$A$36&gt;35,N28+M29-V28,IF(A29&lt;'Données projet'!$A$36,$K$205^A29,IF(A29='Données projet'!$A$36,'Données projet'!$B$36,N28+M29-V28)))</f>
        <v>69.952380952380949</v>
      </c>
      <c r="O29" s="14">
        <f>N29*VLOOKUP('Données projet'!$B$9,Paramètres!$A$1:$I$88,3,0)*VLOOKUP('Données projet'!$B$9,Paramètres!$A$1:$I$88,5,0)</f>
        <v>63.292914285714282</v>
      </c>
      <c r="P29" s="14">
        <f t="shared" si="33"/>
        <v>17.998214568565054</v>
      </c>
      <c r="Q29" s="22">
        <f t="shared" si="2"/>
        <v>141.58204942120318</v>
      </c>
      <c r="R29" s="62">
        <f t="shared" si="0"/>
        <v>430.02649386564764</v>
      </c>
      <c r="S29" s="62">
        <f ca="1">AVERAGE(OFFSET($R$3,0,0,'Données projet'!$E$9+1,1))-AVERAGE(OFFSET($H$3,0,0,'Données projet'!$E$9+1,1))</f>
        <v>329.02356155998905</v>
      </c>
      <c r="T29" s="62">
        <f t="shared" si="34"/>
        <v>199.43308683696642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119.5</v>
      </c>
      <c r="AJ29" s="14">
        <f>AI29*VLOOKUP('Données projet'!$B$10,Paramètres!$A$1:$I$88,3,0)*VLOOKUP('Données projet'!$B$10,Paramètres!$A$1:$I$88,5,0)</f>
        <v>55.925999999999995</v>
      </c>
      <c r="AK29" s="14">
        <f t="shared" si="35"/>
        <v>16.134056807806701</v>
      </c>
      <c r="AL29" s="22">
        <f t="shared" si="4"/>
        <v>125.50459894026331</v>
      </c>
      <c r="AM29" s="62">
        <f t="shared" si="5"/>
        <v>413.94904338470775</v>
      </c>
      <c r="AN29" s="62">
        <f ca="1">AVERAGE(OFFSET($AM$3,0,0,'Données projet'!$E$10+1,1))-AVERAGE(OFFSET($H$3,0,0,'Données projet'!$E$10+1,1))</f>
        <v>160.55473404658039</v>
      </c>
      <c r="AO29" s="62">
        <f t="shared" si="36"/>
        <v>188.70262429536223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1.0460461658615812</v>
      </c>
      <c r="AV29" s="23">
        <f>EXP(-LN(2)/25)*AV28+(1-EXP(-LN(2)/25))/(LN(2)/25)*Calculateur!AQ29*Calculateur!AS29*VLOOKUP('Données projet'!$B$10,Paramètres!$A$1:$I$88,3,0)*0.475*44/12</f>
        <v>7.9485044912982978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8.9945506571598788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19.714285714285715</v>
      </c>
      <c r="BD29" s="13">
        <f>IF('Données projet'!$A$88&gt;35,BD28+BC29-BL28,IF(A29&lt;'Données projet'!$A$88,$BA$205^A29,IF(A29='Données projet'!$A$88,'Données projet'!$B$88,BD28+BC29-BL28)))</f>
        <v>213.71428571428578</v>
      </c>
      <c r="BE29" s="14">
        <f>BD29*VLOOKUP('Données projet'!$B$11,Paramètres!$A$1:$I$88,3,0)*VLOOKUP('Données projet'!$B$11,Paramètres!$A$1:$I$88,5,0)</f>
        <v>119.46628571428575</v>
      </c>
      <c r="BF29" s="14">
        <f t="shared" si="37"/>
        <v>31.550486926257513</v>
      </c>
      <c r="BG29" s="22">
        <f t="shared" si="7"/>
        <v>263.02087901561282</v>
      </c>
      <c r="BH29" s="62">
        <f t="shared" si="8"/>
        <v>551.46532346005733</v>
      </c>
      <c r="BI29" s="62">
        <f ca="1">AVERAGE(OFFSET($BH$3,0,0,'Données projet'!$E$11+1,1))-AVERAGE(OFFSET($H$3,0,0,'Données projet'!$E$11+1,1))</f>
        <v>358.417829688045</v>
      </c>
      <c r="BJ29" s="62">
        <f t="shared" si="38"/>
        <v>394.03759949558713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7.0774247938656805</v>
      </c>
      <c r="BQ29" s="23">
        <f>EXP(-LN(2)/25)*BQ28+(1-EXP(-LN(2)/25))/(LN(2)/25)*Calculateur!BL29*Calculateur!BN29*VLOOKUP('Données projet'!$B$11,Paramètres!$A$1:$I$88,3,0)*0.475*44/12</f>
        <v>11.656557540184359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18.73398233405004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13.4</v>
      </c>
      <c r="BY29" s="13">
        <f>IF('Données projet'!$A$114&gt;35,BY28+BX29-CG28,IF(A29&lt;'Données projet'!$A$114,$BV$205^A29,IF(A29='Données projet'!$A$114,'Données projet'!$B$114,BY28+BX29-CG28)))</f>
        <v>140.40000000000003</v>
      </c>
      <c r="BZ29" s="14">
        <f>BY29*VLOOKUP('Données projet'!$B$12,Paramètres!$A$1:$I$88,3,0)*VLOOKUP('Données projet'!$B$12,Paramètres!$A$1:$I$88,5,0)</f>
        <v>83.959200000000024</v>
      </c>
      <c r="CA29" s="14">
        <f t="shared" si="39"/>
        <v>23.102490880810642</v>
      </c>
      <c r="CB29" s="22">
        <f t="shared" si="10"/>
        <v>186.46577828407854</v>
      </c>
      <c r="CC29" s="62">
        <f t="shared" si="11"/>
        <v>474.91022272852297</v>
      </c>
      <c r="CD29" s="62">
        <f ca="1">AVERAGE(OFFSET($CC$3,0,0,'Données projet'!$E$12+1,1))-AVERAGE(OFFSET($H$3,0,0,'Données projet'!$E$12+1,1))</f>
        <v>405.42845699663462</v>
      </c>
      <c r="CE29" s="62">
        <f t="shared" si="40"/>
        <v>292.26503163353146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2.3125550477483023</v>
      </c>
      <c r="CL29" s="23">
        <f>EXP(-LN(2)/25)*CL28+(1-EXP(-LN(2)/25))/(LN(2)/25)*Calculateur!CG29*Calculateur!CI29*VLOOKUP('Données projet'!$B$12,Paramètres!$A$1:$I$88,3,0)*0.475*44/12</f>
        <v>7.0132807240644501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9.325835771812752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2.6904761904761907</v>
      </c>
      <c r="N30" s="14">
        <f>IF('Données projet'!$A$36&gt;35,N29+M30-V29,IF(A30&lt;'Données projet'!$A$36,$K$205^A30,IF(A30='Données projet'!$A$36,'Données projet'!$B$36,N29+M30-V29)))</f>
        <v>72.642857142857139</v>
      </c>
      <c r="O30" s="14">
        <f>N30*VLOOKUP('Données projet'!$B$9,Paramètres!$A$1:$I$88,3,0)*VLOOKUP('Données projet'!$B$9,Paramètres!$A$1:$I$88,5,0)</f>
        <v>65.727257142857141</v>
      </c>
      <c r="P30" s="14">
        <f t="shared" si="33"/>
        <v>18.608526992916694</v>
      </c>
      <c r="Q30" s="22">
        <f t="shared" si="2"/>
        <v>146.88482403647276</v>
      </c>
      <c r="R30" s="62">
        <f t="shared" si="0"/>
        <v>436.55149070313945</v>
      </c>
      <c r="S30" s="62">
        <f ca="1">AVERAGE(OFFSET($R$3,0,0,'Données projet'!$E$9+1,1))-AVERAGE(OFFSET($H$3,0,0,'Données projet'!$E$9+1,1))</f>
        <v>329.02356155998905</v>
      </c>
      <c r="T30" s="62">
        <f t="shared" si="34"/>
        <v>199.43308683696642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126</v>
      </c>
      <c r="AJ30" s="14">
        <f>AI30*VLOOKUP('Données projet'!$B$10,Paramètres!$A$1:$I$88,3,0)*VLOOKUP('Données projet'!$B$10,Paramètres!$A$1:$I$88,5,0)</f>
        <v>58.968000000000004</v>
      </c>
      <c r="AK30" s="14">
        <f t="shared" si="35"/>
        <v>16.90708415297112</v>
      </c>
      <c r="AL30" s="22">
        <f t="shared" si="4"/>
        <v>132.14910489975804</v>
      </c>
      <c r="AM30" s="62">
        <f t="shared" si="5"/>
        <v>421.8157715664247</v>
      </c>
      <c r="AN30" s="62">
        <f ca="1">AVERAGE(OFFSET($AM$3,0,0,'Données projet'!$E$10+1,1))-AVERAGE(OFFSET($H$3,0,0,'Données projet'!$E$10+1,1))</f>
        <v>160.55473404658039</v>
      </c>
      <c r="AO30" s="62">
        <f t="shared" si="36"/>
        <v>188.70262429536223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1.025533838574197</v>
      </c>
      <c r="AV30" s="23">
        <f>EXP(-LN(2)/25)*AV29+(1-EXP(-LN(2)/25))/(LN(2)/25)*Calculateur!AQ30*Calculateur!AS30*VLOOKUP('Données projet'!$B$10,Paramètres!$A$1:$I$88,3,0)*0.475*44/12</f>
        <v>7.7311522179900614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8.7566860565642592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19.714285714285715</v>
      </c>
      <c r="BD30" s="13">
        <f>IF('Données projet'!$A$88&gt;35,BD29+BC30-BL29,IF(A30&lt;'Données projet'!$A$88,$BA$205^A30,IF(A30='Données projet'!$A$88,'Données projet'!$B$88,BD29+BC30-BL29)))</f>
        <v>233.4285714285715</v>
      </c>
      <c r="BE30" s="14">
        <f>BD30*VLOOKUP('Données projet'!$B$11,Paramètres!$A$1:$I$88,3,0)*VLOOKUP('Données projet'!$B$11,Paramètres!$A$1:$I$88,5,0)</f>
        <v>130.48657142857147</v>
      </c>
      <c r="BF30" s="14">
        <f t="shared" si="37"/>
        <v>34.108767245824239</v>
      </c>
      <c r="BG30" s="22">
        <f t="shared" si="7"/>
        <v>286.67021485790582</v>
      </c>
      <c r="BH30" s="62">
        <f t="shared" si="8"/>
        <v>576.3368815245725</v>
      </c>
      <c r="BI30" s="62">
        <f ca="1">AVERAGE(OFFSET($BH$3,0,0,'Données projet'!$E$11+1,1))-AVERAGE(OFFSET($H$3,0,0,'Données projet'!$E$11+1,1))</f>
        <v>358.417829688045</v>
      </c>
      <c r="BJ30" s="62">
        <f t="shared" si="38"/>
        <v>394.03759949558713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6.9386408104608499</v>
      </c>
      <c r="BQ30" s="23">
        <f>EXP(-LN(2)/25)*BQ29+(1-EXP(-LN(2)/25))/(LN(2)/25)*Calculateur!BL30*Calculateur!BN30*VLOOKUP('Données projet'!$B$11,Paramètres!$A$1:$I$88,3,0)*0.475*44/12</f>
        <v>11.337808361256299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18.276449171717147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13.4</v>
      </c>
      <c r="BY30" s="13">
        <f>IF('Données projet'!$A$114&gt;35,BY29+BX30-CG29,IF(A30&lt;'Données projet'!$A$114,$BV$205^A30,IF(A30='Données projet'!$A$114,'Données projet'!$B$114,BY29+BX30-CG29)))</f>
        <v>153.80000000000004</v>
      </c>
      <c r="BZ30" s="14">
        <f>BY30*VLOOKUP('Données projet'!$B$12,Paramètres!$A$1:$I$88,3,0)*VLOOKUP('Données projet'!$B$12,Paramètres!$A$1:$I$88,5,0)</f>
        <v>91.972400000000022</v>
      </c>
      <c r="CA30" s="14">
        <f t="shared" si="39"/>
        <v>25.040318527820091</v>
      </c>
      <c r="CB30" s="22">
        <f t="shared" si="10"/>
        <v>203.79715143595334</v>
      </c>
      <c r="CC30" s="62">
        <f t="shared" si="11"/>
        <v>493.46381810262005</v>
      </c>
      <c r="CD30" s="62">
        <f ca="1">AVERAGE(OFFSET($CC$3,0,0,'Données projet'!$E$12+1,1))-AVERAGE(OFFSET($H$3,0,0,'Données projet'!$E$12+1,1))</f>
        <v>405.42845699663462</v>
      </c>
      <c r="CE30" s="62">
        <f t="shared" si="40"/>
        <v>292.26503163353146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2.26720725378126</v>
      </c>
      <c r="CL30" s="23">
        <f>EXP(-LN(2)/25)*CL29+(1-EXP(-LN(2)/25))/(LN(2)/25)*Calculateur!CG30*Calculateur!CI30*VLOOKUP('Données projet'!$B$12,Paramètres!$A$1:$I$88,3,0)*0.475*44/12</f>
        <v>6.8215021938525036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9.0887094476337644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2.6904761904761907</v>
      </c>
      <c r="N31" s="14">
        <f>IF('Données projet'!$A$36&gt;35,N30+M31-V30,IF(A31&lt;'Données projet'!$A$36,$K$205^A31,IF(A31='Données projet'!$A$36,'Données projet'!$B$36,N30+M31-V30)))</f>
        <v>75.333333333333329</v>
      </c>
      <c r="O31" s="14">
        <f>N31*VLOOKUP('Données projet'!$B$9,Paramètres!$A$1:$I$88,3,0)*VLOOKUP('Données projet'!$B$9,Paramètres!$A$1:$I$88,5,0)</f>
        <v>68.161599999999993</v>
      </c>
      <c r="P31" s="14">
        <f t="shared" si="33"/>
        <v>19.216213321815864</v>
      </c>
      <c r="Q31" s="22">
        <f t="shared" si="2"/>
        <v>152.18302486882931</v>
      </c>
      <c r="R31" s="62">
        <f t="shared" si="0"/>
        <v>443.07191375771816</v>
      </c>
      <c r="S31" s="62">
        <f ca="1">AVERAGE(OFFSET($R$3,0,0,'Données projet'!$E$9+1,1))-AVERAGE(OFFSET($H$3,0,0,'Données projet'!$E$9+1,1))</f>
        <v>329.02356155998905</v>
      </c>
      <c r="T31" s="62">
        <f t="shared" si="34"/>
        <v>199.43308683696642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132.5</v>
      </c>
      <c r="AJ31" s="14">
        <f>AI31*VLOOKUP('Données projet'!$B$10,Paramètres!$A$1:$I$88,3,0)*VLOOKUP('Données projet'!$B$10,Paramètres!$A$1:$I$88,5,0)</f>
        <v>62.01</v>
      </c>
      <c r="AK31" s="14">
        <f t="shared" si="35"/>
        <v>17.675481393668683</v>
      </c>
      <c r="AL31" s="22">
        <f t="shared" si="4"/>
        <v>138.78554676063962</v>
      </c>
      <c r="AM31" s="62">
        <f t="shared" si="5"/>
        <v>429.6744356495285</v>
      </c>
      <c r="AN31" s="62">
        <f ca="1">AVERAGE(OFFSET($AM$3,0,0,'Données projet'!$E$10+1,1))-AVERAGE(OFFSET($H$3,0,0,'Données projet'!$E$10+1,1))</f>
        <v>160.55473404658039</v>
      </c>
      <c r="AO31" s="62">
        <f t="shared" si="36"/>
        <v>188.70262429536223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1.0054237455136341</v>
      </c>
      <c r="AV31" s="23">
        <f>EXP(-LN(2)/25)*AV30+(1-EXP(-LN(2)/25))/(LN(2)/25)*Calculateur!AQ31*Calculateur!AS31*VLOOKUP('Données projet'!$B$10,Paramètres!$A$1:$I$88,3,0)*0.475*44/12</f>
        <v>7.5197434540254982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8.5251671995391316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19.714285714285715</v>
      </c>
      <c r="BD31" s="13">
        <f>IF('Données projet'!$A$88&gt;35,BD30+BC31-BL30,IF(A31&lt;'Données projet'!$A$88,$BA$205^A31,IF(A31='Données projet'!$A$88,'Données projet'!$B$88,BD30+BC31-BL30)))</f>
        <v>253.14285714285722</v>
      </c>
      <c r="BE31" s="14">
        <f>BD31*VLOOKUP('Données projet'!$B$11,Paramètres!$A$1:$I$88,3,0)*VLOOKUP('Données projet'!$B$11,Paramètres!$A$1:$I$88,5,0)</f>
        <v>141.50685714285717</v>
      </c>
      <c r="BF31" s="14">
        <f t="shared" si="37"/>
        <v>36.641989926907435</v>
      </c>
      <c r="BG31" s="22">
        <f t="shared" si="7"/>
        <v>310.27590864650665</v>
      </c>
      <c r="BH31" s="62">
        <f t="shared" si="8"/>
        <v>601.16479753539556</v>
      </c>
      <c r="BI31" s="62">
        <f ca="1">AVERAGE(OFFSET($BH$3,0,0,'Données projet'!$E$11+1,1))-AVERAGE(OFFSET($H$3,0,0,'Données projet'!$E$11+1,1))</f>
        <v>358.417829688045</v>
      </c>
      <c r="BJ31" s="62">
        <f t="shared" si="38"/>
        <v>394.03759949558713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6.8025782963207169</v>
      </c>
      <c r="BQ31" s="23">
        <f>EXP(-LN(2)/25)*BQ30+(1-EXP(-LN(2)/25))/(LN(2)/25)*Calculateur!BL31*Calculateur!BN31*VLOOKUP('Données projet'!$B$11,Paramètres!$A$1:$I$88,3,0)*0.475*44/12</f>
        <v>11.027775395388316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17.830353691709032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13.4</v>
      </c>
      <c r="BY31" s="13">
        <f>IF('Données projet'!$A$114&gt;35,BY30+BX31-CG30,IF(A31&lt;'Données projet'!$A$114,$BV$205^A31,IF(A31='Données projet'!$A$114,'Données projet'!$B$114,BY30+BX31-CG30)))</f>
        <v>167.20000000000005</v>
      </c>
      <c r="BZ31" s="14">
        <f>BY31*VLOOKUP('Données projet'!$B$12,Paramètres!$A$1:$I$88,3,0)*VLOOKUP('Données projet'!$B$12,Paramètres!$A$1:$I$88,5,0)</f>
        <v>99.985600000000034</v>
      </c>
      <c r="CA31" s="14">
        <f t="shared" si="39"/>
        <v>26.958566918169435</v>
      </c>
      <c r="CB31" s="22">
        <f t="shared" si="10"/>
        <v>221.09442404914515</v>
      </c>
      <c r="CC31" s="62">
        <f t="shared" si="11"/>
        <v>511.98331293803403</v>
      </c>
      <c r="CD31" s="62">
        <f ca="1">AVERAGE(OFFSET($CC$3,0,0,'Données projet'!$E$12+1,1))-AVERAGE(OFFSET($H$3,0,0,'Données projet'!$E$12+1,1))</f>
        <v>405.42845699663462</v>
      </c>
      <c r="CE31" s="62">
        <f t="shared" si="40"/>
        <v>292.26503163353146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2.2227487023944881</v>
      </c>
      <c r="CL31" s="23">
        <f>EXP(-LN(2)/25)*CL30+(1-EXP(-LN(2)/25))/(LN(2)/25)*Calculateur!CG31*Calculateur!CI31*VLOOKUP('Données projet'!$B$12,Paramètres!$A$1:$I$88,3,0)*0.475*44/12</f>
        <v>6.6349678576343969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8.8577165600288854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2.6904761904761907</v>
      </c>
      <c r="N32" s="14">
        <f>IF('Données projet'!$A$36&gt;35,N31+M32-V31,IF(A32&lt;'Données projet'!$A$36,$K$205^A32,IF(A32='Données projet'!$A$36,'Données projet'!$B$36,N31+M32-V31)))</f>
        <v>78.023809523809518</v>
      </c>
      <c r="O32" s="14">
        <f>N32*VLOOKUP('Données projet'!$B$9,Paramètres!$A$1:$I$88,3,0)*VLOOKUP('Données projet'!$B$9,Paramètres!$A$1:$I$88,5,0)</f>
        <v>70.595942857142845</v>
      </c>
      <c r="P32" s="14">
        <f t="shared" si="33"/>
        <v>19.82137808929166</v>
      </c>
      <c r="Q32" s="22">
        <f t="shared" si="2"/>
        <v>157.47683398170673</v>
      </c>
      <c r="R32" s="62">
        <f t="shared" si="0"/>
        <v>449.5879450928179</v>
      </c>
      <c r="S32" s="62">
        <f ca="1">AVERAGE(OFFSET($R$3,0,0,'Données projet'!$E$9+1,1))-AVERAGE(OFFSET($H$3,0,0,'Données projet'!$E$9+1,1))</f>
        <v>329.02356155998905</v>
      </c>
      <c r="T32" s="62">
        <f t="shared" si="34"/>
        <v>199.43308683696642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139</v>
      </c>
      <c r="AJ32" s="14">
        <f>AI32*VLOOKUP('Données projet'!$B$10,Paramètres!$A$1:$I$88,3,0)*VLOOKUP('Données projet'!$B$10,Paramètres!$A$1:$I$88,5,0)</f>
        <v>65.052000000000007</v>
      </c>
      <c r="AK32" s="14">
        <f t="shared" si="35"/>
        <v>18.439501591054679</v>
      </c>
      <c r="AL32" s="22">
        <f t="shared" si="4"/>
        <v>145.41436527108689</v>
      </c>
      <c r="AM32" s="62">
        <f t="shared" si="5"/>
        <v>437.52547638219801</v>
      </c>
      <c r="AN32" s="62">
        <f ca="1">AVERAGE(OFFSET($AM$3,0,0,'Données projet'!$E$10+1,1))-AVERAGE(OFFSET($H$3,0,0,'Données projet'!$E$10+1,1))</f>
        <v>160.55473404658039</v>
      </c>
      <c r="AO32" s="62">
        <f t="shared" si="36"/>
        <v>188.70262429536223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0.98570799911204332</v>
      </c>
      <c r="AV32" s="23">
        <f>EXP(-LN(2)/25)*AV31+(1-EXP(-LN(2)/25))/(LN(2)/25)*Calculateur!AQ32*Calculateur!AS32*VLOOKUP('Données projet'!$B$10,Paramètres!$A$1:$I$88,3,0)*0.475*44/12</f>
        <v>7.3141156738290496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8.299823672941093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19.714285714285715</v>
      </c>
      <c r="BD32" s="13">
        <f>IF('Données projet'!$A$88&gt;35,BD31+BC32-BL31,IF(A32&lt;'Données projet'!$A$88,$BA$205^A32,IF(A32='Données projet'!$A$88,'Données projet'!$B$88,BD31+BC32-BL31)))</f>
        <v>272.85714285714295</v>
      </c>
      <c r="BE32" s="14">
        <f>BD32*VLOOKUP('Données projet'!$B$11,Paramètres!$A$1:$I$88,3,0)*VLOOKUP('Données projet'!$B$11,Paramètres!$A$1:$I$88,5,0)</f>
        <v>152.52714285714291</v>
      </c>
      <c r="BF32" s="14">
        <f t="shared" si="37"/>
        <v>39.152328281389373</v>
      </c>
      <c r="BG32" s="22">
        <f t="shared" si="7"/>
        <v>333.84174556627704</v>
      </c>
      <c r="BH32" s="62">
        <f t="shared" si="8"/>
        <v>625.95285667738813</v>
      </c>
      <c r="BI32" s="62">
        <f ca="1">AVERAGE(OFFSET($BH$3,0,0,'Données projet'!$E$11+1,1))-AVERAGE(OFFSET($H$3,0,0,'Données projet'!$E$11+1,1))</f>
        <v>358.417829688045</v>
      </c>
      <c r="BJ32" s="62">
        <f t="shared" si="38"/>
        <v>394.03759949558713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6.6691838850929326</v>
      </c>
      <c r="BQ32" s="23">
        <f>EXP(-LN(2)/25)*BQ31+(1-EXP(-LN(2)/25))/(LN(2)/25)*Calculateur!BL32*Calculateur!BN32*VLOOKUP('Données projet'!$B$11,Paramètres!$A$1:$I$88,3,0)*0.475*44/12</f>
        <v>10.726220297275919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17.39540418236885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13.4</v>
      </c>
      <c r="BY32" s="13">
        <f>IF('Données projet'!$A$114&gt;35,BY31+BX32-CG31,IF(A32&lt;'Données projet'!$A$114,$BV$205^A32,IF(A32='Données projet'!$A$114,'Données projet'!$B$114,BY31+BX32-CG31)))</f>
        <v>180.60000000000005</v>
      </c>
      <c r="BZ32" s="14">
        <f>BY32*VLOOKUP('Données projet'!$B$12,Paramètres!$A$1:$I$88,3,0)*VLOOKUP('Données projet'!$B$12,Paramètres!$A$1:$I$88,5,0)</f>
        <v>107.99880000000003</v>
      </c>
      <c r="CA32" s="14">
        <f t="shared" si="39"/>
        <v>28.85898360070161</v>
      </c>
      <c r="CB32" s="22">
        <f t="shared" si="10"/>
        <v>238.36063977122203</v>
      </c>
      <c r="CC32" s="62">
        <f t="shared" si="11"/>
        <v>530.47175088233314</v>
      </c>
      <c r="CD32" s="62">
        <f ca="1">AVERAGE(OFFSET($CC$3,0,0,'Données projet'!$E$12+1,1))-AVERAGE(OFFSET($H$3,0,0,'Données projet'!$E$12+1,1))</f>
        <v>405.42845699663462</v>
      </c>
      <c r="CE32" s="62">
        <f t="shared" si="40"/>
        <v>292.26503163353146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2.1791619560833722</v>
      </c>
      <c r="CL32" s="23">
        <f>EXP(-LN(2)/25)*CL31+(1-EXP(-LN(2)/25))/(LN(2)/25)*Calculateur!CG32*Calculateur!CI32*VLOOKUP('Données projet'!$B$12,Paramètres!$A$1:$I$88,3,0)*0.475*44/12</f>
        <v>6.4535343126495892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8.6326962687329605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2.6904761904761907</v>
      </c>
      <c r="N33" s="14">
        <f>IF('Données projet'!$A$36&gt;35,N32+M33-V32,IF(A33&lt;'Données projet'!$A$36,$K$205^A33,IF(A33='Données projet'!$A$36,'Données projet'!$B$36,N32+M33-V32)))</f>
        <v>80.714285714285708</v>
      </c>
      <c r="O33" s="14">
        <f>N33*VLOOKUP('Données projet'!$B$9,Paramètres!$A$1:$I$88,3,0)*VLOOKUP('Données projet'!$B$9,Paramètres!$A$1:$I$88,5,0)</f>
        <v>73.030285714285711</v>
      </c>
      <c r="P33" s="14">
        <f t="shared" si="33"/>
        <v>20.424118211245272</v>
      </c>
      <c r="Q33" s="22">
        <f t="shared" si="2"/>
        <v>162.76642017029977</v>
      </c>
      <c r="R33" s="62">
        <f t="shared" si="0"/>
        <v>456.09975350363311</v>
      </c>
      <c r="S33" s="62">
        <f ca="1">AVERAGE(OFFSET($R$3,0,0,'Données projet'!$E$9+1,1))-AVERAGE(OFFSET($H$3,0,0,'Données projet'!$E$9+1,1))</f>
        <v>329.02356155998905</v>
      </c>
      <c r="T33" s="62">
        <f t="shared" si="34"/>
        <v>199.43308683696642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145.5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145.5</v>
      </c>
      <c r="AJ33" s="14">
        <f>AI33*VLOOKUP('Données projet'!$B$10,Paramètres!$A$1:$I$88,3,0)*VLOOKUP('Données projet'!$B$10,Paramètres!$A$1:$I$88,5,0)</f>
        <v>68.093999999999994</v>
      </c>
      <c r="AK33" s="14">
        <f t="shared" si="35"/>
        <v>19.199372801164969</v>
      </c>
      <c r="AL33" s="22">
        <f t="shared" si="4"/>
        <v>152.03595762869563</v>
      </c>
      <c r="AM33" s="62">
        <f t="shared" si="5"/>
        <v>445.36929096202891</v>
      </c>
      <c r="AN33" s="62">
        <f ca="1">AVERAGE(OFFSET($AM$3,0,0,'Données projet'!$E$10+1,1))-AVERAGE(OFFSET($H$3,0,0,'Données projet'!$E$10+1,1))</f>
        <v>160.55473404658039</v>
      </c>
      <c r="AO33" s="62">
        <f t="shared" si="36"/>
        <v>188.70262429536223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29.1</v>
      </c>
      <c r="AR33" s="17">
        <f>IF(ISNA(VLOOKUP(A33,'Données projet'!$A$61:$I$81,5,0)),0%,VLOOKUP(A33,'Données projet'!$A$61:$I$81,5,0)*VLOOKUP('Données projet'!$B$10,Paramètres!$A$1:$I$88,7,0))</f>
        <v>0.16500000000000001</v>
      </c>
      <c r="AS33" s="17">
        <f>IF(ISNA(VLOOKUP(A33,'Données projet'!$A$61:$I$81,6,0)),0%,VLOOKUP(A33,'Données projet'!$A$61:$I$81,6,0)*VLOOKUP('Données projet'!$B$10,Paramètres!$A$1:$I$88,7,0))</f>
        <v>0.27500000000000002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3.947304507419072</v>
      </c>
      <c r="AV33" s="23">
        <f>EXP(-LN(2)/25)*AV32+(1-EXP(-LN(2)/25))/(LN(2)/25)*Calculateur!AQ33*Calculateur!AS33*VLOOKUP('Données projet'!$B$10,Paramètres!$A$1:$I$88,3,0)*0.475*44/12</f>
        <v>12.062758464223863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16.010062971642935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19.714285714285715</v>
      </c>
      <c r="BD33" s="13">
        <f>IF('Données projet'!$A$88&gt;35,BD32+BC33-BL32,IF(A33&lt;'Données projet'!$A$88,$BA$205^A33,IF(A33='Données projet'!$A$88,'Données projet'!$B$88,BD32+BC33-BL32)))</f>
        <v>292.57142857142867</v>
      </c>
      <c r="BE33" s="14">
        <f>BD33*VLOOKUP('Données projet'!$B$11,Paramètres!$A$1:$I$88,3,0)*VLOOKUP('Données projet'!$B$11,Paramètres!$A$1:$I$88,5,0)</f>
        <v>163.54742857142864</v>
      </c>
      <c r="BF33" s="14">
        <f t="shared" si="37"/>
        <v>41.641623770535254</v>
      </c>
      <c r="BG33" s="22">
        <f t="shared" si="7"/>
        <v>357.3709328289205</v>
      </c>
      <c r="BH33" s="62">
        <f t="shared" si="8"/>
        <v>650.70426616225382</v>
      </c>
      <c r="BI33" s="62">
        <f ca="1">AVERAGE(OFFSET($BH$3,0,0,'Données projet'!$E$11+1,1))-AVERAGE(OFFSET($H$3,0,0,'Données projet'!$E$11+1,1))</f>
        <v>358.417829688045</v>
      </c>
      <c r="BJ33" s="62">
        <f t="shared" si="38"/>
        <v>394.03759949558713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6.5384052569067679</v>
      </c>
      <c r="BQ33" s="23">
        <f>EXP(-LN(2)/25)*BQ32+(1-EXP(-LN(2)/25))/(LN(2)/25)*Calculateur!BL33*Calculateur!BN33*VLOOKUP('Données projet'!$B$11,Paramètres!$A$1:$I$88,3,0)*0.475*44/12</f>
        <v>10.432911239179498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16.971316496086267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194</v>
      </c>
      <c r="BW33" s="13">
        <f>VLOOKUP(A33,'Données projet'!$A$113:$I$133,9,0)</f>
        <v>13.4</v>
      </c>
      <c r="BX33" s="13">
        <f t="array" ref="BX33">INDEX(BW:BW,MIN(IF(ISNUMBER(BW33:BW229),ROW(BW33:BW229),"")))</f>
        <v>13.4</v>
      </c>
      <c r="BY33" s="13">
        <f>IF('Données projet'!$A$114&gt;35,BY32+BX33-CG32,IF(A33&lt;'Données projet'!$A$114,$BV$205^A33,IF(A33='Données projet'!$A$114,'Données projet'!$B$114,BY32+BX33-CG32)))</f>
        <v>194.00000000000006</v>
      </c>
      <c r="BZ33" s="14">
        <f>BY33*VLOOKUP('Données projet'!$B$12,Paramètres!$A$1:$I$88,3,0)*VLOOKUP('Données projet'!$B$12,Paramètres!$A$1:$I$88,5,0)</f>
        <v>116.01200000000003</v>
      </c>
      <c r="CA33" s="14">
        <f t="shared" si="39"/>
        <v>30.743042086238173</v>
      </c>
      <c r="CB33" s="22">
        <f t="shared" si="10"/>
        <v>255.59836496686489</v>
      </c>
      <c r="CC33" s="62">
        <f t="shared" si="11"/>
        <v>548.93169830019815</v>
      </c>
      <c r="CD33" s="62">
        <f ca="1">AVERAGE(OFFSET($CC$3,0,0,'Données projet'!$E$12+1,1))-AVERAGE(OFFSET($H$3,0,0,'Données projet'!$E$12+1,1))</f>
        <v>405.42845699663462</v>
      </c>
      <c r="CE33" s="62">
        <f t="shared" si="40"/>
        <v>292.26503163353146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34</v>
      </c>
      <c r="CH33" s="17">
        <f>IF(ISNA(VLOOKUP(A33,'Données projet'!$A$113:$I$133,5,0)),0%,VLOOKUP(A33,'Données projet'!$A$113:$I$133,5,0)*VLOOKUP('Données projet'!$B$12,Paramètres!$A$1:$I$88,7,0))</f>
        <v>0.13500000000000001</v>
      </c>
      <c r="CI33" s="17">
        <f>IF(ISNA(VLOOKUP(A33,'Données projet'!$A$113:$I$133,6,0)),0%,VLOOKUP(A33,'Données projet'!$A$113:$I$133,6,0)*VLOOKUP('Données projet'!$B$12,Paramètres!$A$1:$I$88,7,0))</f>
        <v>0.22500000000000001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5.7776105678616858</v>
      </c>
      <c r="CL33" s="23">
        <f>EXP(-LN(2)/25)*CL32+(1-EXP(-LN(2)/25))/(LN(2)/25)*Calculateur!CG33*Calculateur!CI33*VLOOKUP('Données projet'!$B$12,Paramètres!$A$1:$I$88,3,0)*0.475*44/12</f>
        <v>12.321801965772739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18.099412533634425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2.6904761904761907</v>
      </c>
      <c r="N34" s="14">
        <f>IF('Données projet'!$A$36&gt;35,N33+M34-V33,IF(A34&lt;'Données projet'!$A$36,$K$205^A34,IF(A34='Données projet'!$A$36,'Données projet'!$B$36,N33+M34-V33)))</f>
        <v>83.404761904761898</v>
      </c>
      <c r="O34" s="14">
        <f>N34*VLOOKUP('Données projet'!$B$9,Paramètres!$A$1:$I$88,3,0)*VLOOKUP('Données projet'!$B$9,Paramètres!$A$1:$I$88,5,0)</f>
        <v>75.464628571428563</v>
      </c>
      <c r="P34" s="14">
        <f t="shared" si="33"/>
        <v>21.024523775886198</v>
      </c>
      <c r="Q34" s="22">
        <f t="shared" si="2"/>
        <v>168.05194033823986</v>
      </c>
      <c r="R34" s="62">
        <f t="shared" si="0"/>
        <v>461.38527367157315</v>
      </c>
      <c r="S34" s="62">
        <f ca="1">AVERAGE(OFFSET($R$3,0,0,'Données projet'!$E$9+1,1))-AVERAGE(OFFSET($H$3,0,0,'Données projet'!$E$9+1,1))</f>
        <v>329.02356155998905</v>
      </c>
      <c r="T34" s="62">
        <f t="shared" si="34"/>
        <v>199.43308683696642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123.4</v>
      </c>
      <c r="AJ34" s="14">
        <f>AI34*VLOOKUP('Données projet'!$B$10,Paramètres!$A$1:$I$88,3,0)*VLOOKUP('Données projet'!$B$10,Paramètres!$A$1:$I$88,5,0)</f>
        <v>57.751200000000004</v>
      </c>
      <c r="AK34" s="14">
        <f t="shared" si="35"/>
        <v>16.598443930799451</v>
      </c>
      <c r="AL34" s="22">
        <f t="shared" si="4"/>
        <v>129.49229651280905</v>
      </c>
      <c r="AM34" s="62">
        <f t="shared" si="5"/>
        <v>422.82562984614236</v>
      </c>
      <c r="AN34" s="62">
        <f ca="1">AVERAGE(OFFSET($AM$3,0,0,'Données projet'!$E$10+1,1))-AVERAGE(OFFSET($H$3,0,0,'Données projet'!$E$10+1,1))</f>
        <v>160.55473404658039</v>
      </c>
      <c r="AO34" s="62">
        <f t="shared" si="36"/>
        <v>188.70262429536223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3.8699002736466008</v>
      </c>
      <c r="AV34" s="23">
        <f>EXP(-LN(2)/25)*AV33+(1-EXP(-LN(2)/25))/(LN(2)/25)*Calculateur!AQ34*Calculateur!AS34*VLOOKUP('Données projet'!$B$10,Paramètres!$A$1:$I$88,3,0)*0.475*44/12</f>
        <v>11.732901699666764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15.602801973313365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19.714285714285715</v>
      </c>
      <c r="BD34" s="13">
        <f>IF('Données projet'!$A$88&gt;35,BD33+BC34-BL33,IF(A34&lt;'Données projet'!$A$88,$BA$205^A34,IF(A34='Données projet'!$A$88,'Données projet'!$B$88,BD33+BC34-BL33)))</f>
        <v>312.28571428571439</v>
      </c>
      <c r="BE34" s="14">
        <f>BD34*VLOOKUP('Données projet'!$B$11,Paramètres!$A$1:$I$88,3,0)*VLOOKUP('Données projet'!$B$11,Paramètres!$A$1:$I$88,5,0)</f>
        <v>174.56771428571435</v>
      </c>
      <c r="BF34" s="14">
        <f t="shared" si="37"/>
        <v>44.111455647166053</v>
      </c>
      <c r="BG34" s="22">
        <f t="shared" si="7"/>
        <v>380.86622096643333</v>
      </c>
      <c r="BH34" s="62">
        <f t="shared" si="8"/>
        <v>674.19955429976665</v>
      </c>
      <c r="BI34" s="62">
        <f ca="1">AVERAGE(OFFSET($BH$3,0,0,'Données projet'!$E$11+1,1))-AVERAGE(OFFSET($H$3,0,0,'Données projet'!$E$11+1,1))</f>
        <v>358.417829688045</v>
      </c>
      <c r="BJ34" s="62">
        <f t="shared" si="38"/>
        <v>394.03759949558713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6.4101911178522473</v>
      </c>
      <c r="BQ34" s="23">
        <f>EXP(-LN(2)/25)*BQ33+(1-EXP(-LN(2)/25))/(LN(2)/25)*Calculateur!BL34*Calculateur!BN34*VLOOKUP('Données projet'!$B$11,Paramètres!$A$1:$I$88,3,0)*0.475*44/12</f>
        <v>10.147622732701178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16.557813850553426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14.6</v>
      </c>
      <c r="BY34" s="13">
        <f>IF('Données projet'!$A$114&gt;35,BY33+BX34-CG33,IF(A34&lt;'Données projet'!$A$114,$BV$205^A34,IF(A34='Données projet'!$A$114,'Données projet'!$B$114,BY33+BX34-CG33)))</f>
        <v>174.60000000000005</v>
      </c>
      <c r="BZ34" s="14">
        <f>BY34*VLOOKUP('Données projet'!$B$12,Paramètres!$A$1:$I$88,3,0)*VLOOKUP('Données projet'!$B$12,Paramètres!$A$1:$I$88,5,0)</f>
        <v>104.41080000000004</v>
      </c>
      <c r="CA34" s="14">
        <f t="shared" si="39"/>
        <v>28.010155571424168</v>
      </c>
      <c r="CB34" s="22">
        <f t="shared" si="10"/>
        <v>230.63316428689714</v>
      </c>
      <c r="CC34" s="62">
        <f t="shared" si="11"/>
        <v>523.96649762023048</v>
      </c>
      <c r="CD34" s="62">
        <f ca="1">AVERAGE(OFFSET($CC$3,0,0,'Données projet'!$E$12+1,1))-AVERAGE(OFFSET($H$3,0,0,'Données projet'!$E$12+1,1))</f>
        <v>405.42845699663462</v>
      </c>
      <c r="CE34" s="62">
        <f t="shared" si="40"/>
        <v>292.26503163353146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5.6643151486203989</v>
      </c>
      <c r="CL34" s="23">
        <f>EXP(-LN(2)/25)*CL33+(1-EXP(-LN(2)/25))/(LN(2)/25)*Calculateur!CG34*Calculateur!CI34*VLOOKUP('Données projet'!$B$12,Paramètres!$A$1:$I$88,3,0)*0.475*44/12</f>
        <v>11.984861643043279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17.649176791663677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2.6904761904761907</v>
      </c>
      <c r="N35" s="14">
        <f>IF('Données projet'!$A$36&gt;35,N34+M35-V34,IF(A35&lt;'Données projet'!$A$36,$K$205^A35,IF(A35='Données projet'!$A$36,'Données projet'!$B$36,N34+M35-V34)))</f>
        <v>86.095238095238088</v>
      </c>
      <c r="O35" s="14">
        <f>N35*VLOOKUP('Données projet'!$B$9,Paramètres!$A$1:$I$88,3,0)*VLOOKUP('Données projet'!$B$9,Paramètres!$A$1:$I$88,5,0)</f>
        <v>77.898971428571414</v>
      </c>
      <c r="P35" s="14">
        <f t="shared" si="33"/>
        <v>21.622678729311669</v>
      </c>
      <c r="Q35" s="22">
        <f t="shared" ref="Q35:Q66" si="53">(O35+P35)*0.475*44/12</f>
        <v>173.33354069164636</v>
      </c>
      <c r="R35" s="62">
        <f t="shared" si="0"/>
        <v>466.66687402497968</v>
      </c>
      <c r="S35" s="62">
        <f ca="1">AVERAGE(OFFSET($R$3,0,0,'Données projet'!$E$9+1,1))-AVERAGE(OFFSET($H$3,0,0,'Données projet'!$E$9+1,1))</f>
        <v>329.02356155998905</v>
      </c>
      <c r="T35" s="62">
        <f t="shared" si="34"/>
        <v>199.43308683696642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130.4</v>
      </c>
      <c r="AJ35" s="14">
        <f>AI35*VLOOKUP('Données projet'!$B$10,Paramètres!$A$1:$I$88,3,0)*VLOOKUP('Données projet'!$B$10,Paramètres!$A$1:$I$88,5,0)</f>
        <v>61.027200000000008</v>
      </c>
      <c r="AK35" s="14">
        <f t="shared" si="35"/>
        <v>17.427720265428167</v>
      </c>
      <c r="AL35" s="22">
        <f t="shared" si="4"/>
        <v>136.64231946228742</v>
      </c>
      <c r="AM35" s="62">
        <f t="shared" si="5"/>
        <v>429.9756527956207</v>
      </c>
      <c r="AN35" s="62">
        <f ca="1">AVERAGE(OFFSET($AM$3,0,0,'Données projet'!$E$10+1,1))-AVERAGE(OFFSET($H$3,0,0,'Données projet'!$E$10+1,1))</f>
        <v>160.55473404658039</v>
      </c>
      <c r="AO35" s="62">
        <f t="shared" si="36"/>
        <v>188.70262429536223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3.7940138896864872</v>
      </c>
      <c r="AV35" s="23">
        <f>EXP(-LN(2)/25)*AV34+(1-EXP(-LN(2)/25))/(LN(2)/25)*Calculateur!AQ35*Calculateur!AS35*VLOOKUP('Données projet'!$B$10,Paramètres!$A$1:$I$88,3,0)*0.475*44/12</f>
        <v>11.412064885682891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15.206078775369379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>
        <f>VLOOKUP(A35,'Données projet'!$A$87:$I$107,2,0)</f>
        <v>332</v>
      </c>
      <c r="BB35" s="13">
        <f>VLOOKUP(A35,'Données projet'!$A$87:$I$107,9,0)</f>
        <v>19.714285714285715</v>
      </c>
      <c r="BC35" s="13">
        <f t="array" ref="BC35">INDEX(BB:BB,MIN(IF(ISNUMBER(BB35:BB231),ROW(BB35:BB231),"")))</f>
        <v>19.714285714285715</v>
      </c>
      <c r="BD35" s="13">
        <f>IF('Données projet'!$A$88&gt;35,BD34+BC35-BL34,IF(A35&lt;'Données projet'!$A$88,$BA$205^A35,IF(A35='Données projet'!$A$88,'Données projet'!$B$88,BD34+BC35-BL34)))</f>
        <v>332.00000000000011</v>
      </c>
      <c r="BE35" s="14">
        <f>BD35*VLOOKUP('Données projet'!$B$11,Paramètres!$A$1:$I$88,3,0)*VLOOKUP('Données projet'!$B$11,Paramètres!$A$1:$I$88,5,0)</f>
        <v>185.58800000000008</v>
      </c>
      <c r="BF35" s="14">
        <f t="shared" si="37"/>
        <v>46.563192499694267</v>
      </c>
      <c r="BG35" s="22">
        <f t="shared" si="7"/>
        <v>404.32999360363425</v>
      </c>
      <c r="BH35" s="62">
        <f t="shared" si="8"/>
        <v>697.66332693696756</v>
      </c>
      <c r="BI35" s="62">
        <f ca="1">AVERAGE(OFFSET($BH$3,0,0,'Données projet'!$E$11+1,1))-AVERAGE(OFFSET($H$3,0,0,'Données projet'!$E$11+1,1))</f>
        <v>358.417829688045</v>
      </c>
      <c r="BJ35" s="62">
        <f t="shared" si="38"/>
        <v>394.03759949558713</v>
      </c>
      <c r="BK35" s="16">
        <f>IF(ISNA(VLOOKUP(A35,'Données projet'!$A$87:$I$107,3,0)),0,VLOOKUP(A35,'Données projet'!$A$87:$I$107,3,0))</f>
        <v>3</v>
      </c>
      <c r="BL35" s="16">
        <f>IF(ISNA(VLOOKUP(A35,'Données projet'!$A$87:$I$107,4,0)),0,VLOOKUP(A35,'Données projet'!$A$87:$I$107,4,0))</f>
        <v>79</v>
      </c>
      <c r="BM35" s="17">
        <f>IF(ISNA(VLOOKUP(A35,'Données projet'!$A$87:$I$107,5,0)),0%,VLOOKUP(A35,'Données projet'!$A$87:$I$107,5,0)*VLOOKUP('Données projet'!$B$11,Paramètres!$A$1:$I$88,7,0))</f>
        <v>0.16500000000000001</v>
      </c>
      <c r="BN35" s="17">
        <f>IF(ISNA(VLOOKUP(A35,'Données projet'!$A$87:$I$107,6,0)),0%,VLOOKUP(A35,'Données projet'!$A$87:$I$107,6,0)*VLOOKUP('Données projet'!$B$11,Paramètres!$A$1:$I$88,7,0))</f>
        <v>0.27500000000000002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15.950589311111496</v>
      </c>
      <c r="BQ35" s="23">
        <f>EXP(-LN(2)/25)*BQ34+(1-EXP(-LN(2)/25))/(LN(2)/25)*Calculateur!BL35*Calculateur!BN35*VLOOKUP('Données projet'!$B$11,Paramètres!$A$1:$I$88,3,0)*0.475*44/12</f>
        <v>25.916867155160091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41.867456466271591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14.6</v>
      </c>
      <c r="BY35" s="13">
        <f>IF('Données projet'!$A$114&gt;35,BY34+BX35-CG34,IF(A35&lt;'Données projet'!$A$114,$BV$205^A35,IF(A35='Données projet'!$A$114,'Données projet'!$B$114,BY34+BX35-CG34)))</f>
        <v>189.20000000000005</v>
      </c>
      <c r="BZ35" s="14">
        <f>BY35*VLOOKUP('Données projet'!$B$12,Paramètres!$A$1:$I$88,3,0)*VLOOKUP('Données projet'!$B$12,Paramètres!$A$1:$I$88,5,0)</f>
        <v>113.14160000000004</v>
      </c>
      <c r="CA35" s="14">
        <f t="shared" si="39"/>
        <v>30.069952587742019</v>
      </c>
      <c r="CB35" s="22">
        <f t="shared" si="10"/>
        <v>249.42678742365072</v>
      </c>
      <c r="CC35" s="62">
        <f t="shared" si="11"/>
        <v>542.76012075698407</v>
      </c>
      <c r="CD35" s="62">
        <f ca="1">AVERAGE(OFFSET($CC$3,0,0,'Données projet'!$E$12+1,1))-AVERAGE(OFFSET($H$3,0,0,'Données projet'!$E$12+1,1))</f>
        <v>405.42845699663462</v>
      </c>
      <c r="CE35" s="62">
        <f t="shared" si="40"/>
        <v>292.26503163353146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5.5532413834470518</v>
      </c>
      <c r="CL35" s="23">
        <f>EXP(-LN(2)/25)*CL34+(1-EXP(-LN(2)/25))/(LN(2)/25)*Calculateur!CG35*Calculateur!CI35*VLOOKUP('Données projet'!$B$12,Paramètres!$A$1:$I$88,3,0)*0.475*44/12</f>
        <v>11.657134971157779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17.210376354604833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2.6904761904761907</v>
      </c>
      <c r="N36" s="14">
        <f>IF('Données projet'!$A$36&gt;35,N35+M36-V35,IF(A36&lt;'Données projet'!$A$36,$K$205^A36,IF(A36='Données projet'!$A$36,'Données projet'!$B$36,N35+M36-V35)))</f>
        <v>88.785714285714278</v>
      </c>
      <c r="O36" s="14">
        <f>N36*VLOOKUP('Données projet'!$B$9,Paramètres!$A$1:$I$88,3,0)*VLOOKUP('Données projet'!$B$9,Paramètres!$A$1:$I$88,5,0)</f>
        <v>80.33331428571428</v>
      </c>
      <c r="P36" s="14">
        <f t="shared" si="33"/>
        <v>22.218661472981104</v>
      </c>
      <c r="Q36" s="22">
        <f t="shared" si="53"/>
        <v>178.6113577797278</v>
      </c>
      <c r="R36" s="62">
        <f t="shared" si="0"/>
        <v>471.94469111306114</v>
      </c>
      <c r="S36" s="62">
        <f ca="1">AVERAGE(OFFSET($R$3,0,0,'Données projet'!$E$9+1,1))-AVERAGE(OFFSET($H$3,0,0,'Données projet'!$E$9+1,1))</f>
        <v>329.02356155998905</v>
      </c>
      <c r="T36" s="62">
        <f t="shared" si="34"/>
        <v>199.43308683696642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137.4</v>
      </c>
      <c r="AJ36" s="14">
        <f>AI36*VLOOKUP('Données projet'!$B$10,Paramètres!$A$1:$I$88,3,0)*VLOOKUP('Données projet'!$B$10,Paramètres!$A$1:$I$88,5,0)</f>
        <v>64.303200000000004</v>
      </c>
      <c r="AK36" s="14">
        <f t="shared" si="35"/>
        <v>18.251828429815372</v>
      </c>
      <c r="AL36" s="22">
        <f t="shared" si="4"/>
        <v>143.78334118192845</v>
      </c>
      <c r="AM36" s="62">
        <f t="shared" si="5"/>
        <v>437.11667451526176</v>
      </c>
      <c r="AN36" s="62">
        <f ca="1">AVERAGE(OFFSET($AM$3,0,0,'Données projet'!$E$10+1,1))-AVERAGE(OFFSET($H$3,0,0,'Données projet'!$E$10+1,1))</f>
        <v>160.55473404658039</v>
      </c>
      <c r="AO36" s="62">
        <f t="shared" si="36"/>
        <v>188.70262429536223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3.7196155914297075</v>
      </c>
      <c r="AV36" s="23">
        <f>EXP(-LN(2)/25)*AV35+(1-EXP(-LN(2)/25))/(LN(2)/25)*Calculateur!AQ36*Calculateur!AS36*VLOOKUP('Données projet'!$B$10,Paramètres!$A$1:$I$88,3,0)*0.475*44/12</f>
        <v>11.100001371249483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14.819616962679191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19.714285714285715</v>
      </c>
      <c r="BD36" s="13">
        <f>IF('Données projet'!$A$88&gt;35,BD35+BC36-BL35,IF(A36&lt;'Données projet'!$A$88,$BA$205^A36,IF(A36='Données projet'!$A$88,'Données projet'!$B$88,BD35+BC36-BL35)))</f>
        <v>272.71428571428584</v>
      </c>
      <c r="BE36" s="14">
        <f>BD36*VLOOKUP('Données projet'!$B$11,Paramètres!$A$1:$I$88,3,0)*VLOOKUP('Données projet'!$B$11,Paramètres!$A$1:$I$88,5,0)</f>
        <v>152.44728571428578</v>
      </c>
      <c r="BF36" s="14">
        <f t="shared" si="37"/>
        <v>39.134215165354775</v>
      </c>
      <c r="BG36" s="22">
        <f t="shared" si="7"/>
        <v>333.67111403204058</v>
      </c>
      <c r="BH36" s="62">
        <f t="shared" si="8"/>
        <v>627.00444736537384</v>
      </c>
      <c r="BI36" s="62">
        <f ca="1">AVERAGE(OFFSET($BH$3,0,0,'Données projet'!$E$11+1,1))-AVERAGE(OFFSET($H$3,0,0,'Données projet'!$E$11+1,1))</f>
        <v>358.417829688045</v>
      </c>
      <c r="BJ36" s="62">
        <f t="shared" si="38"/>
        <v>394.03759949558713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15.637807983619432</v>
      </c>
      <c r="BQ36" s="23">
        <f>EXP(-LN(2)/25)*BQ35+(1-EXP(-LN(2)/25))/(LN(2)/25)*Calculateur!BL36*Calculateur!BN36*VLOOKUP('Données projet'!$B$11,Paramètres!$A$1:$I$88,3,0)*0.475*44/12</f>
        <v>25.208169059893429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40.84597704351286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14.6</v>
      </c>
      <c r="BY36" s="13">
        <f>IF('Données projet'!$A$114&gt;35,BY35+BX36-CG35,IF(A36&lt;'Données projet'!$A$114,$BV$205^A36,IF(A36='Données projet'!$A$114,'Données projet'!$B$114,BY35+BX36-CG35)))</f>
        <v>203.80000000000004</v>
      </c>
      <c r="BZ36" s="14">
        <f>BY36*VLOOKUP('Données projet'!$B$12,Paramètres!$A$1:$I$88,3,0)*VLOOKUP('Données projet'!$B$12,Paramètres!$A$1:$I$88,5,0)</f>
        <v>121.87240000000003</v>
      </c>
      <c r="CA36" s="14">
        <f t="shared" si="39"/>
        <v>32.111311550408985</v>
      </c>
      <c r="CB36" s="22">
        <f t="shared" si="10"/>
        <v>268.1882976169623</v>
      </c>
      <c r="CC36" s="62">
        <f t="shared" si="11"/>
        <v>561.52163095029562</v>
      </c>
      <c r="CD36" s="62">
        <f ca="1">AVERAGE(OFFSET($CC$3,0,0,'Données projet'!$E$12+1,1))-AVERAGE(OFFSET($H$3,0,0,'Données projet'!$E$12+1,1))</f>
        <v>405.42845699663462</v>
      </c>
      <c r="CE36" s="62">
        <f t="shared" si="40"/>
        <v>292.26503163353146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5.4443457070604468</v>
      </c>
      <c r="CL36" s="23">
        <f>EXP(-LN(2)/25)*CL35+(1-EXP(-LN(2)/25))/(LN(2)/25)*Calculateur!CG36*Calculateur!CI36*VLOOKUP('Données projet'!$B$12,Paramètres!$A$1:$I$88,3,0)*0.475*44/12</f>
        <v>11.338370002349384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16.782715709409832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2.6904761904761907</v>
      </c>
      <c r="N37" s="14">
        <f>IF('Données projet'!$A$36&gt;35,N36+M37-V36,IF(A37&lt;'Données projet'!$A$36,$K$205^A37,IF(A37='Données projet'!$A$36,'Données projet'!$B$36,N36+M37-V36)))</f>
        <v>91.476190476190467</v>
      </c>
      <c r="O37" s="14">
        <f>N37*VLOOKUP('Données projet'!$B$9,Paramètres!$A$1:$I$88,3,0)*VLOOKUP('Données projet'!$B$9,Paramètres!$A$1:$I$88,5,0)</f>
        <v>82.767657142857132</v>
      </c>
      <c r="P37" s="14">
        <f t="shared" si="33"/>
        <v>22.812545386734861</v>
      </c>
      <c r="Q37" s="22">
        <f t="shared" si="53"/>
        <v>183.88551940570605</v>
      </c>
      <c r="R37" s="62">
        <f t="shared" si="0"/>
        <v>477.21885273903933</v>
      </c>
      <c r="S37" s="62">
        <f ca="1">AVERAGE(OFFSET($R$3,0,0,'Données projet'!$E$9+1,1))-AVERAGE(OFFSET($H$3,0,0,'Données projet'!$E$9+1,1))</f>
        <v>329.02356155998905</v>
      </c>
      <c r="T37" s="62">
        <f t="shared" si="34"/>
        <v>199.43308683696642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144.4</v>
      </c>
      <c r="AJ37" s="14">
        <f>AI37*VLOOKUP('Données projet'!$B$10,Paramètres!$A$1:$I$88,3,0)*VLOOKUP('Données projet'!$B$10,Paramètres!$A$1:$I$88,5,0)</f>
        <v>67.5792</v>
      </c>
      <c r="AK37" s="14">
        <f t="shared" si="35"/>
        <v>19.07106176040384</v>
      </c>
      <c r="AL37" s="22">
        <f t="shared" si="4"/>
        <v>150.91587256603668</v>
      </c>
      <c r="AM37" s="62">
        <f t="shared" si="5"/>
        <v>444.24920589937</v>
      </c>
      <c r="AN37" s="62">
        <f ca="1">AVERAGE(OFFSET($AM$3,0,0,'Données projet'!$E$10+1,1))-AVERAGE(OFFSET($H$3,0,0,'Données projet'!$E$10+1,1))</f>
        <v>160.55473404658039</v>
      </c>
      <c r="AO37" s="62">
        <f t="shared" si="36"/>
        <v>188.70262429536223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3.6466761984232621</v>
      </c>
      <c r="AV37" s="23">
        <f>EXP(-LN(2)/25)*AV36+(1-EXP(-LN(2)/25))/(LN(2)/25)*Calculateur!AQ37*Calculateur!AS37*VLOOKUP('Données projet'!$B$10,Paramètres!$A$1:$I$88,3,0)*0.475*44/12</f>
        <v>10.796471250028963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14.443147448452226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19.714285714285715</v>
      </c>
      <c r="BD37" s="13">
        <f>IF('Données projet'!$A$88&gt;35,BD36+BC37-BL36,IF(A37&lt;'Données projet'!$A$88,$BA$205^A37,IF(A37='Données projet'!$A$88,'Données projet'!$B$88,BD36+BC37-BL36)))</f>
        <v>292.42857142857156</v>
      </c>
      <c r="BE37" s="14">
        <f>BD37*VLOOKUP('Données projet'!$B$11,Paramètres!$A$1:$I$88,3,0)*VLOOKUP('Données projet'!$B$11,Paramètres!$A$1:$I$88,5,0)</f>
        <v>163.46757142857149</v>
      </c>
      <c r="BF37" s="14">
        <f t="shared" si="37"/>
        <v>41.623657176502178</v>
      </c>
      <c r="BG37" s="22">
        <f t="shared" si="7"/>
        <v>357.20055648716993</v>
      </c>
      <c r="BH37" s="62">
        <f t="shared" si="8"/>
        <v>650.53388982050319</v>
      </c>
      <c r="BI37" s="62">
        <f ca="1">AVERAGE(OFFSET($BH$3,0,0,'Données projet'!$E$11+1,1))-AVERAGE(OFFSET($H$3,0,0,'Données projet'!$E$11+1,1))</f>
        <v>358.417829688045</v>
      </c>
      <c r="BJ37" s="62">
        <f t="shared" si="38"/>
        <v>394.03759949558713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15.331160107181713</v>
      </c>
      <c r="BQ37" s="23">
        <f>EXP(-LN(2)/25)*BQ36+(1-EXP(-LN(2)/25))/(LN(2)/25)*Calculateur!BL37*Calculateur!BN37*VLOOKUP('Données projet'!$B$11,Paramètres!$A$1:$I$88,3,0)*0.475*44/12</f>
        <v>24.518850351310647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39.850010458492363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14.6</v>
      </c>
      <c r="BY37" s="13">
        <f>IF('Données projet'!$A$114&gt;35,BY36+BX37-CG36,IF(A37&lt;'Données projet'!$A$114,$BV$205^A37,IF(A37='Données projet'!$A$114,'Données projet'!$B$114,BY36+BX37-CG36)))</f>
        <v>218.40000000000003</v>
      </c>
      <c r="BZ37" s="14">
        <f>BY37*VLOOKUP('Données projet'!$B$12,Paramètres!$A$1:$I$88,3,0)*VLOOKUP('Données projet'!$B$12,Paramètres!$A$1:$I$88,5,0)</f>
        <v>130.60320000000004</v>
      </c>
      <c r="CA37" s="14">
        <f t="shared" si="39"/>
        <v>34.135703567016428</v>
      </c>
      <c r="CB37" s="22">
        <f t="shared" si="10"/>
        <v>286.92025704588701</v>
      </c>
      <c r="CC37" s="62">
        <f t="shared" si="11"/>
        <v>580.25359037922033</v>
      </c>
      <c r="CD37" s="62">
        <f ca="1">AVERAGE(OFFSET($CC$3,0,0,'Données projet'!$E$12+1,1))-AVERAGE(OFFSET($H$3,0,0,'Données projet'!$E$12+1,1))</f>
        <v>405.42845699663462</v>
      </c>
      <c r="CE37" s="62">
        <f t="shared" si="40"/>
        <v>292.26503163353146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5.3375854084679784</v>
      </c>
      <c r="CL37" s="23">
        <f>EXP(-LN(2)/25)*CL36+(1-EXP(-LN(2)/25))/(LN(2)/25)*Calculateur!CG37*Calculateur!CI37*VLOOKUP('Données projet'!$B$12,Paramètres!$A$1:$I$88,3,0)*0.475*44/12</f>
        <v>11.028321678376177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16.365907086844153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2.6904761904761907</v>
      </c>
      <c r="N38" s="14">
        <f>IF('Données projet'!$A$36&gt;35,N37+M38-V37,IF(A38&lt;'Données projet'!$A$36,$K$205^A38,IF(A38='Données projet'!$A$36,'Données projet'!$B$36,N37+M38-V37)))</f>
        <v>94.166666666666657</v>
      </c>
      <c r="O38" s="14">
        <f>N38*VLOOKUP('Données projet'!$B$9,Paramètres!$A$1:$I$88,3,0)*VLOOKUP('Données projet'!$B$9,Paramètres!$A$1:$I$88,5,0)</f>
        <v>85.201999999999998</v>
      </c>
      <c r="P38" s="14">
        <f t="shared" si="33"/>
        <v>23.404399288552128</v>
      </c>
      <c r="Q38" s="22">
        <f t="shared" si="53"/>
        <v>189.1561454275616</v>
      </c>
      <c r="R38" s="62">
        <f t="shared" si="0"/>
        <v>482.48947876089494</v>
      </c>
      <c r="S38" s="62">
        <f ca="1">AVERAGE(OFFSET($R$3,0,0,'Données projet'!$E$9+1,1))-AVERAGE(OFFSET($H$3,0,0,'Données projet'!$E$9+1,1))</f>
        <v>329.02356155998905</v>
      </c>
      <c r="T38" s="62">
        <f t="shared" si="34"/>
        <v>199.43308683696642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151.4</v>
      </c>
      <c r="AJ38" s="14">
        <f>AI38*VLOOKUP('Données projet'!$B$10,Paramètres!$A$1:$I$88,3,0)*VLOOKUP('Données projet'!$B$10,Paramètres!$A$1:$I$88,5,0)</f>
        <v>70.855199999999996</v>
      </c>
      <c r="AK38" s="14">
        <f t="shared" si="35"/>
        <v>19.88568354699288</v>
      </c>
      <c r="AL38" s="22">
        <f t="shared" si="4"/>
        <v>158.04037217767925</v>
      </c>
      <c r="AM38" s="62">
        <f t="shared" si="5"/>
        <v>451.37370551101253</v>
      </c>
      <c r="AN38" s="62">
        <f ca="1">AVERAGE(OFFSET($AM$3,0,0,'Données projet'!$E$10+1,1))-AVERAGE(OFFSET($H$3,0,0,'Données projet'!$E$10+1,1))</f>
        <v>160.55473404658039</v>
      </c>
      <c r="AO38" s="62">
        <f t="shared" si="36"/>
        <v>188.70262429536223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3.575167102425036</v>
      </c>
      <c r="AV38" s="23">
        <f>EXP(-LN(2)/25)*AV37+(1-EXP(-LN(2)/25))/(LN(2)/25)*Calculateur!AQ38*Calculateur!AS38*VLOOKUP('Données projet'!$B$10,Paramètres!$A$1:$I$88,3,0)*0.475*44/12</f>
        <v>10.501241175935174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14.07640827836021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19.714285714285715</v>
      </c>
      <c r="BD38" s="13">
        <f>IF('Données projet'!$A$88&gt;35,BD37+BC38-BL37,IF(A38&lt;'Données projet'!$A$88,$BA$205^A38,IF(A38='Données projet'!$A$88,'Données projet'!$B$88,BD37+BC38-BL37)))</f>
        <v>312.14285714285728</v>
      </c>
      <c r="BE38" s="14">
        <f>BD38*VLOOKUP('Données projet'!$B$11,Paramètres!$A$1:$I$88,3,0)*VLOOKUP('Données projet'!$B$11,Paramètres!$A$1:$I$88,5,0)</f>
        <v>174.48785714285722</v>
      </c>
      <c r="BF38" s="14">
        <f t="shared" si="37"/>
        <v>44.093624942634548</v>
      </c>
      <c r="BG38" s="22">
        <f t="shared" si="7"/>
        <v>380.69608129889815</v>
      </c>
      <c r="BH38" s="62">
        <f t="shared" si="8"/>
        <v>674.02941463223146</v>
      </c>
      <c r="BI38" s="62">
        <f ca="1">AVERAGE(OFFSET($BH$3,0,0,'Données projet'!$E$11+1,1))-AVERAGE(OFFSET($H$3,0,0,'Données projet'!$E$11+1,1))</f>
        <v>358.417829688045</v>
      </c>
      <c r="BJ38" s="62">
        <f t="shared" si="38"/>
        <v>394.03759949558713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15.030525408564202</v>
      </c>
      <c r="BQ38" s="23">
        <f>EXP(-LN(2)/25)*BQ37+(1-EXP(-LN(2)/25))/(LN(2)/25)*Calculateur!BL38*Calculateur!BN38*VLOOKUP('Données projet'!$B$11,Paramètres!$A$1:$I$88,3,0)*0.475*44/12</f>
        <v>23.848381099063754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38.87890650762796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233</v>
      </c>
      <c r="BW38" s="13">
        <f>VLOOKUP(A38,'Données projet'!$A$113:$I$133,9,0)</f>
        <v>14.6</v>
      </c>
      <c r="BX38" s="13">
        <f t="array" ref="BX38">INDEX(BW:BW,MIN(IF(ISNUMBER(BW38:BW234),ROW(BW38:BW234),"")))</f>
        <v>14.6</v>
      </c>
      <c r="BY38" s="13">
        <f>IF('Données projet'!$A$114&gt;35,BY37+BX38-CG37,IF(A38&lt;'Données projet'!$A$114,$BV$205^A38,IF(A38='Données projet'!$A$114,'Données projet'!$B$114,BY37+BX38-CG37)))</f>
        <v>233.00000000000003</v>
      </c>
      <c r="BZ38" s="14">
        <f>BY38*VLOOKUP('Données projet'!$B$12,Paramètres!$A$1:$I$88,3,0)*VLOOKUP('Données projet'!$B$12,Paramètres!$A$1:$I$88,5,0)</f>
        <v>139.33400000000003</v>
      </c>
      <c r="CA38" s="14">
        <f t="shared" si="39"/>
        <v>36.144391930570897</v>
      </c>
      <c r="CB38" s="22">
        <f t="shared" si="10"/>
        <v>305.62486594574438</v>
      </c>
      <c r="CC38" s="62">
        <f t="shared" si="11"/>
        <v>598.95819927907769</v>
      </c>
      <c r="CD38" s="62">
        <f ca="1">AVERAGE(OFFSET($CC$3,0,0,'Données projet'!$E$12+1,1))-AVERAGE(OFFSET($H$3,0,0,'Données projet'!$E$12+1,1))</f>
        <v>405.42845699663462</v>
      </c>
      <c r="CE38" s="62">
        <f t="shared" si="40"/>
        <v>292.26503163353146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41</v>
      </c>
      <c r="CH38" s="17">
        <f>IF(ISNA(VLOOKUP(A38,'Données projet'!$A$113:$I$133,5,0)),0%,VLOOKUP(A38,'Données projet'!$A$113:$I$133,5,0)*VLOOKUP('Données projet'!$B$12,Paramètres!$A$1:$I$88,7,0))</f>
        <v>0.315</v>
      </c>
      <c r="CI38" s="17">
        <f>IF(ISNA(VLOOKUP(A38,'Données projet'!$A$113:$I$133,6,0)),0%,VLOOKUP(A38,'Données projet'!$A$113:$I$133,6,0)*VLOOKUP('Données projet'!$B$12,Paramètres!$A$1:$I$88,7,0))</f>
        <v>0.13500000000000001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15.478201419530551</v>
      </c>
      <c r="CL38" s="23">
        <f>EXP(-LN(2)/25)*CL37+(1-EXP(-LN(2)/25))/(LN(2)/25)*Calculateur!CG38*Calculateur!CI38*VLOOKUP('Données projet'!$B$12,Paramètres!$A$1:$I$88,3,0)*0.475*44/12</f>
        <v>15.100298737764032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30.578500157294584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2.6904761904761907</v>
      </c>
      <c r="N39" s="14">
        <f>IF('Données projet'!$A$36&gt;35,N38+M39-V38,IF(A39&lt;'Données projet'!$A$36,$K$205^A39,IF(A39='Données projet'!$A$36,'Données projet'!$B$36,N38+M39-V38)))</f>
        <v>96.857142857142847</v>
      </c>
      <c r="O39" s="14">
        <f>N39*VLOOKUP('Données projet'!$B$9,Paramètres!$A$1:$I$88,3,0)*VLOOKUP('Données projet'!$B$9,Paramètres!$A$1:$I$88,5,0)</f>
        <v>87.63634285714285</v>
      </c>
      <c r="P39" s="14">
        <f t="shared" si="33"/>
        <v>23.994287840288255</v>
      </c>
      <c r="Q39" s="22">
        <f t="shared" si="53"/>
        <v>194.42334846469248</v>
      </c>
      <c r="R39" s="62">
        <f t="shared" si="0"/>
        <v>487.7566817980258</v>
      </c>
      <c r="S39" s="62">
        <f ca="1">AVERAGE(OFFSET($R$3,0,0,'Données projet'!$E$9+1,1))-AVERAGE(OFFSET($H$3,0,0,'Données projet'!$E$9+1,1))</f>
        <v>329.02356155998905</v>
      </c>
      <c r="T39" s="62">
        <f t="shared" si="34"/>
        <v>199.43308683696642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158.4</v>
      </c>
      <c r="AJ39" s="14">
        <f>AI39*VLOOKUP('Données projet'!$B$10,Paramètres!$A$1:$I$88,3,0)*VLOOKUP('Données projet'!$B$10,Paramètres!$A$1:$I$88,5,0)</f>
        <v>74.131200000000007</v>
      </c>
      <c r="AK39" s="14">
        <f t="shared" si="35"/>
        <v>20.695931356882326</v>
      </c>
      <c r="AL39" s="22">
        <f t="shared" si="4"/>
        <v>165.15725377990339</v>
      </c>
      <c r="AM39" s="62">
        <f t="shared" si="5"/>
        <v>458.4905871132367</v>
      </c>
      <c r="AN39" s="62">
        <f ca="1">AVERAGE(OFFSET($AM$3,0,0,'Données projet'!$E$10+1,1))-AVERAGE(OFFSET($H$3,0,0,'Données projet'!$E$10+1,1))</f>
        <v>160.55473404658039</v>
      </c>
      <c r="AO39" s="62">
        <f t="shared" si="36"/>
        <v>188.70262429536223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3.5050602561830937</v>
      </c>
      <c r="AV39" s="23">
        <f>EXP(-LN(2)/25)*AV38+(1-EXP(-LN(2)/25))/(LN(2)/25)*Calculateur!AQ39*Calculateur!AS39*VLOOKUP('Données projet'!$B$10,Paramètres!$A$1:$I$88,3,0)*0.475*44/12</f>
        <v>10.214084183742955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13.719144439926048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19.714285714285715</v>
      </c>
      <c r="BD39" s="13">
        <f>IF('Données projet'!$A$88&gt;35,BD38+BC39-BL38,IF(A39&lt;'Données projet'!$A$88,$BA$205^A39,IF(A39='Données projet'!$A$88,'Données projet'!$B$88,BD38+BC39-BL38)))</f>
        <v>331.857142857143</v>
      </c>
      <c r="BE39" s="14">
        <f>BD39*VLOOKUP('Données projet'!$B$11,Paramètres!$A$1:$I$88,3,0)*VLOOKUP('Données projet'!$B$11,Paramètres!$A$1:$I$88,5,0)</f>
        <v>185.50814285714293</v>
      </c>
      <c r="BF39" s="14">
        <f t="shared" si="37"/>
        <v>46.545488425938196</v>
      </c>
      <c r="BG39" s="22">
        <f t="shared" si="7"/>
        <v>404.16007448469963</v>
      </c>
      <c r="BH39" s="62">
        <f t="shared" si="8"/>
        <v>697.49340781803289</v>
      </c>
      <c r="BI39" s="62">
        <f ca="1">AVERAGE(OFFSET($BH$3,0,0,'Données projet'!$E$11+1,1))-AVERAGE(OFFSET($H$3,0,0,'Données projet'!$E$11+1,1))</f>
        <v>358.417829688045</v>
      </c>
      <c r="BJ39" s="62">
        <f t="shared" si="38"/>
        <v>394.03759949558713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14.735785973017521</v>
      </c>
      <c r="BQ39" s="23">
        <f>EXP(-LN(2)/25)*BQ38+(1-EXP(-LN(2)/25))/(LN(2)/25)*Calculateur!BL39*Calculateur!BN39*VLOOKUP('Données projet'!$B$11,Paramètres!$A$1:$I$88,3,0)*0.475*44/12</f>
        <v>23.196245863778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37.932031836795517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14.4</v>
      </c>
      <c r="BY39" s="13">
        <f>IF('Données projet'!$A$114&gt;35,BY38+BX39-CG38,IF(A39&lt;'Données projet'!$A$114,$BV$205^A39,IF(A39='Données projet'!$A$114,'Données projet'!$B$114,BY38+BX39-CG38)))</f>
        <v>206.40000000000003</v>
      </c>
      <c r="BZ39" s="14">
        <f>BY39*VLOOKUP('Données projet'!$B$12,Paramètres!$A$1:$I$88,3,0)*VLOOKUP('Données projet'!$B$12,Paramètres!$A$1:$I$88,5,0)</f>
        <v>123.42720000000003</v>
      </c>
      <c r="CA39" s="14">
        <f t="shared" si="39"/>
        <v>32.473022671122074</v>
      </c>
      <c r="CB39" s="22">
        <f t="shared" si="10"/>
        <v>271.5262211522043</v>
      </c>
      <c r="CC39" s="62">
        <f t="shared" si="11"/>
        <v>564.85955448553761</v>
      </c>
      <c r="CD39" s="62">
        <f ca="1">AVERAGE(OFFSET($CC$3,0,0,'Données projet'!$E$12+1,1))-AVERAGE(OFFSET($H$3,0,0,'Données projet'!$E$12+1,1))</f>
        <v>405.42845699663462</v>
      </c>
      <c r="CE39" s="62">
        <f t="shared" si="40"/>
        <v>292.26503163353146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15.174683330464225</v>
      </c>
      <c r="CL39" s="23">
        <f>EXP(-LN(2)/25)*CL38+(1-EXP(-LN(2)/25))/(LN(2)/25)*Calculateur!CG39*Calculateur!CI39*VLOOKUP('Données projet'!$B$12,Paramètres!$A$1:$I$88,3,0)*0.475*44/12</f>
        <v>14.687380274689676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29.862063605153899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2.6904761904761907</v>
      </c>
      <c r="N40" s="14">
        <f>IF('Données projet'!$A$36&gt;35,N39+M40-V39,IF(A40&lt;'Données projet'!$A$36,$K$205^A40,IF(A40='Données projet'!$A$36,'Données projet'!$B$36,N39+M40-V39)))</f>
        <v>99.547619047619037</v>
      </c>
      <c r="O40" s="14">
        <f>N40*VLOOKUP('Données projet'!$B$9,Paramètres!$A$1:$I$88,3,0)*VLOOKUP('Données projet'!$B$9,Paramètres!$A$1:$I$88,5,0)</f>
        <v>90.070685714285702</v>
      </c>
      <c r="P40" s="14">
        <f t="shared" si="33"/>
        <v>24.582271907062804</v>
      </c>
      <c r="Q40" s="22">
        <f t="shared" si="53"/>
        <v>199.68723452384862</v>
      </c>
      <c r="R40" s="62">
        <f t="shared" si="0"/>
        <v>493.02056785718196</v>
      </c>
      <c r="S40" s="62">
        <f ca="1">AVERAGE(OFFSET($R$3,0,0,'Données projet'!$E$9+1,1))-AVERAGE(OFFSET($H$3,0,0,'Données projet'!$E$9+1,1))</f>
        <v>329.02356155998905</v>
      </c>
      <c r="T40" s="62">
        <f t="shared" si="34"/>
        <v>199.43308683696642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165.4</v>
      </c>
      <c r="AJ40" s="14">
        <f>AI40*VLOOKUP('Données projet'!$B$10,Paramètres!$A$1:$I$88,3,0)*VLOOKUP('Données projet'!$B$10,Paramètres!$A$1:$I$88,5,0)</f>
        <v>77.407200000000003</v>
      </c>
      <c r="AK40" s="14">
        <f t="shared" si="35"/>
        <v>21.502020573066307</v>
      </c>
      <c r="AL40" s="22">
        <f t="shared" si="4"/>
        <v>172.26689249809047</v>
      </c>
      <c r="AM40" s="62">
        <f t="shared" si="5"/>
        <v>465.60022583142381</v>
      </c>
      <c r="AN40" s="62">
        <f ca="1">AVERAGE(OFFSET($AM$3,0,0,'Données projet'!$E$10+1,1))-AVERAGE(OFFSET($H$3,0,0,'Données projet'!$E$10+1,1))</f>
        <v>160.55473404658039</v>
      </c>
      <c r="AO40" s="62">
        <f t="shared" si="36"/>
        <v>188.70262429536223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3.4363281624350019</v>
      </c>
      <c r="AV40" s="23">
        <f>EXP(-LN(2)/25)*AV39+(1-EXP(-LN(2)/25))/(LN(2)/25)*Calculateur!AQ40*Calculateur!AS40*VLOOKUP('Données projet'!$B$10,Paramètres!$A$1:$I$88,3,0)*0.475*44/12</f>
        <v>9.9347795146031608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13.371107677038163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19.714285714285715</v>
      </c>
      <c r="BD40" s="13">
        <f>IF('Données projet'!$A$88&gt;35,BD39+BC40-BL39,IF(A40&lt;'Données projet'!$A$88,$BA$205^A40,IF(A40='Données projet'!$A$88,'Données projet'!$B$88,BD39+BC40-BL39)))</f>
        <v>351.57142857142873</v>
      </c>
      <c r="BE40" s="14">
        <f>BD40*VLOOKUP('Données projet'!$B$11,Paramètres!$A$1:$I$88,3,0)*VLOOKUP('Données projet'!$B$11,Paramètres!$A$1:$I$88,5,0)</f>
        <v>196.52842857142866</v>
      </c>
      <c r="BF40" s="14">
        <f t="shared" si="37"/>
        <v>48.980445625371871</v>
      </c>
      <c r="BG40" s="22">
        <f t="shared" si="7"/>
        <v>427.59462255942759</v>
      </c>
      <c r="BH40" s="62">
        <f t="shared" si="8"/>
        <v>720.92795589276091</v>
      </c>
      <c r="BI40" s="62">
        <f ca="1">AVERAGE(OFFSET($BH$3,0,0,'Données projet'!$E$11+1,1))-AVERAGE(OFFSET($H$3,0,0,'Données projet'!$E$11+1,1))</f>
        <v>358.417829688045</v>
      </c>
      <c r="BJ40" s="62">
        <f t="shared" si="38"/>
        <v>394.03759949558713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14.446826198028605</v>
      </c>
      <c r="BQ40" s="23">
        <f>EXP(-LN(2)/25)*BQ39+(1-EXP(-LN(2)/25))/(LN(2)/25)*Calculateur!BL40*Calculateur!BN40*VLOOKUP('Données projet'!$B$11,Paramètres!$A$1:$I$88,3,0)*0.475*44/12</f>
        <v>22.561943300795434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37.008769498824037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14.4</v>
      </c>
      <c r="BY40" s="13">
        <f>IF('Données projet'!$A$114&gt;35,BY39+BX40-CG39,IF(A40&lt;'Données projet'!$A$114,$BV$205^A40,IF(A40='Données projet'!$A$114,'Données projet'!$B$114,BY39+BX40-CG39)))</f>
        <v>220.80000000000004</v>
      </c>
      <c r="BZ40" s="14">
        <f>BY40*VLOOKUP('Données projet'!$B$12,Paramètres!$A$1:$I$88,3,0)*VLOOKUP('Données projet'!$B$12,Paramètres!$A$1:$I$88,5,0)</f>
        <v>132.03840000000005</v>
      </c>
      <c r="CA40" s="14">
        <f t="shared" si="39"/>
        <v>34.466946374534373</v>
      </c>
      <c r="CB40" s="22">
        <f t="shared" si="10"/>
        <v>289.99681160231415</v>
      </c>
      <c r="CC40" s="62">
        <f t="shared" si="11"/>
        <v>583.33014493564747</v>
      </c>
      <c r="CD40" s="62">
        <f ca="1">AVERAGE(OFFSET($CC$3,0,0,'Données projet'!$E$12+1,1))-AVERAGE(OFFSET($H$3,0,0,'Données projet'!$E$12+1,1))</f>
        <v>405.42845699663462</v>
      </c>
      <c r="CE40" s="62">
        <f t="shared" si="40"/>
        <v>292.26503163353146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14.877117045996734</v>
      </c>
      <c r="CL40" s="23">
        <f>EXP(-LN(2)/25)*CL39+(1-EXP(-LN(2)/25))/(LN(2)/25)*Calculateur!CG40*Calculateur!CI40*VLOOKUP('Données projet'!$B$12,Paramètres!$A$1:$I$88,3,0)*0.475*44/12</f>
        <v>14.285753088702528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29.162870134699261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2.6904761904761907</v>
      </c>
      <c r="N41" s="14">
        <f>IF('Données projet'!$A$36&gt;35,N40+M41-V40,IF(A41&lt;'Données projet'!$A$36,$K$205^A41,IF(A41='Données projet'!$A$36,'Données projet'!$B$36,N40+M41-V40)))</f>
        <v>102.23809523809523</v>
      </c>
      <c r="O41" s="14">
        <f>N41*VLOOKUP('Données projet'!$B$9,Paramètres!$A$1:$I$88,3,0)*VLOOKUP('Données projet'!$B$9,Paramètres!$A$1:$I$88,5,0)</f>
        <v>92.505028571428554</v>
      </c>
      <c r="P41" s="14">
        <f t="shared" si="33"/>
        <v>25.168408876702141</v>
      </c>
      <c r="Q41" s="22">
        <f t="shared" si="53"/>
        <v>204.94790355549432</v>
      </c>
      <c r="R41" s="62">
        <f t="shared" si="0"/>
        <v>498.28123688882761</v>
      </c>
      <c r="S41" s="62">
        <f ca="1">AVERAGE(OFFSET($R$3,0,0,'Données projet'!$E$9+1,1))-AVERAGE(OFFSET($H$3,0,0,'Données projet'!$E$9+1,1))</f>
        <v>329.02356155998905</v>
      </c>
      <c r="T41" s="62">
        <f t="shared" si="34"/>
        <v>199.43308683696642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172.4</v>
      </c>
      <c r="AJ41" s="14">
        <f>AI41*VLOOKUP('Données projet'!$B$10,Paramètres!$A$1:$I$88,3,0)*VLOOKUP('Données projet'!$B$10,Paramètres!$A$1:$I$88,5,0)</f>
        <v>80.683199999999999</v>
      </c>
      <c r="AK41" s="14">
        <f t="shared" si="35"/>
        <v>22.304147316572479</v>
      </c>
      <c r="AL41" s="22">
        <f t="shared" si="4"/>
        <v>179.36962990969707</v>
      </c>
      <c r="AM41" s="62">
        <f t="shared" si="5"/>
        <v>472.70296324303035</v>
      </c>
      <c r="AN41" s="62">
        <f ca="1">AVERAGE(OFFSET($AM$3,0,0,'Données projet'!$E$10+1,1))-AVERAGE(OFFSET($H$3,0,0,'Données projet'!$E$10+1,1))</f>
        <v>160.55473404658039</v>
      </c>
      <c r="AO41" s="62">
        <f t="shared" si="36"/>
        <v>188.70262429536223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3.3689438631228725</v>
      </c>
      <c r="AV41" s="23">
        <f>EXP(-LN(2)/25)*AV40+(1-EXP(-LN(2)/25))/(LN(2)/25)*Calculateur!AQ41*Calculateur!AS41*VLOOKUP('Données projet'!$B$10,Paramètres!$A$1:$I$88,3,0)*0.475*44/12</f>
        <v>9.6631124463289897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13.032056309451862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19.714285714285715</v>
      </c>
      <c r="BD41" s="13">
        <f>IF('Données projet'!$A$88&gt;35,BD40+BC41-BL40,IF(A41&lt;'Données projet'!$A$88,$BA$205^A41,IF(A41='Données projet'!$A$88,'Données projet'!$B$88,BD40+BC41-BL40)))</f>
        <v>371.28571428571445</v>
      </c>
      <c r="BE41" s="14">
        <f>BD41*VLOOKUP('Données projet'!$B$11,Paramètres!$A$1:$I$88,3,0)*VLOOKUP('Données projet'!$B$11,Paramètres!$A$1:$I$88,5,0)</f>
        <v>207.5487142857144</v>
      </c>
      <c r="BF41" s="14">
        <f t="shared" si="37"/>
        <v>51.3995525965097</v>
      </c>
      <c r="BG41" s="22">
        <f t="shared" si="7"/>
        <v>451.00156481987364</v>
      </c>
      <c r="BH41" s="62">
        <f t="shared" si="8"/>
        <v>744.33489815320695</v>
      </c>
      <c r="BI41" s="62">
        <f ca="1">AVERAGE(OFFSET($BH$3,0,0,'Données projet'!$E$11+1,1))-AVERAGE(OFFSET($H$3,0,0,'Données projet'!$E$11+1,1))</f>
        <v>358.417829688045</v>
      </c>
      <c r="BJ41" s="62">
        <f t="shared" si="38"/>
        <v>394.03759949558713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14.163532747979161</v>
      </c>
      <c r="BQ41" s="23">
        <f>EXP(-LN(2)/25)*BQ40+(1-EXP(-LN(2)/25))/(LN(2)/25)*Calculateur!BL41*Calculateur!BN41*VLOOKUP('Données projet'!$B$11,Paramètres!$A$1:$I$88,3,0)*0.475*44/12</f>
        <v>21.944985774754151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36.108518522733313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14.4</v>
      </c>
      <c r="BY41" s="13">
        <f>IF('Données projet'!$A$114&gt;35,BY40+BX41-CG40,IF(A41&lt;'Données projet'!$A$114,$BV$205^A41,IF(A41='Données projet'!$A$114,'Données projet'!$B$114,BY40+BX41-CG40)))</f>
        <v>235.20000000000005</v>
      </c>
      <c r="BZ41" s="14">
        <f>BY41*VLOOKUP('Données projet'!$B$12,Paramètres!$A$1:$I$88,3,0)*VLOOKUP('Données projet'!$B$12,Paramètres!$A$1:$I$88,5,0)</f>
        <v>140.64960000000002</v>
      </c>
      <c r="CA41" s="14">
        <f t="shared" si="39"/>
        <v>36.445779615258601</v>
      </c>
      <c r="CB41" s="22">
        <f t="shared" si="10"/>
        <v>308.44111949657542</v>
      </c>
      <c r="CC41" s="62">
        <f t="shared" si="11"/>
        <v>601.7744528299088</v>
      </c>
      <c r="CD41" s="62">
        <f ca="1">AVERAGE(OFFSET($CC$3,0,0,'Données projet'!$E$12+1,1))-AVERAGE(OFFSET($H$3,0,0,'Données projet'!$E$12+1,1))</f>
        <v>405.42845699663462</v>
      </c>
      <c r="CE41" s="62">
        <f t="shared" si="40"/>
        <v>292.26503163353146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14.585385854870138</v>
      </c>
      <c r="CL41" s="23">
        <f>EXP(-LN(2)/25)*CL40+(1-EXP(-LN(2)/25))/(LN(2)/25)*Calculateur!CG41*Calculateur!CI41*VLOOKUP('Données projet'!$B$12,Paramètres!$A$1:$I$88,3,0)*0.475*44/12</f>
        <v>13.895108419236852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28.480494274106988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2.6904761904761907</v>
      </c>
      <c r="N42" s="14">
        <f>IF('Données projet'!$A$36&gt;35,N41+M42-V41,IF(A42&lt;'Données projet'!$A$36,$K$205^A42,IF(A42='Données projet'!$A$36,'Données projet'!$B$36,N41+M42-V41)))</f>
        <v>104.92857142857142</v>
      </c>
      <c r="O42" s="14">
        <f>N42*VLOOKUP('Données projet'!$B$9,Paramètres!$A$1:$I$88,3,0)*VLOOKUP('Données projet'!$B$9,Paramètres!$A$1:$I$88,5,0)</f>
        <v>94.939371428571405</v>
      </c>
      <c r="P42" s="14">
        <f t="shared" si="33"/>
        <v>25.752752944610702</v>
      </c>
      <c r="Q42" s="22">
        <f t="shared" si="53"/>
        <v>210.20544994995885</v>
      </c>
      <c r="R42" s="62">
        <f t="shared" si="0"/>
        <v>503.53878328329216</v>
      </c>
      <c r="S42" s="62">
        <f ca="1">AVERAGE(OFFSET($R$3,0,0,'Données projet'!$E$9+1,1))-AVERAGE(OFFSET($H$3,0,0,'Données projet'!$E$9+1,1))</f>
        <v>329.02356155998905</v>
      </c>
      <c r="T42" s="62">
        <f t="shared" si="34"/>
        <v>199.43308683696642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179.4</v>
      </c>
      <c r="AJ42" s="14">
        <f>AI42*VLOOKUP('Données projet'!$B$10,Paramètres!$A$1:$I$88,3,0)*VLOOKUP('Données projet'!$B$10,Paramètres!$A$1:$I$88,5,0)</f>
        <v>83.95920000000001</v>
      </c>
      <c r="AK42" s="14">
        <f t="shared" si="35"/>
        <v>23.102490880810642</v>
      </c>
      <c r="AL42" s="22">
        <f t="shared" si="4"/>
        <v>186.46577828407854</v>
      </c>
      <c r="AM42" s="62">
        <f t="shared" si="5"/>
        <v>479.79911161741188</v>
      </c>
      <c r="AN42" s="62">
        <f ca="1">AVERAGE(OFFSET($AM$3,0,0,'Données projet'!$E$10+1,1))-AVERAGE(OFFSET($H$3,0,0,'Données projet'!$E$10+1,1))</f>
        <v>160.55473404658039</v>
      </c>
      <c r="AO42" s="62">
        <f t="shared" si="36"/>
        <v>188.70262429536223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3.3028809288198895</v>
      </c>
      <c r="AV42" s="23">
        <f>EXP(-LN(2)/25)*AV41+(1-EXP(-LN(2)/25))/(LN(2)/25)*Calculateur!AQ42*Calculateur!AS42*VLOOKUP('Données projet'!$B$10,Paramètres!$A$1:$I$88,3,0)*0.475*44/12</f>
        <v>9.3988741283231256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12.701755057143014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>
        <f>VLOOKUP(A42,'Données projet'!$A$87:$I$107,2,0)</f>
        <v>391</v>
      </c>
      <c r="BB42" s="13">
        <f>VLOOKUP(A42,'Données projet'!$A$87:$I$107,9,0)</f>
        <v>19.714285714285715</v>
      </c>
      <c r="BC42" s="13">
        <f t="array" ref="BC42">INDEX(BB:BB,MIN(IF(ISNUMBER(BB42:BB238),ROW(BB42:BB238),"")))</f>
        <v>19.714285714285715</v>
      </c>
      <c r="BD42" s="13">
        <f>IF('Données projet'!$A$88&gt;35,BD41+BC42-BL41,IF(A42&lt;'Données projet'!$A$88,$BA$205^A42,IF(A42='Données projet'!$A$88,'Données projet'!$B$88,BD41+BC42-BL41)))</f>
        <v>391.00000000000017</v>
      </c>
      <c r="BE42" s="14">
        <f>BD42*VLOOKUP('Données projet'!$B$11,Paramètres!$A$1:$I$88,3,0)*VLOOKUP('Données projet'!$B$11,Paramètres!$A$1:$I$88,5,0)</f>
        <v>218.5690000000001</v>
      </c>
      <c r="BF42" s="14">
        <f t="shared" si="37"/>
        <v>53.803746913464231</v>
      </c>
      <c r="BG42" s="22">
        <f t="shared" si="7"/>
        <v>474.38253420761703</v>
      </c>
      <c r="BH42" s="62">
        <f t="shared" si="8"/>
        <v>767.71586754095028</v>
      </c>
      <c r="BI42" s="62">
        <f ca="1">AVERAGE(OFFSET($BH$3,0,0,'Données projet'!$E$11+1,1))-AVERAGE(OFFSET($H$3,0,0,'Données projet'!$E$11+1,1))</f>
        <v>358.417829688045</v>
      </c>
      <c r="BJ42" s="62">
        <f t="shared" si="38"/>
        <v>394.03759949558713</v>
      </c>
      <c r="BK42" s="16">
        <f>IF(ISNA(VLOOKUP(A42,'Données projet'!$A$87:$I$107,3,0)),0,VLOOKUP(A42,'Données projet'!$A$87:$I$107,3,0))</f>
        <v>4</v>
      </c>
      <c r="BL42" s="16">
        <f>IF(ISNA(VLOOKUP(A42,'Données projet'!$A$87:$I$107,4,0)),0,VLOOKUP(A42,'Données projet'!$A$87:$I$107,4,0))</f>
        <v>80</v>
      </c>
      <c r="BM42" s="17">
        <f>IF(ISNA(VLOOKUP(A42,'Données projet'!$A$87:$I$107,5,0)),0%,VLOOKUP(A42,'Données projet'!$A$87:$I$107,5,0)*VLOOKUP('Données projet'!$B$11,Paramètres!$A$1:$I$88,7,0))</f>
        <v>0.38500000000000001</v>
      </c>
      <c r="BN42" s="17">
        <f>IF(ISNA(VLOOKUP(A42,'Données projet'!$A$87:$I$107,6,0)),0%,VLOOKUP(A42,'Données projet'!$A$87:$I$107,6,0)*VLOOKUP('Données projet'!$B$11,Paramètres!$A$1:$I$88,7,0))</f>
        <v>0.16500000000000001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36.725520051886896</v>
      </c>
      <c r="BQ42" s="23">
        <f>EXP(-LN(2)/25)*BQ41+(1-EXP(-LN(2)/25))/(LN(2)/25)*Calculateur!BL42*Calculateur!BN42*VLOOKUP('Données projet'!$B$11,Paramètres!$A$1:$I$88,3,0)*0.475*44/12</f>
        <v>31.094811916185279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67.820331968072168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14.4</v>
      </c>
      <c r="BY42" s="13">
        <f>IF('Données projet'!$A$114&gt;35,BY41+BX42-CG41,IF(A42&lt;'Données projet'!$A$114,$BV$205^A42,IF(A42='Données projet'!$A$114,'Données projet'!$B$114,BY41+BX42-CG41)))</f>
        <v>249.60000000000005</v>
      </c>
      <c r="BZ42" s="14">
        <f>BY42*VLOOKUP('Données projet'!$B$12,Paramètres!$A$1:$I$88,3,0)*VLOOKUP('Données projet'!$B$12,Paramètres!$A$1:$I$88,5,0)</f>
        <v>149.26080000000005</v>
      </c>
      <c r="CA42" s="14">
        <f t="shared" si="39"/>
        <v>38.410551499792909</v>
      </c>
      <c r="CB42" s="22">
        <f t="shared" si="10"/>
        <v>326.86093719547273</v>
      </c>
      <c r="CC42" s="62">
        <f t="shared" si="11"/>
        <v>620.1942705288061</v>
      </c>
      <c r="CD42" s="62">
        <f ca="1">AVERAGE(OFFSET($CC$3,0,0,'Données projet'!$E$12+1,1))-AVERAGE(OFFSET($H$3,0,0,'Données projet'!$E$12+1,1))</f>
        <v>405.42845699663462</v>
      </c>
      <c r="CE42" s="62">
        <f t="shared" si="40"/>
        <v>292.26503163353146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14.299375334463079</v>
      </c>
      <c r="CL42" s="23">
        <f>EXP(-LN(2)/25)*CL41+(1-EXP(-LN(2)/25))/(LN(2)/25)*Calculateur!CG42*Calculateur!CI42*VLOOKUP('Données projet'!$B$12,Paramètres!$A$1:$I$88,3,0)*0.475*44/12</f>
        <v>13.515145948800827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27.814521283263907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2.6904761904761907</v>
      </c>
      <c r="N43" s="14">
        <f>IF('Données projet'!$A$36&gt;35,N42+M43-V42,IF(A43&lt;'Données projet'!$A$36,$K$205^A43,IF(A43='Données projet'!$A$36,'Données projet'!$B$36,N42+M43-V42)))</f>
        <v>107.61904761904761</v>
      </c>
      <c r="O43" s="14">
        <f>N43*VLOOKUP('Données projet'!$B$9,Paramètres!$A$1:$I$88,3,0)*VLOOKUP('Données projet'!$B$9,Paramètres!$A$1:$I$88,5,0)</f>
        <v>97.373714285714271</v>
      </c>
      <c r="P43" s="14">
        <f t="shared" si="33"/>
        <v>26.335355368602432</v>
      </c>
      <c r="Q43" s="22">
        <f t="shared" si="53"/>
        <v>215.45996298126826</v>
      </c>
      <c r="R43" s="62">
        <f t="shared" si="0"/>
        <v>508.79329631460155</v>
      </c>
      <c r="S43" s="62">
        <f ca="1">AVERAGE(OFFSET($R$3,0,0,'Données projet'!$E$9+1,1))-AVERAGE(OFFSET($H$3,0,0,'Données projet'!$E$9+1,1))</f>
        <v>329.02356155998905</v>
      </c>
      <c r="T43" s="62">
        <f t="shared" si="34"/>
        <v>199.43308683696642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186.4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186.4</v>
      </c>
      <c r="AJ43" s="14">
        <f>AI43*VLOOKUP('Données projet'!$B$10,Paramètres!$A$1:$I$88,3,0)*VLOOKUP('Données projet'!$B$10,Paramètres!$A$1:$I$88,5,0)</f>
        <v>87.235200000000006</v>
      </c>
      <c r="AK43" s="14">
        <f t="shared" si="35"/>
        <v>23.897215775288828</v>
      </c>
      <c r="AL43" s="22">
        <f t="shared" si="4"/>
        <v>193.55562414196137</v>
      </c>
      <c r="AM43" s="62">
        <f t="shared" si="5"/>
        <v>486.88895747529466</v>
      </c>
      <c r="AN43" s="62">
        <f ca="1">AVERAGE(OFFSET($AM$3,0,0,'Données projet'!$E$10+1,1))-AVERAGE(OFFSET($H$3,0,0,'Données projet'!$E$10+1,1))</f>
        <v>160.55473404658039</v>
      </c>
      <c r="AO43" s="62">
        <f t="shared" si="36"/>
        <v>188.70262429536223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37.280000000000008</v>
      </c>
      <c r="AR43" s="17">
        <f>IF(ISNA(VLOOKUP(A43,'Données projet'!$A$61:$I$81,5,0)),0%,VLOOKUP(A43,'Données projet'!$A$61:$I$81,5,0)*VLOOKUP('Données projet'!$B$10,Paramètres!$A$1:$I$88,7,0))</f>
        <v>0.16500000000000001</v>
      </c>
      <c r="AS43" s="17">
        <f>IF(ISNA(VLOOKUP(A43,'Données projet'!$A$61:$I$81,6,0)),0%,VLOOKUP(A43,'Données projet'!$A$61:$I$81,6,0)*VLOOKUP('Données projet'!$B$10,Paramètres!$A$1:$I$88,7,0))</f>
        <v>0.27500000000000002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7.0569762626084369</v>
      </c>
      <c r="AV43" s="23">
        <f>EXP(-LN(2)/25)*AV42+(1-EXP(-LN(2)/25))/(LN(2)/25)*Calculateur!AQ43*Calculateur!AS43*VLOOKUP('Données projet'!$B$10,Paramètres!$A$1:$I$88,3,0)*0.475*44/12</f>
        <v>15.481572248091769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22.538548510700206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19</v>
      </c>
      <c r="BD43" s="13">
        <f>IF('Données projet'!$A$88&gt;35,BD42+BC43-BL42,IF(A43&lt;'Données projet'!$A$88,$BA$205^A43,IF(A43='Données projet'!$A$88,'Données projet'!$B$88,BD42+BC43-BL42)))</f>
        <v>330.00000000000017</v>
      </c>
      <c r="BE43" s="14">
        <f>BD43*VLOOKUP('Données projet'!$B$11,Paramètres!$A$1:$I$88,3,0)*VLOOKUP('Données projet'!$B$11,Paramètres!$A$1:$I$88,5,0)</f>
        <v>184.47000000000008</v>
      </c>
      <c r="BF43" s="14">
        <f t="shared" si="37"/>
        <v>46.31525458251663</v>
      </c>
      <c r="BG43" s="22">
        <f t="shared" si="7"/>
        <v>401.95098506454991</v>
      </c>
      <c r="BH43" s="62">
        <f t="shared" si="8"/>
        <v>695.28431839788323</v>
      </c>
      <c r="BI43" s="62">
        <f ca="1">AVERAGE(OFFSET($BH$3,0,0,'Données projet'!$E$11+1,1))-AVERAGE(OFFSET($H$3,0,0,'Données projet'!$E$11+1,1))</f>
        <v>358.417829688045</v>
      </c>
      <c r="BJ43" s="62">
        <f t="shared" si="38"/>
        <v>394.03759949558713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36.005355004024771</v>
      </c>
      <c r="BQ43" s="23">
        <f>EXP(-LN(2)/25)*BQ42+(1-EXP(-LN(2)/25))/(LN(2)/25)*Calculateur!BL43*Calculateur!BN43*VLOOKUP('Données projet'!$B$11,Paramètres!$A$1:$I$88,3,0)*0.475*44/12</f>
        <v>30.244522649132101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66.249877653156872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264</v>
      </c>
      <c r="BW43" s="13">
        <f>VLOOKUP(A43,'Données projet'!$A$113:$I$133,9,0)</f>
        <v>14.4</v>
      </c>
      <c r="BX43" s="13">
        <f t="array" ref="BX43">INDEX(BW:BW,MIN(IF(ISNUMBER(BW43:BW239),ROW(BW43:BW239),"")))</f>
        <v>14.4</v>
      </c>
      <c r="BY43" s="13">
        <f>IF('Données projet'!$A$114&gt;35,BY42+BX43-CG42,IF(A43&lt;'Données projet'!$A$114,$BV$205^A43,IF(A43='Données projet'!$A$114,'Données projet'!$B$114,BY42+BX43-CG42)))</f>
        <v>264.00000000000006</v>
      </c>
      <c r="BZ43" s="14">
        <f>BY43*VLOOKUP('Données projet'!$B$12,Paramètres!$A$1:$I$88,3,0)*VLOOKUP('Données projet'!$B$12,Paramètres!$A$1:$I$88,5,0)</f>
        <v>157.87200000000004</v>
      </c>
      <c r="CA43" s="14">
        <f t="shared" si="39"/>
        <v>40.362165684361159</v>
      </c>
      <c r="CB43" s="22">
        <f t="shared" si="10"/>
        <v>345.25783856692902</v>
      </c>
      <c r="CC43" s="62">
        <f t="shared" si="11"/>
        <v>638.59117190026234</v>
      </c>
      <c r="CD43" s="62">
        <f ca="1">AVERAGE(OFFSET($CC$3,0,0,'Données projet'!$E$12+1,1))-AVERAGE(OFFSET($H$3,0,0,'Données projet'!$E$12+1,1))</f>
        <v>405.42845699663462</v>
      </c>
      <c r="CE43" s="62">
        <f t="shared" si="40"/>
        <v>292.26503163353146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41</v>
      </c>
      <c r="CH43" s="17">
        <f>IF(ISNA(VLOOKUP(A43,'Données projet'!$A$113:$I$133,5,0)),0%,VLOOKUP(A43,'Données projet'!$A$113:$I$133,5,0)*VLOOKUP('Données projet'!$B$12,Paramètres!$A$1:$I$88,7,0))</f>
        <v>0.315</v>
      </c>
      <c r="CI43" s="17">
        <f>IF(ISNA(VLOOKUP(A43,'Données projet'!$A$113:$I$133,6,0)),0%,VLOOKUP(A43,'Données projet'!$A$113:$I$133,6,0)*VLOOKUP('Données projet'!$B$12,Paramètres!$A$1:$I$88,7,0))</f>
        <v>0.13500000000000001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24.264256111229002</v>
      </c>
      <c r="CL43" s="23">
        <f>EXP(-LN(2)/25)*CL42+(1-EXP(-LN(2)/25))/(LN(2)/25)*Calculateur!CG43*Calculateur!CI43*VLOOKUP('Données projet'!$B$12,Paramètres!$A$1:$I$88,3,0)*0.475*44/12</f>
        <v>17.519120667737518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41.78337677896652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2.6904761904761907</v>
      </c>
      <c r="N44" s="14">
        <f>IF('Données projet'!$A$36&gt;35,N43+M44-V43,IF(A44&lt;'Données projet'!$A$36,$K$205^A44,IF(A44='Données projet'!$A$36,'Données projet'!$B$36,N43+M44-V43)))</f>
        <v>110.3095238095238</v>
      </c>
      <c r="O44" s="14">
        <f>N44*VLOOKUP('Données projet'!$B$9,Paramètres!$A$1:$I$88,3,0)*VLOOKUP('Données projet'!$B$9,Paramètres!$A$1:$I$88,5,0)</f>
        <v>99.808057142857123</v>
      </c>
      <c r="P44" s="14">
        <f t="shared" si="33"/>
        <v>26.916264697531815</v>
      </c>
      <c r="Q44" s="22">
        <f t="shared" si="53"/>
        <v>220.71152720534405</v>
      </c>
      <c r="R44" s="62">
        <f t="shared" si="0"/>
        <v>514.04486053867731</v>
      </c>
      <c r="S44" s="62">
        <f ca="1">AVERAGE(OFFSET($R$3,0,0,'Données projet'!$E$9+1,1))-AVERAGE(OFFSET($H$3,0,0,'Données projet'!$E$9+1,1))</f>
        <v>329.02356155998905</v>
      </c>
      <c r="T44" s="62">
        <f t="shared" si="34"/>
        <v>199.43308683696642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7.5</v>
      </c>
      <c r="AI44" s="14">
        <f>IF('Données projet'!$A$62&gt;35,AI43+AH44-AQ43,IF(A44&lt;'Données projet'!$A$62,$AF$205^A44,IF(A44='Données projet'!$A$62,'Données projet'!$B$62,AI43+AH44-AQ43)))</f>
        <v>156.62</v>
      </c>
      <c r="AJ44" s="14">
        <f>AI44*VLOOKUP('Données projet'!$B$10,Paramètres!$A$1:$I$88,3,0)*VLOOKUP('Données projet'!$B$10,Paramètres!$A$1:$I$88,5,0)</f>
        <v>73.29816000000001</v>
      </c>
      <c r="AK44" s="14">
        <f t="shared" si="35"/>
        <v>20.490299383196415</v>
      </c>
      <c r="AL44" s="22">
        <f t="shared" si="4"/>
        <v>163.34823342573378</v>
      </c>
      <c r="AM44" s="62">
        <f t="shared" si="5"/>
        <v>456.6815667590671</v>
      </c>
      <c r="AN44" s="62">
        <f ca="1">AVERAGE(OFFSET($AM$3,0,0,'Données projet'!$E$10+1,1))-AVERAGE(OFFSET($H$3,0,0,'Données projet'!$E$10+1,1))</f>
        <v>160.55473404658039</v>
      </c>
      <c r="AO44" s="62">
        <f t="shared" si="36"/>
        <v>188.70262429536223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6.9185932624291882</v>
      </c>
      <c r="AV44" s="23">
        <f>EXP(-LN(2)/25)*AV43+(1-EXP(-LN(2)/25))/(LN(2)/25)*Calculateur!AQ44*Calculateur!AS44*VLOOKUP('Données projet'!$B$10,Paramètres!$A$1:$I$88,3,0)*0.475*44/12</f>
        <v>15.058227840827199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21.976821103256388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</v>
      </c>
      <c r="BD44" s="13">
        <f>IF('Données projet'!$A$88&gt;35,BD43+BC44-BL43,IF(A44&lt;'Données projet'!$A$88,$BA$205^A44,IF(A44='Données projet'!$A$88,'Données projet'!$B$88,BD43+BC44-BL43)))</f>
        <v>349.00000000000017</v>
      </c>
      <c r="BE44" s="14">
        <f>BD44*VLOOKUP('Données projet'!$B$11,Paramètres!$A$1:$I$88,3,0)*VLOOKUP('Données projet'!$B$11,Paramètres!$A$1:$I$88,5,0)</f>
        <v>195.09100000000012</v>
      </c>
      <c r="BF44" s="14">
        <f t="shared" si="37"/>
        <v>48.663762686246216</v>
      </c>
      <c r="BG44" s="22">
        <f t="shared" si="7"/>
        <v>424.53954501187906</v>
      </c>
      <c r="BH44" s="62">
        <f t="shared" si="8"/>
        <v>717.87287834521237</v>
      </c>
      <c r="BI44" s="62">
        <f ca="1">AVERAGE(OFFSET($BH$3,0,0,'Données projet'!$E$11+1,1))-AVERAGE(OFFSET($H$3,0,0,'Données projet'!$E$11+1,1))</f>
        <v>358.417829688045</v>
      </c>
      <c r="BJ44" s="62">
        <f t="shared" si="38"/>
        <v>394.03759949558713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35.29931195349392</v>
      </c>
      <c r="BQ44" s="23">
        <f>EXP(-LN(2)/25)*BQ43+(1-EXP(-LN(2)/25))/(LN(2)/25)*Calculateur!BL44*Calculateur!BN44*VLOOKUP('Données projet'!$B$11,Paramètres!$A$1:$I$88,3,0)*0.475*44/12</f>
        <v>29.417484586801262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64.716796540295178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19</v>
      </c>
      <c r="BY44" s="13">
        <f>IF('Données projet'!$A$114&gt;35,BY43+BX44-CG43,IF(A44&lt;'Données projet'!$A$114,$BV$205^A44,IF(A44='Données projet'!$A$114,'Données projet'!$B$114,BY43+BX44-CG43)))</f>
        <v>242.00000000000006</v>
      </c>
      <c r="BZ44" s="14">
        <f>BY44*VLOOKUP('Données projet'!$B$12,Paramètres!$A$1:$I$88,3,0)*VLOOKUP('Données projet'!$B$12,Paramètres!$A$1:$I$88,5,0)</f>
        <v>144.71600000000007</v>
      </c>
      <c r="CA44" s="14">
        <f t="shared" si="39"/>
        <v>37.375282885096105</v>
      </c>
      <c r="CB44" s="22">
        <f t="shared" si="10"/>
        <v>317.14231769154247</v>
      </c>
      <c r="CC44" s="62">
        <f t="shared" si="11"/>
        <v>610.47565102487579</v>
      </c>
      <c r="CD44" s="62">
        <f ca="1">AVERAGE(OFFSET($CC$3,0,0,'Données projet'!$E$12+1,1))-AVERAGE(OFFSET($H$3,0,0,'Données projet'!$E$12+1,1))</f>
        <v>405.42845699663462</v>
      </c>
      <c r="CE44" s="62">
        <f t="shared" si="40"/>
        <v>292.26503163353146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23.788448848622679</v>
      </c>
      <c r="CL44" s="23">
        <f>EXP(-LN(2)/25)*CL43+(1-EXP(-LN(2)/25))/(LN(2)/25)*Calculateur!CG44*Calculateur!CI44*VLOOKUP('Données projet'!$B$12,Paramètres!$A$1:$I$88,3,0)*0.475*44/12</f>
        <v>17.040059391787722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40.8285082404104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113</v>
      </c>
      <c r="L45" s="13">
        <f>VLOOKUP(A45,'Données projet'!$A$35:$I$55,9,0)</f>
        <v>2.6904761904761907</v>
      </c>
      <c r="M45" s="13">
        <f t="array" ref="M45">INDEX(L:L,MIN(IF(ISNUMBER(L45:L241),ROW(L45:L241),"")))</f>
        <v>2.6904761904761907</v>
      </c>
      <c r="N45" s="14">
        <f>IF('Données projet'!$A$36&gt;35,N44+M45-V44,IF(A45&lt;'Données projet'!$A$36,$K$205^A45,IF(A45='Données projet'!$A$36,'Données projet'!$B$36,N44+M45-V44)))</f>
        <v>112.99999999999999</v>
      </c>
      <c r="O45" s="14">
        <f>N45*VLOOKUP('Données projet'!$B$9,Paramètres!$A$1:$I$88,3,0)*VLOOKUP('Données projet'!$B$9,Paramètres!$A$1:$I$88,5,0)</f>
        <v>102.24239999999999</v>
      </c>
      <c r="P45" s="14">
        <f t="shared" si="33"/>
        <v>27.495526976991481</v>
      </c>
      <c r="Q45" s="22">
        <f t="shared" si="53"/>
        <v>225.96022281826015</v>
      </c>
      <c r="R45" s="62">
        <f t="shared" si="0"/>
        <v>519.29355615159352</v>
      </c>
      <c r="S45" s="62">
        <f ca="1">AVERAGE(OFFSET($R$3,0,0,'Données projet'!$E$9+1,1))-AVERAGE(OFFSET($H$3,0,0,'Données projet'!$E$9+1,1))</f>
        <v>329.02356155998905</v>
      </c>
      <c r="T45" s="62">
        <f t="shared" si="34"/>
        <v>199.43308683696642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30</v>
      </c>
      <c r="W45" s="17">
        <f>IF(ISNA(VLOOKUP(A45,'Données projet'!$A$35:$I$55,5,0)),0%,VLOOKUP(A45,'Données projet'!$A$35:$I$55,5,0)*VLOOKUP('Données projet'!$B$9,Paramètres!$A$1:$I$88,7,0))</f>
        <v>0.129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3.8708885496834688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3.8708885496834688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7.5</v>
      </c>
      <c r="AI45" s="14">
        <f>IF('Données projet'!$A$62&gt;35,AI44+AH45-AQ44,IF(A45&lt;'Données projet'!$A$62,$AF$205^A45,IF(A45='Données projet'!$A$62,'Données projet'!$B$62,AI44+AH45-AQ44)))</f>
        <v>164.12</v>
      </c>
      <c r="AJ45" s="14">
        <f>AI45*VLOOKUP('Données projet'!$B$10,Paramètres!$A$1:$I$88,3,0)*VLOOKUP('Données projet'!$B$10,Paramètres!$A$1:$I$88,5,0)</f>
        <v>76.808160000000001</v>
      </c>
      <c r="AK45" s="14">
        <f t="shared" si="35"/>
        <v>21.354922978188263</v>
      </c>
      <c r="AL45" s="22">
        <f t="shared" si="4"/>
        <v>170.96736952034459</v>
      </c>
      <c r="AM45" s="62">
        <f t="shared" si="5"/>
        <v>464.30070285367788</v>
      </c>
      <c r="AN45" s="62">
        <f ca="1">AVERAGE(OFFSET($AM$3,0,0,'Données projet'!$E$10+1,1))-AVERAGE(OFFSET($H$3,0,0,'Données projet'!$E$10+1,1))</f>
        <v>160.55473404658039</v>
      </c>
      <c r="AO45" s="62">
        <f t="shared" si="36"/>
        <v>188.70262429536223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6.782923868478159</v>
      </c>
      <c r="AV45" s="23">
        <f>EXP(-LN(2)/25)*AV44+(1-EXP(-LN(2)/25))/(LN(2)/25)*Calculateur!AQ45*Calculateur!AS45*VLOOKUP('Données projet'!$B$10,Paramètres!$A$1:$I$88,3,0)*0.475*44/12</f>
        <v>14.646459808641993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21.42938367712015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19</v>
      </c>
      <c r="BD45" s="13">
        <f>IF('Données projet'!$A$88&gt;35,BD44+BC45-BL44,IF(A45&lt;'Données projet'!$A$88,$BA$205^A45,IF(A45='Données projet'!$A$88,'Données projet'!$B$88,BD44+BC45-BL44)))</f>
        <v>368.00000000000017</v>
      </c>
      <c r="BE45" s="14">
        <f>BD45*VLOOKUP('Données projet'!$B$11,Paramètres!$A$1:$I$88,3,0)*VLOOKUP('Données projet'!$B$11,Paramètres!$A$1:$I$88,5,0)</f>
        <v>205.7120000000001</v>
      </c>
      <c r="BF45" s="14">
        <f t="shared" si="37"/>
        <v>50.997427696933762</v>
      </c>
      <c r="BG45" s="22">
        <f t="shared" si="7"/>
        <v>447.10225323882645</v>
      </c>
      <c r="BH45" s="62">
        <f t="shared" si="8"/>
        <v>740.43558657215976</v>
      </c>
      <c r="BI45" s="62">
        <f ca="1">AVERAGE(OFFSET($BH$3,0,0,'Données projet'!$E$11+1,1))-AVERAGE(OFFSET($H$3,0,0,'Données projet'!$E$11+1,1))</f>
        <v>358.417829688045</v>
      </c>
      <c r="BJ45" s="62">
        <f t="shared" si="38"/>
        <v>394.03759949558713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34.607113976540241</v>
      </c>
      <c r="BQ45" s="23">
        <f>EXP(-LN(2)/25)*BQ44+(1-EXP(-LN(2)/25))/(LN(2)/25)*Calculateur!BL45*Calculateur!BN45*VLOOKUP('Données projet'!$B$11,Paramètres!$A$1:$I$88,3,0)*0.475*44/12</f>
        <v>28.6130619237769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63.220175900317145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19</v>
      </c>
      <c r="BY45" s="13">
        <f>IF('Données projet'!$A$114&gt;35,BY44+BX45-CG44,IF(A45&lt;'Données projet'!$A$114,$BV$205^A45,IF(A45='Données projet'!$A$114,'Données projet'!$B$114,BY44+BX45-CG44)))</f>
        <v>261.00000000000006</v>
      </c>
      <c r="BZ45" s="14">
        <f>BY45*VLOOKUP('Données projet'!$B$12,Paramètres!$A$1:$I$88,3,0)*VLOOKUP('Données projet'!$B$12,Paramètres!$A$1:$I$88,5,0)</f>
        <v>156.07800000000003</v>
      </c>
      <c r="CA45" s="14">
        <f t="shared" si="39"/>
        <v>39.956623674978466</v>
      </c>
      <c r="CB45" s="22">
        <f t="shared" si="10"/>
        <v>341.42696956725422</v>
      </c>
      <c r="CC45" s="62">
        <f t="shared" si="11"/>
        <v>634.76030290058748</v>
      </c>
      <c r="CD45" s="62">
        <f ca="1">AVERAGE(OFFSET($CC$3,0,0,'Données projet'!$E$12+1,1))-AVERAGE(OFFSET($H$3,0,0,'Données projet'!$E$12+1,1))</f>
        <v>405.42845699663462</v>
      </c>
      <c r="CE45" s="62">
        <f t="shared" si="40"/>
        <v>292.26503163353146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23.321971876222289</v>
      </c>
      <c r="CL45" s="23">
        <f>EXP(-LN(2)/25)*CL44+(1-EXP(-LN(2)/25))/(LN(2)/25)*Calculateur!CG45*Calculateur!CI45*VLOOKUP('Données projet'!$B$12,Paramètres!$A$1:$I$88,3,0)*0.475*44/12</f>
        <v>16.57409807162151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39.896069947843799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6.166666666666667</v>
      </c>
      <c r="N46" s="14">
        <f>IF('Données projet'!$A$36&gt;35,N45+M46-V45,IF(A46&lt;'Données projet'!$A$36,$K$205^A46,IF(A46='Données projet'!$A$36,'Données projet'!$B$36,N45+M46-V45)))</f>
        <v>89.166666666666657</v>
      </c>
      <c r="O46" s="14">
        <f>N46*VLOOKUP('Données projet'!$B$9,Paramètres!$A$1:$I$88,3,0)*VLOOKUP('Données projet'!$B$9,Paramètres!$A$1:$I$88,5,0)</f>
        <v>80.677999999999983</v>
      </c>
      <c r="P46" s="14">
        <f t="shared" si="33"/>
        <v>22.302877142655586</v>
      </c>
      <c r="Q46" s="22">
        <f t="shared" si="53"/>
        <v>179.35836102345846</v>
      </c>
      <c r="R46" s="62">
        <f t="shared" si="0"/>
        <v>472.6916943567918</v>
      </c>
      <c r="S46" s="62">
        <f ca="1">AVERAGE(OFFSET($R$3,0,0,'Données projet'!$E$9+1,1))-AVERAGE(OFFSET($H$3,0,0,'Données projet'!$E$9+1,1))</f>
        <v>329.02356155998905</v>
      </c>
      <c r="T46" s="62">
        <f t="shared" si="34"/>
        <v>199.43308683696642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3.794982786233061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3.794982786233061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7.5</v>
      </c>
      <c r="AI46" s="14">
        <f>IF('Données projet'!$A$62&gt;35,AI45+AH46-AQ45,IF(A46&lt;'Données projet'!$A$62,$AF$205^A46,IF(A46='Données projet'!$A$62,'Données projet'!$B$62,AI45+AH46-AQ45)))</f>
        <v>171.62</v>
      </c>
      <c r="AJ46" s="14">
        <f>AI46*VLOOKUP('Données projet'!$B$10,Paramètres!$A$1:$I$88,3,0)*VLOOKUP('Données projet'!$B$10,Paramètres!$A$1:$I$88,5,0)</f>
        <v>80.318160000000006</v>
      </c>
      <c r="AK46" s="14">
        <f t="shared" si="35"/>
        <v>22.214957923479322</v>
      </c>
      <c r="AL46" s="22">
        <f t="shared" si="4"/>
        <v>178.57851371672646</v>
      </c>
      <c r="AM46" s="62">
        <f t="shared" si="5"/>
        <v>471.91184705005981</v>
      </c>
      <c r="AN46" s="62">
        <f ca="1">AVERAGE(OFFSET($AM$3,0,0,'Données projet'!$E$10+1,1))-AVERAGE(OFFSET($H$3,0,0,'Données projet'!$E$10+1,1))</f>
        <v>160.55473404658039</v>
      </c>
      <c r="AO46" s="62">
        <f t="shared" si="36"/>
        <v>188.70262429536223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6.6499148685923499</v>
      </c>
      <c r="AV46" s="23">
        <f>EXP(-LN(2)/25)*AV45+(1-EXP(-LN(2)/25))/(LN(2)/25)*Calculateur!AQ46*Calculateur!AS46*VLOOKUP('Données projet'!$B$10,Paramètres!$A$1:$I$88,3,0)*0.475*44/12</f>
        <v>14.245951594950832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20.895866463543182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19</v>
      </c>
      <c r="BD46" s="13">
        <f>IF('Données projet'!$A$88&gt;35,BD45+BC46-BL45,IF(A46&lt;'Données projet'!$A$88,$BA$205^A46,IF(A46='Données projet'!$A$88,'Données projet'!$B$88,BD45+BC46-BL45)))</f>
        <v>387.00000000000017</v>
      </c>
      <c r="BE46" s="14">
        <f>BD46*VLOOKUP('Données projet'!$B$11,Paramètres!$A$1:$I$88,3,0)*VLOOKUP('Données projet'!$B$11,Paramètres!$A$1:$I$88,5,0)</f>
        <v>216.33300000000011</v>
      </c>
      <c r="BF46" s="14">
        <f t="shared" si="37"/>
        <v>53.317103385534637</v>
      </c>
      <c r="BG46" s="22">
        <f t="shared" si="7"/>
        <v>469.6405967298063</v>
      </c>
      <c r="BH46" s="62">
        <f t="shared" si="8"/>
        <v>762.97393006313962</v>
      </c>
      <c r="BI46" s="62">
        <f ca="1">AVERAGE(OFFSET($BH$3,0,0,'Données projet'!$E$11+1,1))-AVERAGE(OFFSET($H$3,0,0,'Données projet'!$E$11+1,1))</f>
        <v>358.417829688045</v>
      </c>
      <c r="BJ46" s="62">
        <f t="shared" si="38"/>
        <v>394.03759949558713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33.928489579715546</v>
      </c>
      <c r="BQ46" s="23">
        <f>EXP(-LN(2)/25)*BQ45+(1-EXP(-LN(2)/25))/(LN(2)/25)*Calculateur!BL46*Calculateur!BN46*VLOOKUP('Données projet'!$B$11,Paramètres!$A$1:$I$88,3,0)*0.475*44/12</f>
        <v>27.830636240775689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61.759125820491235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19</v>
      </c>
      <c r="BY46" s="13">
        <f>IF('Données projet'!$A$114&gt;35,BY45+BX46-CG45,IF(A46&lt;'Données projet'!$A$114,$BV$205^A46,IF(A46='Données projet'!$A$114,'Données projet'!$B$114,BY45+BX46-CG45)))</f>
        <v>280.00000000000006</v>
      </c>
      <c r="BZ46" s="14">
        <f>BY46*VLOOKUP('Données projet'!$B$12,Paramètres!$A$1:$I$88,3,0)*VLOOKUP('Données projet'!$B$12,Paramètres!$A$1:$I$88,5,0)</f>
        <v>167.44000000000005</v>
      </c>
      <c r="CA46" s="14">
        <f t="shared" si="39"/>
        <v>42.516163405082935</v>
      </c>
      <c r="CB46" s="22">
        <f t="shared" si="10"/>
        <v>365.67365126385283</v>
      </c>
      <c r="CC46" s="62">
        <f t="shared" si="11"/>
        <v>659.00698459718615</v>
      </c>
      <c r="CD46" s="62">
        <f ca="1">AVERAGE(OFFSET($CC$3,0,0,'Données projet'!$E$12+1,1))-AVERAGE(OFFSET($H$3,0,0,'Données projet'!$E$12+1,1))</f>
        <v>405.42845699663462</v>
      </c>
      <c r="CE46" s="62">
        <f t="shared" si="40"/>
        <v>292.26503163353146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22.864642232727814</v>
      </c>
      <c r="CL46" s="23">
        <f>EXP(-LN(2)/25)*CL45+(1-EXP(-LN(2)/25))/(LN(2)/25)*Calculateur!CG46*Calculateur!CI46*VLOOKUP('Données projet'!$B$12,Paramètres!$A$1:$I$88,3,0)*0.475*44/12</f>
        <v>16.120878488259084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38.985520720986898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6.166666666666667</v>
      </c>
      <c r="N47" s="14">
        <f>IF('Données projet'!$A$36&gt;35,N46+M47-V46,IF(A47&lt;'Données projet'!$A$36,$K$205^A47,IF(A47='Données projet'!$A$36,'Données projet'!$B$36,N46+M47-V46)))</f>
        <v>95.333333333333329</v>
      </c>
      <c r="O47" s="14">
        <f>N47*VLOOKUP('Données projet'!$B$9,Paramètres!$A$1:$I$88,3,0)*VLOOKUP('Données projet'!$B$9,Paramètres!$A$1:$I$88,5,0)</f>
        <v>86.257599999999996</v>
      </c>
      <c r="P47" s="14">
        <f t="shared" si="33"/>
        <v>23.660429354093463</v>
      </c>
      <c r="Q47" s="22">
        <f t="shared" si="53"/>
        <v>191.44056779171277</v>
      </c>
      <c r="R47" s="62">
        <f t="shared" si="0"/>
        <v>484.77390112504611</v>
      </c>
      <c r="S47" s="62">
        <f ca="1">AVERAGE(OFFSET($R$3,0,0,'Données projet'!$E$9+1,1))-AVERAGE(OFFSET($H$3,0,0,'Données projet'!$E$9+1,1))</f>
        <v>329.02356155998905</v>
      </c>
      <c r="T47" s="62">
        <f t="shared" si="34"/>
        <v>199.43308683696642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3.7205654885059714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3.7205654885059714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7.5</v>
      </c>
      <c r="AI47" s="14">
        <f>IF('Données projet'!$A$62&gt;35,AI46+AH47-AQ46,IF(A47&lt;'Données projet'!$A$62,$AF$205^A47,IF(A47='Données projet'!$A$62,'Données projet'!$B$62,AI46+AH47-AQ46)))</f>
        <v>179.12</v>
      </c>
      <c r="AJ47" s="14">
        <f>AI47*VLOOKUP('Données projet'!$B$10,Paramètres!$A$1:$I$88,3,0)*VLOOKUP('Données projet'!$B$10,Paramètres!$A$1:$I$88,5,0)</f>
        <v>83.828159999999997</v>
      </c>
      <c r="AK47" s="14">
        <f t="shared" si="35"/>
        <v>23.07062766697906</v>
      </c>
      <c r="AL47" s="22">
        <f t="shared" si="4"/>
        <v>186.18205518665516</v>
      </c>
      <c r="AM47" s="62">
        <f t="shared" si="5"/>
        <v>479.51538851998851</v>
      </c>
      <c r="AN47" s="62">
        <f ca="1">AVERAGE(OFFSET($AM$3,0,0,'Données projet'!$E$10+1,1))-AVERAGE(OFFSET($H$3,0,0,'Données projet'!$E$10+1,1))</f>
        <v>160.55473404658039</v>
      </c>
      <c r="AO47" s="62">
        <f t="shared" si="36"/>
        <v>188.70262429536223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6.5195140940668219</v>
      </c>
      <c r="AV47" s="23">
        <f>EXP(-LN(2)/25)*AV46+(1-EXP(-LN(2)/25))/(LN(2)/25)*Calculateur!AQ47*Calculateur!AS47*VLOOKUP('Données projet'!$B$10,Paramètres!$A$1:$I$88,3,0)*0.475*44/12</f>
        <v>13.856395299424866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20.375909393491689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19</v>
      </c>
      <c r="BD47" s="13">
        <f>IF('Données projet'!$A$88&gt;35,BD46+BC47-BL46,IF(A47&lt;'Données projet'!$A$88,$BA$205^A47,IF(A47='Données projet'!$A$88,'Données projet'!$B$88,BD46+BC47-BL46)))</f>
        <v>406.00000000000017</v>
      </c>
      <c r="BE47" s="14">
        <f>BD47*VLOOKUP('Données projet'!$B$11,Paramètres!$A$1:$I$88,3,0)*VLOOKUP('Données projet'!$B$11,Paramètres!$A$1:$I$88,5,0)</f>
        <v>226.95400000000009</v>
      </c>
      <c r="BF47" s="14">
        <f t="shared" si="37"/>
        <v>55.623554954078735</v>
      </c>
      <c r="BG47" s="22">
        <f t="shared" si="7"/>
        <v>492.15590821168735</v>
      </c>
      <c r="BH47" s="62">
        <f t="shared" si="8"/>
        <v>785.4892415450206</v>
      </c>
      <c r="BI47" s="62">
        <f ca="1">AVERAGE(OFFSET($BH$3,0,0,'Données projet'!$E$11+1,1))-AVERAGE(OFFSET($H$3,0,0,'Données projet'!$E$11+1,1))</f>
        <v>358.417829688045</v>
      </c>
      <c r="BJ47" s="62">
        <f t="shared" si="38"/>
        <v>394.03759949558713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33.263172593392575</v>
      </c>
      <c r="BQ47" s="23">
        <f>EXP(-LN(2)/25)*BQ46+(1-EXP(-LN(2)/25))/(LN(2)/25)*Calculateur!BL47*Calculateur!BN47*VLOOKUP('Données projet'!$B$11,Paramètres!$A$1:$I$88,3,0)*0.475*44/12</f>
        <v>27.069606029222125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60.332778622614697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19</v>
      </c>
      <c r="BY47" s="13">
        <f>IF('Données projet'!$A$114&gt;35,BY46+BX47-CG46,IF(A47&lt;'Données projet'!$A$114,$BV$205^A47,IF(A47='Données projet'!$A$114,'Données projet'!$B$114,BY46+BX47-CG46)))</f>
        <v>299.00000000000006</v>
      </c>
      <c r="BZ47" s="14">
        <f>BY47*VLOOKUP('Données projet'!$B$12,Paramètres!$A$1:$I$88,3,0)*VLOOKUP('Données projet'!$B$12,Paramètres!$A$1:$I$88,5,0)</f>
        <v>178.80200000000002</v>
      </c>
      <c r="CA47" s="14">
        <f t="shared" si="39"/>
        <v>45.055549739375941</v>
      </c>
      <c r="CB47" s="22">
        <f t="shared" si="10"/>
        <v>389.88523246274644</v>
      </c>
      <c r="CC47" s="62">
        <f t="shared" si="11"/>
        <v>683.2185657960797</v>
      </c>
      <c r="CD47" s="62">
        <f ca="1">AVERAGE(OFFSET($CC$3,0,0,'Données projet'!$E$12+1,1))-AVERAGE(OFFSET($H$3,0,0,'Données projet'!$E$12+1,1))</f>
        <v>405.42845699663462</v>
      </c>
      <c r="CE47" s="62">
        <f t="shared" si="40"/>
        <v>292.26503163353146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22.416280544598724</v>
      </c>
      <c r="CL47" s="23">
        <f>EXP(-LN(2)/25)*CL46+(1-EXP(-LN(2)/25))/(LN(2)/25)*Calculateur!CG47*Calculateur!CI47*VLOOKUP('Données projet'!$B$12,Paramètres!$A$1:$I$88,3,0)*0.475*44/12</f>
        <v>15.680052218237485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38.096332762836212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6.166666666666667</v>
      </c>
      <c r="N48" s="14">
        <f>IF('Données projet'!$A$36&gt;35,N47+M48-V47,IF(A48&lt;'Données projet'!$A$36,$K$205^A48,IF(A48='Données projet'!$A$36,'Données projet'!$B$36,N47+M48-V47)))</f>
        <v>101.5</v>
      </c>
      <c r="O48" s="14">
        <f>N48*VLOOKUP('Données projet'!$B$9,Paramètres!$A$1:$I$88,3,0)*VLOOKUP('Données projet'!$B$9,Paramètres!$A$1:$I$88,5,0)</f>
        <v>91.837199999999996</v>
      </c>
      <c r="P48" s="14">
        <f t="shared" si="33"/>
        <v>25.007790936639388</v>
      </c>
      <c r="Q48" s="22">
        <f t="shared" si="53"/>
        <v>203.5050258813136</v>
      </c>
      <c r="R48" s="62">
        <f t="shared" si="0"/>
        <v>496.83835921464691</v>
      </c>
      <c r="S48" s="62">
        <f ca="1">AVERAGE(OFFSET($R$3,0,0,'Données projet'!$E$9+1,1))-AVERAGE(OFFSET($H$3,0,0,'Données projet'!$E$9+1,1))</f>
        <v>329.02356155998905</v>
      </c>
      <c r="T48" s="62">
        <f t="shared" si="34"/>
        <v>199.43308683696642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3.6476074685972404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3.6476074685972404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7.5</v>
      </c>
      <c r="AI48" s="14">
        <f>IF('Données projet'!$A$62&gt;35,AI47+AH48-AQ47,IF(A48&lt;'Données projet'!$A$62,$AF$205^A48,IF(A48='Données projet'!$A$62,'Données projet'!$B$62,AI47+AH48-AQ47)))</f>
        <v>186.62</v>
      </c>
      <c r="AJ48" s="14">
        <f>AI48*VLOOKUP('Données projet'!$B$10,Paramètres!$A$1:$I$88,3,0)*VLOOKUP('Données projet'!$B$10,Paramètres!$A$1:$I$88,5,0)</f>
        <v>87.338160000000002</v>
      </c>
      <c r="AK48" s="14">
        <f t="shared" si="35"/>
        <v>23.922135885857756</v>
      </c>
      <c r="AL48" s="22">
        <f t="shared" si="4"/>
        <v>193.77834866786893</v>
      </c>
      <c r="AM48" s="62">
        <f t="shared" si="5"/>
        <v>487.11168200120221</v>
      </c>
      <c r="AN48" s="62">
        <f ca="1">AVERAGE(OFFSET($AM$3,0,0,'Données projet'!$E$10+1,1))-AVERAGE(OFFSET($H$3,0,0,'Données projet'!$E$10+1,1))</f>
        <v>160.55473404658039</v>
      </c>
      <c r="AO48" s="62">
        <f t="shared" si="36"/>
        <v>188.70262429536223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6.3916703991931207</v>
      </c>
      <c r="AV48" s="23">
        <f>EXP(-LN(2)/25)*AV47+(1-EXP(-LN(2)/25))/(LN(2)/25)*Calculateur!AQ48*Calculateur!AS48*VLOOKUP('Données projet'!$B$10,Paramètres!$A$1:$I$88,3,0)*0.475*44/12</f>
        <v>13.477491441285935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19.869161840479055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19</v>
      </c>
      <c r="BD48" s="13">
        <f>IF('Données projet'!$A$88&gt;35,BD47+BC48-BL47,IF(A48&lt;'Données projet'!$A$88,$BA$205^A48,IF(A48='Données projet'!$A$88,'Données projet'!$B$88,BD47+BC48-BL47)))</f>
        <v>425.00000000000017</v>
      </c>
      <c r="BE48" s="14">
        <f>BD48*VLOOKUP('Données projet'!$B$11,Paramètres!$A$1:$I$88,3,0)*VLOOKUP('Données projet'!$B$11,Paramètres!$A$1:$I$88,5,0)</f>
        <v>237.57500000000007</v>
      </c>
      <c r="BF48" s="14">
        <f t="shared" si="37"/>
        <v>57.917471937261212</v>
      </c>
      <c r="BG48" s="22">
        <f t="shared" si="7"/>
        <v>514.64938862406336</v>
      </c>
      <c r="BH48" s="62">
        <f t="shared" si="8"/>
        <v>807.98272195739673</v>
      </c>
      <c r="BI48" s="62">
        <f ca="1">AVERAGE(OFFSET($BH$3,0,0,'Données projet'!$E$11+1,1))-AVERAGE(OFFSET($H$3,0,0,'Données projet'!$E$11+1,1))</f>
        <v>358.417829688045</v>
      </c>
      <c r="BJ48" s="62">
        <f t="shared" si="38"/>
        <v>394.03759949558713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32.610902067368102</v>
      </c>
      <c r="BQ48" s="23">
        <f>EXP(-LN(2)/25)*BQ47+(1-EXP(-LN(2)/25))/(LN(2)/25)*Calculateur!BL48*Calculateur!BN48*VLOOKUP('Données projet'!$B$11,Paramètres!$A$1:$I$88,3,0)*0.475*44/12</f>
        <v>26.329386228824333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58.940288296192435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318</v>
      </c>
      <c r="BW48" s="13">
        <f>VLOOKUP(A48,'Données projet'!$A$113:$I$133,9,0)</f>
        <v>19</v>
      </c>
      <c r="BX48" s="13">
        <f t="array" ref="BX48">INDEX(BW:BW,MIN(IF(ISNUMBER(BW48:BW244),ROW(BW48:BW244),"")))</f>
        <v>19</v>
      </c>
      <c r="BY48" s="13">
        <f>IF('Données projet'!$A$114&gt;35,BY47+BX48-CG47,IF(A48&lt;'Données projet'!$A$114,$BV$205^A48,IF(A48='Données projet'!$A$114,'Données projet'!$B$114,BY47+BX48-CG47)))</f>
        <v>318.00000000000006</v>
      </c>
      <c r="BZ48" s="14">
        <f>BY48*VLOOKUP('Données projet'!$B$12,Paramètres!$A$1:$I$88,3,0)*VLOOKUP('Données projet'!$B$12,Paramètres!$A$1:$I$88,5,0)</f>
        <v>190.16400000000004</v>
      </c>
      <c r="CA48" s="14">
        <f t="shared" si="39"/>
        <v>47.576209101852911</v>
      </c>
      <c r="CB48" s="22">
        <f t="shared" si="10"/>
        <v>414.06419751906054</v>
      </c>
      <c r="CC48" s="62">
        <f t="shared" si="11"/>
        <v>707.39753085239386</v>
      </c>
      <c r="CD48" s="62">
        <f ca="1">AVERAGE(OFFSET($CC$3,0,0,'Données projet'!$E$12+1,1))-AVERAGE(OFFSET($H$3,0,0,'Données projet'!$E$12+1,1))</f>
        <v>405.42845699663462</v>
      </c>
      <c r="CE48" s="62">
        <f t="shared" si="40"/>
        <v>292.26503163353146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53</v>
      </c>
      <c r="CH48" s="17">
        <f>IF(ISNA(VLOOKUP(A48,'Données projet'!$A$113:$I$133,5,0)),0%,VLOOKUP(A48,'Données projet'!$A$113:$I$133,5,0)*VLOOKUP('Données projet'!$B$12,Paramètres!$A$1:$I$88,7,0))</f>
        <v>0.315</v>
      </c>
      <c r="CI48" s="17">
        <f>IF(ISNA(VLOOKUP(A48,'Données projet'!$A$113:$I$133,6,0)),0%,VLOOKUP(A48,'Données projet'!$A$113:$I$133,6,0)*VLOOKUP('Données projet'!$B$12,Paramètres!$A$1:$I$88,7,0))</f>
        <v>0.13500000000000001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35.220613118670968</v>
      </c>
      <c r="CL48" s="23">
        <f>EXP(-LN(2)/25)*CL47+(1-EXP(-LN(2)/25))/(LN(2)/25)*Calculateur!CG48*Calculateur!CI48*VLOOKUP('Données projet'!$B$12,Paramètres!$A$1:$I$88,3,0)*0.475*44/12</f>
        <v>20.904890025965724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56.125503144636696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6.166666666666667</v>
      </c>
      <c r="N49" s="14">
        <f>IF('Données projet'!$A$36&gt;35,N48+M49-V48,IF(A49&lt;'Données projet'!$A$36,$K$205^A49,IF(A49='Données projet'!$A$36,'Données projet'!$B$36,N48+M49-V48)))</f>
        <v>107.66666666666667</v>
      </c>
      <c r="O49" s="14">
        <f>N49*VLOOKUP('Données projet'!$B$9,Paramètres!$A$1:$I$88,3,0)*VLOOKUP('Données projet'!$B$9,Paramètres!$A$1:$I$88,5,0)</f>
        <v>97.416799999999995</v>
      </c>
      <c r="P49" s="14">
        <f t="shared" si="33"/>
        <v>26.345651528270771</v>
      </c>
      <c r="Q49" s="22">
        <f t="shared" si="53"/>
        <v>215.55293641173822</v>
      </c>
      <c r="R49" s="62">
        <f t="shared" si="0"/>
        <v>508.88626974507156</v>
      </c>
      <c r="S49" s="62">
        <f ca="1">AVERAGE(OFFSET($R$3,0,0,'Données projet'!$E$9+1,1))-AVERAGE(OFFSET($H$3,0,0,'Données projet'!$E$9+1,1))</f>
        <v>329.02356155998905</v>
      </c>
      <c r="T49" s="62">
        <f t="shared" si="34"/>
        <v>199.43308683696642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3.5760801109589218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3.5760801109589218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7.5</v>
      </c>
      <c r="AI49" s="14">
        <f>IF('Données projet'!$A$62&gt;35,AI48+AH49-AQ48,IF(A49&lt;'Données projet'!$A$62,$AF$205^A49,IF(A49='Données projet'!$A$62,'Données projet'!$B$62,AI48+AH49-AQ48)))</f>
        <v>194.12</v>
      </c>
      <c r="AJ49" s="14">
        <f>AI49*VLOOKUP('Données projet'!$B$10,Paramètres!$A$1:$I$88,3,0)*VLOOKUP('Données projet'!$B$10,Paramètres!$A$1:$I$88,5,0)</f>
        <v>90.848160000000007</v>
      </c>
      <c r="AK49" s="14">
        <f t="shared" si="35"/>
        <v>24.769668959679429</v>
      </c>
      <c r="AL49" s="22">
        <f t="shared" si="4"/>
        <v>201.36771877144167</v>
      </c>
      <c r="AM49" s="62">
        <f t="shared" si="5"/>
        <v>494.70105210477499</v>
      </c>
      <c r="AN49" s="62">
        <f ca="1">AVERAGE(OFFSET($AM$3,0,0,'Données projet'!$E$10+1,1))-AVERAGE(OFFSET($H$3,0,0,'Données projet'!$E$10+1,1))</f>
        <v>160.55473404658039</v>
      </c>
      <c r="AO49" s="62">
        <f t="shared" si="36"/>
        <v>188.70262429536223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6.2663336411989388</v>
      </c>
      <c r="AV49" s="23">
        <f>EXP(-LN(2)/25)*AV48+(1-EXP(-LN(2)/25))/(LN(2)/25)*Calculateur!AQ49*Calculateur!AS49*VLOOKUP('Données projet'!$B$10,Paramètres!$A$1:$I$88,3,0)*0.475*44/12</f>
        <v>13.108948729073498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19.375282370272437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444</v>
      </c>
      <c r="BB49" s="13">
        <f>VLOOKUP(A49,'Données projet'!$A$87:$I$107,9,0)</f>
        <v>19</v>
      </c>
      <c r="BC49" s="13">
        <f t="array" ref="BC49">INDEX(BB:BB,MIN(IF(ISNUMBER(BB49:BB245),ROW(BB49:BB245),"")))</f>
        <v>19</v>
      </c>
      <c r="BD49" s="13">
        <f>IF('Données projet'!$A$88&gt;35,BD48+BC49-BL48,IF(A49&lt;'Données projet'!$A$88,$BA$205^A49,IF(A49='Données projet'!$A$88,'Données projet'!$B$88,BD48+BC49-BL48)))</f>
        <v>444.00000000000017</v>
      </c>
      <c r="BE49" s="14">
        <f>BD49*VLOOKUP('Données projet'!$B$11,Paramètres!$A$1:$I$88,3,0)*VLOOKUP('Données projet'!$B$11,Paramètres!$A$1:$I$88,5,0)</f>
        <v>248.19600000000011</v>
      </c>
      <c r="BF49" s="14">
        <f t="shared" si="37"/>
        <v>60.199478731755242</v>
      </c>
      <c r="BG49" s="22">
        <f t="shared" si="7"/>
        <v>537.12212545780721</v>
      </c>
      <c r="BH49" s="62">
        <f t="shared" si="8"/>
        <v>830.45545879114047</v>
      </c>
      <c r="BI49" s="62">
        <f ca="1">AVERAGE(OFFSET($BH$3,0,0,'Données projet'!$E$11+1,1))-AVERAGE(OFFSET($H$3,0,0,'Données projet'!$E$11+1,1))</f>
        <v>358.417829688045</v>
      </c>
      <c r="BJ49" s="62">
        <f t="shared" si="38"/>
        <v>394.03759949558713</v>
      </c>
      <c r="BK49" s="16">
        <f>IF(ISNA(VLOOKUP(A49,'Données projet'!$A$87:$I$107,3,0)),0,VLOOKUP(A49,'Données projet'!$A$87:$I$107,3,0))</f>
        <v>5</v>
      </c>
      <c r="BL49" s="16">
        <f>IF(ISNA(VLOOKUP(A49,'Données projet'!$A$87:$I$107,4,0)),0,VLOOKUP(A49,'Données projet'!$A$87:$I$107,4,0))</f>
        <v>86</v>
      </c>
      <c r="BM49" s="17">
        <f>IF(ISNA(VLOOKUP(A49,'Données projet'!$A$87:$I$107,5,0)),0%,VLOOKUP(A49,'Données projet'!$A$87:$I$107,5,0)*VLOOKUP('Données projet'!$B$11,Paramètres!$A$1:$I$88,7,0))</f>
        <v>0.38500000000000001</v>
      </c>
      <c r="BN49" s="17">
        <f>IF(ISNA(VLOOKUP(A49,'Données projet'!$A$87:$I$107,6,0)),0%,VLOOKUP(A49,'Données projet'!$A$87:$I$107,6,0)*VLOOKUP('Données projet'!$B$11,Paramètres!$A$1:$I$88,7,0))</f>
        <v>0.16500000000000001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56.524127126371404</v>
      </c>
      <c r="BQ49" s="23">
        <f>EXP(-LN(2)/25)*BQ48+(1-EXP(-LN(2)/25))/(LN(2)/25)*Calculateur!BL49*Calculateur!BN49*VLOOKUP('Données projet'!$B$11,Paramètres!$A$1:$I$88,3,0)*0.475*44/12</f>
        <v>36.090564179134191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92.614691305505602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17.399999999999999</v>
      </c>
      <c r="BY49" s="13">
        <f>IF('Données projet'!$A$114&gt;35,BY48+BX49-CG48,IF(A49&lt;'Données projet'!$A$114,$BV$205^A49,IF(A49='Données projet'!$A$114,'Données projet'!$B$114,BY48+BX49-CG48)))</f>
        <v>282.40000000000003</v>
      </c>
      <c r="BZ49" s="14">
        <f>BY49*VLOOKUP('Données projet'!$B$12,Paramètres!$A$1:$I$88,3,0)*VLOOKUP('Données projet'!$B$12,Paramètres!$A$1:$I$88,5,0)</f>
        <v>168.87520000000004</v>
      </c>
      <c r="CA49" s="14">
        <f t="shared" si="39"/>
        <v>42.838008554673955</v>
      </c>
      <c r="CB49" s="22">
        <f t="shared" si="10"/>
        <v>368.73383823272388</v>
      </c>
      <c r="CC49" s="62">
        <f t="shared" si="11"/>
        <v>662.06717156605714</v>
      </c>
      <c r="CD49" s="62">
        <f ca="1">AVERAGE(OFFSET($CC$3,0,0,'Données projet'!$E$12+1,1))-AVERAGE(OFFSET($H$3,0,0,'Données projet'!$E$12+1,1))</f>
        <v>405.42845699663462</v>
      </c>
      <c r="CE49" s="62">
        <f t="shared" si="40"/>
        <v>292.26503163353146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34.52995837786662</v>
      </c>
      <c r="CL49" s="23">
        <f>EXP(-LN(2)/25)*CL48+(1-EXP(-LN(2)/25))/(LN(2)/25)*Calculateur!CG49*Calculateur!CI49*VLOOKUP('Données projet'!$B$12,Paramètres!$A$1:$I$88,3,0)*0.475*44/12</f>
        <v>20.333244708865305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54.863203086731929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6.166666666666667</v>
      </c>
      <c r="N50" s="14">
        <f>IF('Données projet'!$A$36&gt;35,N49+M50-V49,IF(A50&lt;'Données projet'!$A$36,$K$205^A50,IF(A50='Données projet'!$A$36,'Données projet'!$B$36,N49+M50-V49)))</f>
        <v>113.83333333333334</v>
      </c>
      <c r="O50" s="14">
        <f>N50*VLOOKUP('Données projet'!$B$9,Paramètres!$A$1:$I$88,3,0)*VLOOKUP('Données projet'!$B$9,Paramètres!$A$1:$I$88,5,0)</f>
        <v>102.99640000000001</v>
      </c>
      <c r="P50" s="14">
        <f t="shared" si="33"/>
        <v>27.674617306062274</v>
      </c>
      <c r="Q50" s="22">
        <f t="shared" si="53"/>
        <v>227.5853551413918</v>
      </c>
      <c r="R50" s="62">
        <f t="shared" si="0"/>
        <v>520.91868847472506</v>
      </c>
      <c r="S50" s="62">
        <f ca="1">AVERAGE(OFFSET($R$3,0,0,'Données projet'!$E$9+1,1))-AVERAGE(OFFSET($H$3,0,0,'Données projet'!$E$9+1,1))</f>
        <v>329.02356155998905</v>
      </c>
      <c r="T50" s="62">
        <f t="shared" si="34"/>
        <v>199.43308683696642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3.5059553611765102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3.5059553611765102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7.5</v>
      </c>
      <c r="AI50" s="14">
        <f>IF('Données projet'!$A$62&gt;35,AI49+AH50-AQ49,IF(A50&lt;'Données projet'!$A$62,$AF$205^A50,IF(A50='Données projet'!$A$62,'Données projet'!$B$62,AI49+AH50-AQ49)))</f>
        <v>201.62</v>
      </c>
      <c r="AJ50" s="14">
        <f>AI50*VLOOKUP('Données projet'!$B$10,Paramètres!$A$1:$I$88,3,0)*VLOOKUP('Données projet'!$B$10,Paramètres!$A$1:$I$88,5,0)</f>
        <v>94.358160000000012</v>
      </c>
      <c r="AK50" s="14">
        <f t="shared" si="35"/>
        <v>25.613398050576336</v>
      </c>
      <c r="AL50" s="22">
        <f t="shared" si="4"/>
        <v>208.95046360475382</v>
      </c>
      <c r="AM50" s="62">
        <f t="shared" si="5"/>
        <v>502.28379693808711</v>
      </c>
      <c r="AN50" s="62">
        <f ca="1">AVERAGE(OFFSET($AM$3,0,0,'Données projet'!$E$10+1,1))-AVERAGE(OFFSET($H$3,0,0,'Données projet'!$E$10+1,1))</f>
        <v>160.55473404658039</v>
      </c>
      <c r="AO50" s="62">
        <f t="shared" si="36"/>
        <v>188.70262429536223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6.1434546605811491</v>
      </c>
      <c r="AV50" s="23">
        <f>EXP(-LN(2)/25)*AV49+(1-EXP(-LN(2)/25))/(LN(2)/25)*Calculateur!AQ50*Calculateur!AS50*VLOOKUP('Données projet'!$B$10,Paramètres!$A$1:$I$88,3,0)*0.475*44/12</f>
        <v>12.75048383670733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18.893938497288481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17.714285714285715</v>
      </c>
      <c r="BD50" s="13">
        <f>IF('Données projet'!$A$88&gt;35,BD49+BC50-BL49,IF(A50&lt;'Données projet'!$A$88,$BA$205^A50,IF(A50='Données projet'!$A$88,'Données projet'!$B$88,BD49+BC50-BL49)))</f>
        <v>375.71428571428589</v>
      </c>
      <c r="BE50" s="14">
        <f>BD50*VLOOKUP('Données projet'!$B$11,Paramètres!$A$1:$I$88,3,0)*VLOOKUP('Données projet'!$B$11,Paramètres!$A$1:$I$88,5,0)</f>
        <v>210.02428571428581</v>
      </c>
      <c r="BF50" s="14">
        <f t="shared" si="37"/>
        <v>51.940892702173983</v>
      </c>
      <c r="BG50" s="22">
        <f t="shared" si="7"/>
        <v>456.25601907533411</v>
      </c>
      <c r="BH50" s="62">
        <f t="shared" si="8"/>
        <v>749.58935240866742</v>
      </c>
      <c r="BI50" s="62">
        <f ca="1">AVERAGE(OFFSET($BH$3,0,0,'Données projet'!$E$11+1,1))-AVERAGE(OFFSET($H$3,0,0,'Données projet'!$E$11+1,1))</f>
        <v>358.417829688045</v>
      </c>
      <c r="BJ50" s="62">
        <f t="shared" si="38"/>
        <v>394.03759949558713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55.415723469736555</v>
      </c>
      <c r="BQ50" s="23">
        <f>EXP(-LN(2)/25)*BQ49+(1-EXP(-LN(2)/25))/(LN(2)/25)*Calculateur!BL50*Calculateur!BN50*VLOOKUP('Données projet'!$B$11,Paramètres!$A$1:$I$88,3,0)*0.475*44/12</f>
        <v>35.103665803735481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90.519389273472029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17.399999999999999</v>
      </c>
      <c r="BY50" s="13">
        <f>IF('Données projet'!$A$114&gt;35,BY49+BX50-CG49,IF(A50&lt;'Données projet'!$A$114,$BV$205^A50,IF(A50='Données projet'!$A$114,'Données projet'!$B$114,BY49+BX50-CG49)))</f>
        <v>299.8</v>
      </c>
      <c r="BZ50" s="14">
        <f>BY50*VLOOKUP('Données projet'!$B$12,Paramètres!$A$1:$I$88,3,0)*VLOOKUP('Données projet'!$B$12,Paramètres!$A$1:$I$88,5,0)</f>
        <v>179.28040000000001</v>
      </c>
      <c r="CA50" s="14">
        <f t="shared" si="39"/>
        <v>45.162051118824294</v>
      </c>
      <c r="CB50" s="22">
        <f t="shared" si="10"/>
        <v>390.90393569861902</v>
      </c>
      <c r="CC50" s="62">
        <f t="shared" si="11"/>
        <v>684.23726903195234</v>
      </c>
      <c r="CD50" s="62">
        <f ca="1">AVERAGE(OFFSET($CC$3,0,0,'Données projet'!$E$12+1,1))-AVERAGE(OFFSET($H$3,0,0,'Données projet'!$E$12+1,1))</f>
        <v>405.42845699663462</v>
      </c>
      <c r="CE50" s="62">
        <f t="shared" si="40"/>
        <v>292.26503163353146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33.852846955271644</v>
      </c>
      <c r="CL50" s="23">
        <f>EXP(-LN(2)/25)*CL49+(1-EXP(-LN(2)/25))/(LN(2)/25)*Calculateur!CG50*Calculateur!CI50*VLOOKUP('Données projet'!$B$12,Paramètres!$A$1:$I$88,3,0)*0.475*44/12</f>
        <v>19.777231063022516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53.630078018294157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120</v>
      </c>
      <c r="L51" s="13">
        <f>VLOOKUP(A51,'Données projet'!$A$35:$I$55,9,0)</f>
        <v>6.166666666666667</v>
      </c>
      <c r="M51" s="13">
        <f t="array" ref="M51">INDEX(L:L,MIN(IF(ISNUMBER(L51:L247),ROW(L51:L247),"")))</f>
        <v>6.166666666666667</v>
      </c>
      <c r="N51" s="14">
        <f>IF('Données projet'!$A$36&gt;35,N50+M51-V50,IF(A51&lt;'Données projet'!$A$36,$K$205^A51,IF(A51='Données projet'!$A$36,'Données projet'!$B$36,N50+M51-V50)))</f>
        <v>120.00000000000001</v>
      </c>
      <c r="O51" s="14">
        <f>N51*VLOOKUP('Données projet'!$B$9,Paramètres!$A$1:$I$88,3,0)*VLOOKUP('Données projet'!$B$9,Paramètres!$A$1:$I$88,5,0)</f>
        <v>108.57600000000002</v>
      </c>
      <c r="P51" s="14">
        <f t="shared" si="33"/>
        <v>28.995225061228027</v>
      </c>
      <c r="Q51" s="22">
        <f t="shared" si="53"/>
        <v>239.60321698163887</v>
      </c>
      <c r="R51" s="62">
        <f t="shared" si="0"/>
        <v>532.93655031497224</v>
      </c>
      <c r="S51" s="62">
        <f ca="1">AVERAGE(OFFSET($R$3,0,0,'Données projet'!$E$9+1,1))-AVERAGE(OFFSET($H$3,0,0,'Données projet'!$E$9+1,1))</f>
        <v>329.02356155998905</v>
      </c>
      <c r="T51" s="62">
        <f t="shared" si="34"/>
        <v>199.43308683696642</v>
      </c>
      <c r="U51" s="16">
        <f>IF(ISNA(VLOOKUP(A51,'Données projet'!$A$35:$I$55,3,0)),0,VLOOKUP(A51,'Données projet'!$A$35:$I$55,3,0))</f>
        <v>2</v>
      </c>
      <c r="V51" s="16">
        <f>IF(ISNA(VLOOKUP(A51,'Données projet'!$A$35:$I$55,4,0)),0,VLOOKUP(A51,'Données projet'!$A$35:$I$55,4,0))</f>
        <v>28</v>
      </c>
      <c r="W51" s="17">
        <f>IF(ISNA(VLOOKUP(A51,'Données projet'!$A$35:$I$55,5,0)),0%,VLOOKUP(A51,'Données projet'!$A$35:$I$55,5,0)*VLOOKUP('Données projet'!$B$9,Paramètres!$A$1:$I$88,7,0))</f>
        <v>0.129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7.0500350280033626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7.0500350280033626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7.5</v>
      </c>
      <c r="AI51" s="14">
        <f>IF('Données projet'!$A$62&gt;35,AI50+AH51-AQ50,IF(A51&lt;'Données projet'!$A$62,$AF$205^A51,IF(A51='Données projet'!$A$62,'Données projet'!$B$62,AI50+AH51-AQ50)))</f>
        <v>209.12</v>
      </c>
      <c r="AJ51" s="14">
        <f>AI51*VLOOKUP('Données projet'!$B$10,Paramètres!$A$1:$I$88,3,0)*VLOOKUP('Données projet'!$B$10,Paramètres!$A$1:$I$88,5,0)</f>
        <v>97.868159999999989</v>
      </c>
      <c r="AK51" s="14">
        <f t="shared" si="35"/>
        <v>26.4534808652033</v>
      </c>
      <c r="AL51" s="22">
        <f t="shared" si="4"/>
        <v>216.52685784022904</v>
      </c>
      <c r="AM51" s="62">
        <f t="shared" si="5"/>
        <v>509.86019117356238</v>
      </c>
      <c r="AN51" s="62">
        <f ca="1">AVERAGE(OFFSET($AM$3,0,0,'Données projet'!$E$10+1,1))-AVERAGE(OFFSET($H$3,0,0,'Données projet'!$E$10+1,1))</f>
        <v>160.55473404658039</v>
      </c>
      <c r="AO51" s="62">
        <f t="shared" si="36"/>
        <v>188.70262429536223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6.0229852618244966</v>
      </c>
      <c r="AV51" s="23">
        <f>EXP(-LN(2)/25)*AV50+(1-EXP(-LN(2)/25))/(LN(2)/25)*Calculateur!AQ51*Calculateur!AS51*VLOOKUP('Données projet'!$B$10,Paramètres!$A$1:$I$88,3,0)*0.475*44/12</f>
        <v>12.401821185673764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18.424806447498263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17.714285714285715</v>
      </c>
      <c r="BD51" s="13">
        <f>IF('Données projet'!$A$88&gt;35,BD50+BC51-BL50,IF(A51&lt;'Données projet'!$A$88,$BA$205^A51,IF(A51='Données projet'!$A$88,'Données projet'!$B$88,BD50+BC51-BL50)))</f>
        <v>393.42857142857162</v>
      </c>
      <c r="BE51" s="14">
        <f>BD51*VLOOKUP('Données projet'!$B$11,Paramètres!$A$1:$I$88,3,0)*VLOOKUP('Données projet'!$B$11,Paramètres!$A$1:$I$88,5,0)</f>
        <v>219.92657142857152</v>
      </c>
      <c r="BF51" s="14">
        <f t="shared" si="37"/>
        <v>54.098926073340607</v>
      </c>
      <c r="BG51" s="22">
        <f t="shared" si="7"/>
        <v>477.26107481583023</v>
      </c>
      <c r="BH51" s="62">
        <f t="shared" si="8"/>
        <v>770.59440814916354</v>
      </c>
      <c r="BI51" s="62">
        <f ca="1">AVERAGE(OFFSET($BH$3,0,0,'Données projet'!$E$11+1,1))-AVERAGE(OFFSET($H$3,0,0,'Données projet'!$E$11+1,1))</f>
        <v>358.417829688045</v>
      </c>
      <c r="BJ51" s="62">
        <f t="shared" si="38"/>
        <v>394.03759949558713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54.329054932748839</v>
      </c>
      <c r="BQ51" s="23">
        <f>EXP(-LN(2)/25)*BQ50+(1-EXP(-LN(2)/25))/(LN(2)/25)*Calculateur!BL51*Calculateur!BN51*VLOOKUP('Données projet'!$B$11,Paramètres!$A$1:$I$88,3,0)*0.475*44/12</f>
        <v>34.143754216310782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88.472809149059628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17.399999999999999</v>
      </c>
      <c r="BY51" s="13">
        <f>IF('Données projet'!$A$114&gt;35,BY50+BX51-CG50,IF(A51&lt;'Données projet'!$A$114,$BV$205^A51,IF(A51='Données projet'!$A$114,'Données projet'!$B$114,BY50+BX51-CG50)))</f>
        <v>317.2</v>
      </c>
      <c r="BZ51" s="14">
        <f>BY51*VLOOKUP('Données projet'!$B$12,Paramètres!$A$1:$I$88,3,0)*VLOOKUP('Données projet'!$B$12,Paramètres!$A$1:$I$88,5,0)</f>
        <v>189.68560000000002</v>
      </c>
      <c r="CA51" s="14">
        <f t="shared" si="39"/>
        <v>47.470436776872745</v>
      </c>
      <c r="CB51" s="22">
        <f t="shared" si="10"/>
        <v>413.04676405305344</v>
      </c>
      <c r="CC51" s="62">
        <f t="shared" si="11"/>
        <v>706.38009738638675</v>
      </c>
      <c r="CD51" s="62">
        <f ca="1">AVERAGE(OFFSET($CC$3,0,0,'Données projet'!$E$12+1,1))-AVERAGE(OFFSET($H$3,0,0,'Données projet'!$E$12+1,1))</f>
        <v>405.42845699663462</v>
      </c>
      <c r="CE51" s="62">
        <f t="shared" si="40"/>
        <v>292.26503163353146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33.189013274676569</v>
      </c>
      <c r="CL51" s="23">
        <f>EXP(-LN(2)/25)*CL50+(1-EXP(-LN(2)/25))/(LN(2)/25)*Calculateur!CG51*Calculateur!CI51*VLOOKUP('Données projet'!$B$12,Paramètres!$A$1:$I$88,3,0)*0.475*44/12</f>
        <v>19.236421639564785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52.42543491424135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5.75</v>
      </c>
      <c r="N52" s="14">
        <f>IF('Données projet'!$A$36&gt;35,N51+M52-V51,IF(A52&lt;'Données projet'!$A$36,$K$205^A52,IF(A52='Données projet'!$A$36,'Données projet'!$B$36,N51+M52-V51)))</f>
        <v>97.750000000000014</v>
      </c>
      <c r="O52" s="14">
        <f>N52*VLOOKUP('Données projet'!$B$9,Paramètres!$A$1:$I$88,3,0)*VLOOKUP('Données projet'!$B$9,Paramètres!$A$1:$I$88,5,0)</f>
        <v>88.444200000000009</v>
      </c>
      <c r="P52" s="14">
        <f t="shared" si="33"/>
        <v>24.189623542231114</v>
      </c>
      <c r="Q52" s="22">
        <f t="shared" si="53"/>
        <v>196.17057600271923</v>
      </c>
      <c r="R52" s="62">
        <f t="shared" si="0"/>
        <v>489.50390933605252</v>
      </c>
      <c r="S52" s="62">
        <f ca="1">AVERAGE(OFFSET($R$3,0,0,'Données projet'!$E$9+1,1))-AVERAGE(OFFSET($H$3,0,0,'Données projet'!$E$9+1,1))</f>
        <v>329.02356155998905</v>
      </c>
      <c r="T52" s="62">
        <f t="shared" si="34"/>
        <v>199.43308683696642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6.9117881412009847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6.9117881412009847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7.5</v>
      </c>
      <c r="AI52" s="14">
        <f>IF('Données projet'!$A$62&gt;35,AI51+AH52-AQ51,IF(A52&lt;'Données projet'!$A$62,$AF$205^A52,IF(A52='Données projet'!$A$62,'Données projet'!$B$62,AI51+AH52-AQ51)))</f>
        <v>216.62</v>
      </c>
      <c r="AJ52" s="14">
        <f>AI52*VLOOKUP('Données projet'!$B$10,Paramètres!$A$1:$I$88,3,0)*VLOOKUP('Données projet'!$B$10,Paramètres!$A$1:$I$88,5,0)</f>
        <v>101.37815999999999</v>
      </c>
      <c r="AK52" s="14">
        <f t="shared" si="35"/>
        <v>27.29006315682112</v>
      </c>
      <c r="AL52" s="22">
        <f t="shared" si="4"/>
        <v>224.09715533146343</v>
      </c>
      <c r="AM52" s="62">
        <f t="shared" si="5"/>
        <v>517.43048866479671</v>
      </c>
      <c r="AN52" s="62">
        <f ca="1">AVERAGE(OFFSET($AM$3,0,0,'Données projet'!$E$10+1,1))-AVERAGE(OFFSET($H$3,0,0,'Données projet'!$E$10+1,1))</f>
        <v>160.55473404658039</v>
      </c>
      <c r="AO52" s="62">
        <f t="shared" si="36"/>
        <v>188.70262429536223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5.9048781944983846</v>
      </c>
      <c r="AV52" s="23">
        <f>EXP(-LN(2)/25)*AV51+(1-EXP(-LN(2)/25))/(LN(2)/25)*Calculateur!AQ52*Calculateur!AS52*VLOOKUP('Données projet'!$B$10,Paramètres!$A$1:$I$88,3,0)*0.475*44/12</f>
        <v>12.062692733168085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17.967570927666468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17.714285714285715</v>
      </c>
      <c r="BD52" s="13">
        <f>IF('Données projet'!$A$88&gt;35,BD51+BC52-BL51,IF(A52&lt;'Données projet'!$A$88,$BA$205^A52,IF(A52='Données projet'!$A$88,'Données projet'!$B$88,BD51+BC52-BL51)))</f>
        <v>411.14285714285734</v>
      </c>
      <c r="BE52" s="14">
        <f>BD52*VLOOKUP('Données projet'!$B$11,Paramètres!$A$1:$I$88,3,0)*VLOOKUP('Données projet'!$B$11,Paramètres!$A$1:$I$88,5,0)</f>
        <v>229.82885714285723</v>
      </c>
      <c r="BF52" s="14">
        <f t="shared" si="37"/>
        <v>56.245674841098193</v>
      </c>
      <c r="BG52" s="22">
        <f t="shared" si="7"/>
        <v>498.24647653872233</v>
      </c>
      <c r="BH52" s="62">
        <f t="shared" si="8"/>
        <v>791.57980987205565</v>
      </c>
      <c r="BI52" s="62">
        <f ca="1">AVERAGE(OFFSET($BH$3,0,0,'Données projet'!$E$11+1,1))-AVERAGE(OFFSET($H$3,0,0,'Données projet'!$E$11+1,1))</f>
        <v>358.417829688045</v>
      </c>
      <c r="BJ52" s="62">
        <f t="shared" si="38"/>
        <v>394.03759949558713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53.26369530296909</v>
      </c>
      <c r="BQ52" s="23">
        <f>EXP(-LN(2)/25)*BQ51+(1-EXP(-LN(2)/25))/(LN(2)/25)*Calculateur!BL52*Calculateur!BN52*VLOOKUP('Données projet'!$B$11,Paramètres!$A$1:$I$88,3,0)*0.475*44/12</f>
        <v>33.210091461723763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86.473786764692846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17.399999999999999</v>
      </c>
      <c r="BY52" s="13">
        <f>IF('Données projet'!$A$114&gt;35,BY51+BX52-CG51,IF(A52&lt;'Données projet'!$A$114,$BV$205^A52,IF(A52='Données projet'!$A$114,'Données projet'!$B$114,BY51+BX52-CG51)))</f>
        <v>334.59999999999997</v>
      </c>
      <c r="BZ52" s="14">
        <f>BY52*VLOOKUP('Données projet'!$B$12,Paramètres!$A$1:$I$88,3,0)*VLOOKUP('Données projet'!$B$12,Paramètres!$A$1:$I$88,5,0)</f>
        <v>200.0908</v>
      </c>
      <c r="CA52" s="14">
        <f t="shared" si="39"/>
        <v>49.764122289960234</v>
      </c>
      <c r="CB52" s="22">
        <f t="shared" si="10"/>
        <v>435.16398965501406</v>
      </c>
      <c r="CC52" s="62">
        <f t="shared" si="11"/>
        <v>728.49732298834738</v>
      </c>
      <c r="CD52" s="62">
        <f ca="1">AVERAGE(OFFSET($CC$3,0,0,'Données projet'!$E$12+1,1))-AVERAGE(OFFSET($H$3,0,0,'Données projet'!$E$12+1,1))</f>
        <v>405.42845699663462</v>
      </c>
      <c r="CE52" s="62">
        <f t="shared" si="40"/>
        <v>292.26503163353146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32.538196967659403</v>
      </c>
      <c r="CL52" s="23">
        <f>EXP(-LN(2)/25)*CL51+(1-EXP(-LN(2)/25))/(LN(2)/25)*Calculateur!CG52*Calculateur!CI52*VLOOKUP('Données projet'!$B$12,Paramètres!$A$1:$I$88,3,0)*0.475*44/12</f>
        <v>18.710400678231437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51.24859764589084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5.75</v>
      </c>
      <c r="N53" s="14">
        <f>IF('Données projet'!$A$36&gt;35,N52+M53-V52,IF(A53&lt;'Données projet'!$A$36,$K$205^A53,IF(A53='Données projet'!$A$36,'Données projet'!$B$36,N52+M53-V52)))</f>
        <v>103.50000000000001</v>
      </c>
      <c r="O53" s="14">
        <f>N53*VLOOKUP('Données projet'!$B$9,Paramètres!$A$1:$I$88,3,0)*VLOOKUP('Données projet'!$B$9,Paramètres!$A$1:$I$88,5,0)</f>
        <v>93.646799999999999</v>
      </c>
      <c r="P53" s="14">
        <f t="shared" si="33"/>
        <v>25.442701819587722</v>
      </c>
      <c r="Q53" s="22">
        <f t="shared" si="53"/>
        <v>207.41421566911529</v>
      </c>
      <c r="R53" s="62">
        <f t="shared" si="0"/>
        <v>500.74754900244864</v>
      </c>
      <c r="S53" s="62">
        <f ca="1">AVERAGE(OFFSET($R$3,0,0,'Données projet'!$E$9+1,1))-AVERAGE(OFFSET($H$3,0,0,'Données projet'!$E$9+1,1))</f>
        <v>329.02356155998905</v>
      </c>
      <c r="T53" s="62">
        <f t="shared" si="34"/>
        <v>199.43308683696642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6.7762521915265266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6.7762521915265266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7.5</v>
      </c>
      <c r="AI53" s="14">
        <f>IF('Données projet'!$A$62&gt;35,AI52+AH53-AQ52,IF(A53&lt;'Données projet'!$A$62,$AF$205^A53,IF(A53='Données projet'!$A$62,'Données projet'!$B$62,AI52+AH53-AQ52)))</f>
        <v>224.12</v>
      </c>
      <c r="AJ53" s="14">
        <f>AI53*VLOOKUP('Données projet'!$B$10,Paramètres!$A$1:$I$88,3,0)*VLOOKUP('Données projet'!$B$10,Paramètres!$A$1:$I$88,5,0)</f>
        <v>104.88816</v>
      </c>
      <c r="AK53" s="14">
        <f t="shared" si="35"/>
        <v>28.123280013510676</v>
      </c>
      <c r="AL53" s="22">
        <f t="shared" si="4"/>
        <v>231.66159135686442</v>
      </c>
      <c r="AM53" s="62">
        <f t="shared" si="5"/>
        <v>524.99492469019776</v>
      </c>
      <c r="AN53" s="62">
        <f ca="1">AVERAGE(OFFSET($AM$3,0,0,'Données projet'!$E$10+1,1))-AVERAGE(OFFSET($H$3,0,0,'Données projet'!$E$10+1,1))</f>
        <v>160.55473404658039</v>
      </c>
      <c r="AO53" s="62">
        <f t="shared" si="36"/>
        <v>188.70262429536223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5.7890871347243396</v>
      </c>
      <c r="AV53" s="23">
        <f>EXP(-LN(2)/25)*AV52+(1-EXP(-LN(2)/25))/(LN(2)/25)*Calculateur!AQ53*Calculateur!AS53*VLOOKUP('Données projet'!$B$10,Paramètres!$A$1:$I$88,3,0)*0.475*44/12</f>
        <v>11.732837766030162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17.521924900754502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17.714285714285715</v>
      </c>
      <c r="BD53" s="13">
        <f>IF('Données projet'!$A$88&gt;35,BD52+BC53-BL52,IF(A53&lt;'Données projet'!$A$88,$BA$205^A53,IF(A53='Données projet'!$A$88,'Données projet'!$B$88,BD52+BC53-BL52)))</f>
        <v>428.85714285714306</v>
      </c>
      <c r="BE53" s="14">
        <f>BD53*VLOOKUP('Données projet'!$B$11,Paramètres!$A$1:$I$88,3,0)*VLOOKUP('Données projet'!$B$11,Paramètres!$A$1:$I$88,5,0)</f>
        <v>239.73114285714297</v>
      </c>
      <c r="BF53" s="14">
        <f t="shared" si="37"/>
        <v>58.381680785216851</v>
      </c>
      <c r="BG53" s="22">
        <f t="shared" si="7"/>
        <v>519.21316784377666</v>
      </c>
      <c r="BH53" s="62">
        <f t="shared" si="8"/>
        <v>812.54650117711003</v>
      </c>
      <c r="BI53" s="62">
        <f ca="1">AVERAGE(OFFSET($BH$3,0,0,'Données projet'!$E$11+1,1))-AVERAGE(OFFSET($H$3,0,0,'Données projet'!$E$11+1,1))</f>
        <v>358.417829688045</v>
      </c>
      <c r="BJ53" s="62">
        <f t="shared" si="38"/>
        <v>394.03759949558713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52.219226725724113</v>
      </c>
      <c r="BQ53" s="23">
        <f>EXP(-LN(2)/25)*BQ52+(1-EXP(-LN(2)/25))/(LN(2)/25)*Calculateur!BL53*Calculateur!BN53*VLOOKUP('Données projet'!$B$11,Paramètres!$A$1:$I$88,3,0)*0.475*44/12</f>
        <v>32.301959764260118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84.521186489984231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352</v>
      </c>
      <c r="BW53" s="13">
        <f>VLOOKUP(A53,'Données projet'!$A$113:$I$133,9,0)</f>
        <v>17.399999999999999</v>
      </c>
      <c r="BX53" s="13">
        <f t="array" ref="BX53">INDEX(BW:BW,MIN(IF(ISNUMBER(BW53:BW249),ROW(BW53:BW249),"")))</f>
        <v>17.399999999999999</v>
      </c>
      <c r="BY53" s="13">
        <f>IF('Données projet'!$A$114&gt;35,BY52+BX53-CG52,IF(A53&lt;'Données projet'!$A$114,$BV$205^A53,IF(A53='Données projet'!$A$114,'Données projet'!$B$114,BY52+BX53-CG52)))</f>
        <v>351.99999999999994</v>
      </c>
      <c r="BZ53" s="14">
        <f>BY53*VLOOKUP('Données projet'!$B$12,Paramètres!$A$1:$I$88,3,0)*VLOOKUP('Données projet'!$B$12,Paramètres!$A$1:$I$88,5,0)</f>
        <v>210.49599999999998</v>
      </c>
      <c r="CA53" s="14">
        <f t="shared" si="39"/>
        <v>52.043959291168463</v>
      </c>
      <c r="CB53" s="22">
        <f t="shared" si="10"/>
        <v>457.25709576545165</v>
      </c>
      <c r="CC53" s="62">
        <f t="shared" si="11"/>
        <v>750.59042909878497</v>
      </c>
      <c r="CD53" s="62">
        <f ca="1">AVERAGE(OFFSET($CC$3,0,0,'Données projet'!$E$12+1,1))-AVERAGE(OFFSET($H$3,0,0,'Données projet'!$E$12+1,1))</f>
        <v>405.42845699663462</v>
      </c>
      <c r="CE53" s="62">
        <f t="shared" si="40"/>
        <v>292.26503163353146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53</v>
      </c>
      <c r="CH53" s="17">
        <f>IF(ISNA(VLOOKUP(A53,'Données projet'!$A$113:$I$133,5,0)),0%,VLOOKUP(A53,'Données projet'!$A$113:$I$133,5,0)*VLOOKUP('Données projet'!$B$12,Paramètres!$A$1:$I$88,7,0))</f>
        <v>0.315</v>
      </c>
      <c r="CI53" s="17">
        <f>IF(ISNA(VLOOKUP(A53,'Données projet'!$A$113:$I$133,6,0)),0%,VLOOKUP(A53,'Données projet'!$A$113:$I$133,6,0)*VLOOKUP('Données projet'!$B$12,Paramètres!$A$1:$I$88,7,0))</f>
        <v>0.13500000000000001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45.144044934434838</v>
      </c>
      <c r="CL53" s="23">
        <f>EXP(-LN(2)/25)*CL52+(1-EXP(-LN(2)/25))/(LN(2)/25)*Calculateur!CG53*Calculateur!CI53*VLOOKUP('Données projet'!$B$12,Paramètres!$A$1:$I$88,3,0)*0.475*44/12</f>
        <v>23.852373447962041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68.996418382396882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5.75</v>
      </c>
      <c r="N54" s="14">
        <f>IF('Données projet'!$A$36&gt;35,N53+M54-V53,IF(A54&lt;'Données projet'!$A$36,$K$205^A54,IF(A54='Données projet'!$A$36,'Données projet'!$B$36,N53+M54-V53)))</f>
        <v>109.25000000000001</v>
      </c>
      <c r="O54" s="14">
        <f>N54*VLOOKUP('Données projet'!$B$9,Paramètres!$A$1:$I$88,3,0)*VLOOKUP('Données projet'!$B$9,Paramètres!$A$1:$I$88,5,0)</f>
        <v>98.849400000000003</v>
      </c>
      <c r="P54" s="14">
        <f t="shared" si="33"/>
        <v>26.687698613342342</v>
      </c>
      <c r="Q54" s="22">
        <f t="shared" si="53"/>
        <v>218.64378008490459</v>
      </c>
      <c r="R54" s="62">
        <f t="shared" si="0"/>
        <v>511.97711341823788</v>
      </c>
      <c r="S54" s="62">
        <f ca="1">AVERAGE(OFFSET($R$3,0,0,'Données projet'!$E$9+1,1))-AVERAGE(OFFSET($H$3,0,0,'Données projet'!$E$9+1,1))</f>
        <v>329.02356155998905</v>
      </c>
      <c r="T54" s="62">
        <f t="shared" si="34"/>
        <v>199.43308683696642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6.6433740191564183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6.6433740191564183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7.5</v>
      </c>
      <c r="AI54" s="14">
        <f>IF('Données projet'!$A$62&gt;35,AI53+AH54-AQ53,IF(A54&lt;'Données projet'!$A$62,$AF$205^A54,IF(A54='Données projet'!$A$62,'Données projet'!$B$62,AI53+AH54-AQ53)))</f>
        <v>231.62</v>
      </c>
      <c r="AJ54" s="14">
        <f>AI54*VLOOKUP('Données projet'!$B$10,Paramètres!$A$1:$I$88,3,0)*VLOOKUP('Données projet'!$B$10,Paramètres!$A$1:$I$88,5,0)</f>
        <v>108.39816</v>
      </c>
      <c r="AK54" s="14">
        <f t="shared" si="35"/>
        <v>28.953256969105865</v>
      </c>
      <c r="AL54" s="22">
        <f t="shared" si="4"/>
        <v>239.22038455452602</v>
      </c>
      <c r="AM54" s="62">
        <f t="shared" si="5"/>
        <v>532.55371788785931</v>
      </c>
      <c r="AN54" s="62">
        <f ca="1">AVERAGE(OFFSET($AM$3,0,0,'Données projet'!$E$10+1,1))-AVERAGE(OFFSET($H$3,0,0,'Données projet'!$E$10+1,1))</f>
        <v>160.55473404658039</v>
      </c>
      <c r="AO54" s="62">
        <f t="shared" si="36"/>
        <v>188.70262429536223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5.6755666670068905</v>
      </c>
      <c r="AV54" s="23">
        <f>EXP(-LN(2)/25)*AV53+(1-EXP(-LN(2)/25))/(LN(2)/25)*Calculateur!AQ54*Calculateur!AS54*VLOOKUP('Données projet'!$B$10,Paramètres!$A$1:$I$88,3,0)*0.475*44/12</f>
        <v>11.412002700314945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17.087569367321834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17.714285714285715</v>
      </c>
      <c r="BD54" s="13">
        <f>IF('Données projet'!$A$88&gt;35,BD53+BC54-BL53,IF(A54&lt;'Données projet'!$A$88,$BA$205^A54,IF(A54='Données projet'!$A$88,'Données projet'!$B$88,BD53+BC54-BL53)))</f>
        <v>446.57142857142878</v>
      </c>
      <c r="BE54" s="14">
        <f>BD54*VLOOKUP('Données projet'!$B$11,Paramètres!$A$1:$I$88,3,0)*VLOOKUP('Données projet'!$B$11,Paramètres!$A$1:$I$88,5,0)</f>
        <v>249.63342857142868</v>
      </c>
      <c r="BF54" s="14">
        <f t="shared" si="37"/>
        <v>60.50743839573984</v>
      </c>
      <c r="BG54" s="22">
        <f t="shared" si="7"/>
        <v>540.16200996781845</v>
      </c>
      <c r="BH54" s="62">
        <f t="shared" si="8"/>
        <v>833.49534330115171</v>
      </c>
      <c r="BI54" s="62">
        <f ca="1">AVERAGE(OFFSET($BH$3,0,0,'Données projet'!$E$11+1,1))-AVERAGE(OFFSET($H$3,0,0,'Données projet'!$E$11+1,1))</f>
        <v>358.417829688045</v>
      </c>
      <c r="BJ54" s="62">
        <f t="shared" si="38"/>
        <v>394.03759949558713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51.195239540215979</v>
      </c>
      <c r="BQ54" s="23">
        <f>EXP(-LN(2)/25)*BQ53+(1-EXP(-LN(2)/25))/(LN(2)/25)*Calculateur!BL54*Calculateur!BN54*VLOOKUP('Données projet'!$B$11,Paramètres!$A$1:$I$88,3,0)*0.475*44/12</f>
        <v>31.418660975820188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82.613900516036168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17.625</v>
      </c>
      <c r="BY54" s="13">
        <f>IF('Données projet'!$A$114&gt;35,BY53+BX54-CG53,IF(A54&lt;'Données projet'!$A$114,$BV$205^A54,IF(A54='Données projet'!$A$114,'Données projet'!$B$114,BY53+BX54-CG53)))</f>
        <v>316.62499999999994</v>
      </c>
      <c r="BZ54" s="14">
        <f>BY54*VLOOKUP('Données projet'!$B$12,Paramètres!$A$1:$I$88,3,0)*VLOOKUP('Données projet'!$B$12,Paramètres!$A$1:$I$88,5,0)</f>
        <v>189.34174999999999</v>
      </c>
      <c r="CA54" s="14">
        <f t="shared" si="39"/>
        <v>47.394393740797923</v>
      </c>
      <c r="CB54" s="22">
        <f t="shared" si="10"/>
        <v>412.31545034855634</v>
      </c>
      <c r="CC54" s="62">
        <f t="shared" si="11"/>
        <v>705.64878368188965</v>
      </c>
      <c r="CD54" s="62">
        <f ca="1">AVERAGE(OFFSET($CC$3,0,0,'Données projet'!$E$12+1,1))-AVERAGE(OFFSET($H$3,0,0,'Données projet'!$E$12+1,1))</f>
        <v>405.42845699663462</v>
      </c>
      <c r="CE54" s="62">
        <f t="shared" si="40"/>
        <v>292.26503163353146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44.258797748419113</v>
      </c>
      <c r="CL54" s="23">
        <f>EXP(-LN(2)/25)*CL53+(1-EXP(-LN(2)/25))/(LN(2)/25)*Calculateur!CG54*Calculateur!CI54*VLOOKUP('Données projet'!$B$12,Paramètres!$A$1:$I$88,3,0)*0.475*44/12</f>
        <v>23.200129041685713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67.458926790104826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5.75</v>
      </c>
      <c r="N55" s="14">
        <f>IF('Données projet'!$A$36&gt;35,N54+M55-V54,IF(A55&lt;'Données projet'!$A$36,$K$205^A55,IF(A55='Données projet'!$A$36,'Données projet'!$B$36,N54+M55-V54)))</f>
        <v>115.00000000000001</v>
      </c>
      <c r="O55" s="14">
        <f>N55*VLOOKUP('Données projet'!$B$9,Paramètres!$A$1:$I$88,3,0)*VLOOKUP('Données projet'!$B$9,Paramètres!$A$1:$I$88,5,0)</f>
        <v>104.05200000000001</v>
      </c>
      <c r="P55" s="14">
        <f t="shared" si="33"/>
        <v>27.925087771564417</v>
      </c>
      <c r="Q55" s="22">
        <f t="shared" si="53"/>
        <v>229.86009453547467</v>
      </c>
      <c r="R55" s="62">
        <f t="shared" si="0"/>
        <v>523.19342786880793</v>
      </c>
      <c r="S55" s="62">
        <f ca="1">AVERAGE(OFFSET($R$3,0,0,'Données projet'!$E$9+1,1))-AVERAGE(OFFSET($H$3,0,0,'Données projet'!$E$9+1,1))</f>
        <v>329.02356155998905</v>
      </c>
      <c r="T55" s="62">
        <f t="shared" si="34"/>
        <v>199.43308683696642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6.5131015066988054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6.5131015066988054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7.5</v>
      </c>
      <c r="AI55" s="14">
        <f>IF('Données projet'!$A$62&gt;35,AI54+AH55-AQ54,IF(A55&lt;'Données projet'!$A$62,$AF$205^A55,IF(A55='Données projet'!$A$62,'Données projet'!$B$62,AI54+AH55-AQ54)))</f>
        <v>239.12</v>
      </c>
      <c r="AJ55" s="14">
        <f>AI55*VLOOKUP('Données projet'!$B$10,Paramètres!$A$1:$I$88,3,0)*VLOOKUP('Données projet'!$B$10,Paramètres!$A$1:$I$88,5,0)</f>
        <v>111.90816000000001</v>
      </c>
      <c r="AK55" s="14">
        <f t="shared" si="35"/>
        <v>29.780110966194563</v>
      </c>
      <c r="AL55" s="22">
        <f t="shared" si="4"/>
        <v>246.77373859945556</v>
      </c>
      <c r="AM55" s="62">
        <f t="shared" si="5"/>
        <v>540.10707193278881</v>
      </c>
      <c r="AN55" s="62">
        <f ca="1">AVERAGE(OFFSET($AM$3,0,0,'Données projet'!$E$10+1,1))-AVERAGE(OFFSET($H$3,0,0,'Données projet'!$E$10+1,1))</f>
        <v>160.55473404658039</v>
      </c>
      <c r="AO55" s="62">
        <f t="shared" si="36"/>
        <v>188.70262429536223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5.5642722664207325</v>
      </c>
      <c r="AV55" s="23">
        <f>EXP(-LN(2)/25)*AV54+(1-EXP(-LN(2)/25))/(LN(2)/25)*Calculateur!AQ55*Calculateur!AS55*VLOOKUP('Données projet'!$B$10,Paramètres!$A$1:$I$88,3,0)*0.475*44/12</f>
        <v>11.099940886343694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16.664213152764425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17.714285714285715</v>
      </c>
      <c r="BD55" s="13">
        <f>IF('Données projet'!$A$88&gt;35,BD54+BC55-BL54,IF(A55&lt;'Données projet'!$A$88,$BA$205^A55,IF(A55='Données projet'!$A$88,'Données projet'!$B$88,BD54+BC55-BL54)))</f>
        <v>464.2857142857145</v>
      </c>
      <c r="BE55" s="14">
        <f>BD55*VLOOKUP('Données projet'!$B$11,Paramètres!$A$1:$I$88,3,0)*VLOOKUP('Données projet'!$B$11,Paramètres!$A$1:$I$88,5,0)</f>
        <v>259.53571428571439</v>
      </c>
      <c r="BF55" s="14">
        <f t="shared" si="37"/>
        <v>62.623400711752197</v>
      </c>
      <c r="BG55" s="22">
        <f t="shared" si="7"/>
        <v>561.09379195392091</v>
      </c>
      <c r="BH55" s="62">
        <f t="shared" si="8"/>
        <v>854.42712528725428</v>
      </c>
      <c r="BI55" s="62">
        <f ca="1">AVERAGE(OFFSET($BH$3,0,0,'Données projet'!$E$11+1,1))-AVERAGE(OFFSET($H$3,0,0,'Données projet'!$E$11+1,1))</f>
        <v>358.417829688045</v>
      </c>
      <c r="BJ55" s="62">
        <f t="shared" si="38"/>
        <v>394.03759949558713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50.191332118845153</v>
      </c>
      <c r="BQ55" s="23">
        <f>EXP(-LN(2)/25)*BQ54+(1-EXP(-LN(2)/25))/(LN(2)/25)*Calculateur!BL55*Calculateur!BN55*VLOOKUP('Données projet'!$B$11,Paramètres!$A$1:$I$88,3,0)*0.475*44/12</f>
        <v>30.559516039200812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80.750848158045969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17.625</v>
      </c>
      <c r="BY55" s="13">
        <f>IF('Données projet'!$A$114&gt;35,BY54+BX55-CG54,IF(A55&lt;'Données projet'!$A$114,$BV$205^A55,IF(A55='Données projet'!$A$114,'Données projet'!$B$114,BY54+BX55-CG54)))</f>
        <v>334.24999999999994</v>
      </c>
      <c r="BZ55" s="14">
        <f>BY55*VLOOKUP('Données projet'!$B$12,Paramètres!$A$1:$I$88,3,0)*VLOOKUP('Données projet'!$B$12,Paramètres!$A$1:$I$88,5,0)</f>
        <v>199.88149999999996</v>
      </c>
      <c r="CA55" s="14">
        <f t="shared" si="39"/>
        <v>49.71812411377941</v>
      </c>
      <c r="CB55" s="22">
        <f t="shared" si="10"/>
        <v>434.71934533149914</v>
      </c>
      <c r="CC55" s="62">
        <f t="shared" si="11"/>
        <v>728.05267866483246</v>
      </c>
      <c r="CD55" s="62">
        <f ca="1">AVERAGE(OFFSET($CC$3,0,0,'Données projet'!$E$12+1,1))-AVERAGE(OFFSET($H$3,0,0,'Données projet'!$E$12+1,1))</f>
        <v>405.42845699663462</v>
      </c>
      <c r="CE55" s="62">
        <f t="shared" si="40"/>
        <v>292.26503163353146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43.390909719773688</v>
      </c>
      <c r="CL55" s="23">
        <f>EXP(-LN(2)/25)*CL54+(1-EXP(-LN(2)/25))/(LN(2)/25)*Calculateur!CG55*Calculateur!CI55*VLOOKUP('Données projet'!$B$12,Paramètres!$A$1:$I$88,3,0)*0.475*44/12</f>
        <v>22.565720292999057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65.956630012772749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5.75</v>
      </c>
      <c r="N56" s="14">
        <f>IF('Données projet'!$A$36&gt;35,N55+M56-V55,IF(A56&lt;'Données projet'!$A$36,$K$205^A56,IF(A56='Données projet'!$A$36,'Données projet'!$B$36,N55+M56-V55)))</f>
        <v>120.75000000000001</v>
      </c>
      <c r="O56" s="14">
        <f>N56*VLOOKUP('Données projet'!$B$9,Paramètres!$A$1:$I$88,3,0)*VLOOKUP('Données projet'!$B$9,Paramètres!$A$1:$I$88,5,0)</f>
        <v>109.2546</v>
      </c>
      <c r="P56" s="14">
        <f t="shared" si="33"/>
        <v>29.15529308077269</v>
      </c>
      <c r="Q56" s="22">
        <f t="shared" si="53"/>
        <v>241.06389711567908</v>
      </c>
      <c r="R56" s="62">
        <f t="shared" si="0"/>
        <v>534.39723044901234</v>
      </c>
      <c r="S56" s="62">
        <f ca="1">AVERAGE(OFFSET($R$3,0,0,'Données projet'!$E$9+1,1))-AVERAGE(OFFSET($H$3,0,0,'Données projet'!$E$9+1,1))</f>
        <v>329.02356155998905</v>
      </c>
      <c r="T56" s="62">
        <f t="shared" si="34"/>
        <v>199.43308683696642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6.3853835587520988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6.3853835587520988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7.5</v>
      </c>
      <c r="AI56" s="14">
        <f>IF('Données projet'!$A$62&gt;35,AI55+AH56-AQ55,IF(A56&lt;'Données projet'!$A$62,$AF$205^A56,IF(A56='Données projet'!$A$62,'Données projet'!$B$62,AI55+AH56-AQ55)))</f>
        <v>246.62</v>
      </c>
      <c r="AJ56" s="14">
        <f>AI56*VLOOKUP('Données projet'!$B$10,Paramètres!$A$1:$I$88,3,0)*VLOOKUP('Données projet'!$B$10,Paramètres!$A$1:$I$88,5,0)</f>
        <v>115.41816</v>
      </c>
      <c r="AK56" s="14">
        <f t="shared" si="35"/>
        <v>30.60395119490676</v>
      </c>
      <c r="AL56" s="22">
        <f t="shared" si="4"/>
        <v>254.32184366446259</v>
      </c>
      <c r="AM56" s="62">
        <f t="shared" si="5"/>
        <v>547.65517699779593</v>
      </c>
      <c r="AN56" s="62">
        <f ca="1">AVERAGE(OFFSET($AM$3,0,0,'Données projet'!$E$10+1,1))-AVERAGE(OFFSET($H$3,0,0,'Données projet'!$E$10+1,1))</f>
        <v>160.55473404658039</v>
      </c>
      <c r="AO56" s="62">
        <f t="shared" si="36"/>
        <v>188.70262429536223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5.4551602811471875</v>
      </c>
      <c r="AV56" s="23">
        <f>EXP(-LN(2)/25)*AV55+(1-EXP(-LN(2)/25))/(LN(2)/25)*Calculateur!AQ56*Calculateur!AS56*VLOOKUP('Données projet'!$B$10,Paramètres!$A$1:$I$88,3,0)*0.475*44/12</f>
        <v>10.796412419086103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16.251572700233289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>
        <f>VLOOKUP(A56,'Données projet'!$A$87:$I$107,2,0)</f>
        <v>482</v>
      </c>
      <c r="BB56" s="13">
        <f>VLOOKUP(A56,'Données projet'!$A$87:$I$107,9,0)</f>
        <v>17.714285714285715</v>
      </c>
      <c r="BC56" s="13">
        <f t="array" ref="BC56">INDEX(BB:BB,MIN(IF(ISNUMBER(BB56:BB252),ROW(BB56:BB252),"")))</f>
        <v>17.714285714285715</v>
      </c>
      <c r="BD56" s="13">
        <f>IF('Données projet'!$A$88&gt;35,BD55+BC56-BL55,IF(A56&lt;'Données projet'!$A$88,$BA$205^A56,IF(A56='Données projet'!$A$88,'Données projet'!$B$88,BD55+BC56-BL55)))</f>
        <v>482.00000000000023</v>
      </c>
      <c r="BE56" s="14">
        <f>BD56*VLOOKUP('Données projet'!$B$11,Paramètres!$A$1:$I$88,3,0)*VLOOKUP('Données projet'!$B$11,Paramètres!$A$1:$I$88,5,0)</f>
        <v>269.43800000000016</v>
      </c>
      <c r="BF56" s="14">
        <f t="shared" si="37"/>
        <v>64.729984244002864</v>
      </c>
      <c r="BG56" s="22">
        <f t="shared" si="7"/>
        <v>582.00923922497191</v>
      </c>
      <c r="BH56" s="62">
        <f t="shared" si="8"/>
        <v>875.34257255830516</v>
      </c>
      <c r="BI56" s="62">
        <f ca="1">AVERAGE(OFFSET($BH$3,0,0,'Données projet'!$E$11+1,1))-AVERAGE(OFFSET($H$3,0,0,'Données projet'!$E$11+1,1))</f>
        <v>358.417829688045</v>
      </c>
      <c r="BJ56" s="62">
        <f t="shared" si="38"/>
        <v>394.03759949558713</v>
      </c>
      <c r="BK56" s="16">
        <f>IF(ISNA(VLOOKUP(A56,'Données projet'!$A$87:$I$107,3,0)),0,VLOOKUP(A56,'Données projet'!$A$87:$I$107,3,0))</f>
        <v>6</v>
      </c>
      <c r="BL56" s="16">
        <f>IF(ISNA(VLOOKUP(A56,'Données projet'!$A$87:$I$107,4,0)),0,VLOOKUP(A56,'Données projet'!$A$87:$I$107,4,0))</f>
        <v>80</v>
      </c>
      <c r="BM56" s="17">
        <f>IF(ISNA(VLOOKUP(A56,'Données projet'!$A$87:$I$107,5,0)),0%,VLOOKUP(A56,'Données projet'!$A$87:$I$107,5,0)*VLOOKUP('Données projet'!$B$11,Paramètres!$A$1:$I$88,7,0))</f>
        <v>0.38500000000000001</v>
      </c>
      <c r="BN56" s="17">
        <f>IF(ISNA(VLOOKUP(A56,'Données projet'!$A$87:$I$107,6,0)),0%,VLOOKUP(A56,'Données projet'!$A$87:$I$107,6,0)*VLOOKUP('Données projet'!$B$11,Paramètres!$A$1:$I$88,7,0))</f>
        <v>0.16500000000000001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72.046836251877991</v>
      </c>
      <c r="BQ56" s="23">
        <f>EXP(-LN(2)/25)*BQ55+(1-EXP(-LN(2)/25))/(LN(2)/25)*Calculateur!BL56*Calculateur!BN56*VLOOKUP('Données projet'!$B$11,Paramètres!$A$1:$I$88,3,0)*0.475*44/12</f>
        <v>39.473777397532189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111.52061364941018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17.625</v>
      </c>
      <c r="BY56" s="13">
        <f>IF('Données projet'!$A$114&gt;35,BY55+BX56-CG55,IF(A56&lt;'Données projet'!$A$114,$BV$205^A56,IF(A56='Données projet'!$A$114,'Données projet'!$B$114,BY55+BX56-CG55)))</f>
        <v>351.87499999999994</v>
      </c>
      <c r="BZ56" s="14">
        <f>BY56*VLOOKUP('Données projet'!$B$12,Paramètres!$A$1:$I$88,3,0)*VLOOKUP('Données projet'!$B$12,Paramètres!$A$1:$I$88,5,0)</f>
        <v>210.42124999999999</v>
      </c>
      <c r="CA56" s="14">
        <f t="shared" si="39"/>
        <v>52.027628682866947</v>
      </c>
      <c r="CB56" s="22">
        <f t="shared" si="10"/>
        <v>457.09846370599325</v>
      </c>
      <c r="CC56" s="62">
        <f t="shared" si="11"/>
        <v>750.43179703932651</v>
      </c>
      <c r="CD56" s="62">
        <f ca="1">AVERAGE(OFFSET($CC$3,0,0,'Données projet'!$E$12+1,1))-AVERAGE(OFFSET($H$3,0,0,'Données projet'!$E$12+1,1))</f>
        <v>405.42845699663462</v>
      </c>
      <c r="CE56" s="62">
        <f t="shared" si="40"/>
        <v>292.26503163353146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42.540040446010572</v>
      </c>
      <c r="CL56" s="23">
        <f>EXP(-LN(2)/25)*CL55+(1-EXP(-LN(2)/25))/(LN(2)/25)*Calculateur!CG56*Calculateur!CI56*VLOOKUP('Données projet'!$B$12,Paramètres!$A$1:$I$88,3,0)*0.475*44/12</f>
        <v>21.948659484907342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64.488699930917917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5.75</v>
      </c>
      <c r="N57" s="14">
        <f>IF('Données projet'!$A$36&gt;35,N56+M57-V56,IF(A57&lt;'Données projet'!$A$36,$K$205^A57,IF(A57='Données projet'!$A$36,'Données projet'!$B$36,N56+M57-V56)))</f>
        <v>126.50000000000001</v>
      </c>
      <c r="O57" s="14">
        <f>N57*VLOOKUP('Données projet'!$B$9,Paramètres!$A$1:$I$88,3,0)*VLOOKUP('Données projet'!$B$9,Paramètres!$A$1:$I$88,5,0)</f>
        <v>114.45720000000001</v>
      </c>
      <c r="P57" s="14">
        <f t="shared" si="33"/>
        <v>30.378695686262596</v>
      </c>
      <c r="Q57" s="22">
        <f t="shared" si="53"/>
        <v>252.25585165357404</v>
      </c>
      <c r="R57" s="62">
        <f t="shared" si="0"/>
        <v>545.58918498690741</v>
      </c>
      <c r="S57" s="62">
        <f ca="1">AVERAGE(OFFSET($R$3,0,0,'Données projet'!$E$9+1,1))-AVERAGE(OFFSET($H$3,0,0,'Données projet'!$E$9+1,1))</f>
        <v>329.02356155998905</v>
      </c>
      <c r="T57" s="62">
        <f t="shared" si="34"/>
        <v>199.43308683696642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6.2601700818643717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6.2601700818643717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7.5</v>
      </c>
      <c r="AI57" s="14">
        <f>IF('Données projet'!$A$62&gt;35,AI56+AH57-AQ56,IF(A57&lt;'Données projet'!$A$62,$AF$205^A57,IF(A57='Données projet'!$A$62,'Données projet'!$B$62,AI56+AH57-AQ56)))</f>
        <v>254.12</v>
      </c>
      <c r="AJ57" s="14">
        <f>AI57*VLOOKUP('Données projet'!$B$10,Paramètres!$A$1:$I$88,3,0)*VLOOKUP('Données projet'!$B$10,Paramètres!$A$1:$I$88,5,0)</f>
        <v>118.92816000000001</v>
      </c>
      <c r="AK57" s="14">
        <f t="shared" si="35"/>
        <v>31.424879826802247</v>
      </c>
      <c r="AL57" s="22">
        <f t="shared" si="4"/>
        <v>261.86487769834724</v>
      </c>
      <c r="AM57" s="62">
        <f t="shared" si="5"/>
        <v>555.19821103168056</v>
      </c>
      <c r="AN57" s="62">
        <f ca="1">AVERAGE(OFFSET($AM$3,0,0,'Données projet'!$E$10+1,1))-AVERAGE(OFFSET($H$3,0,0,'Données projet'!$E$10+1,1))</f>
        <v>160.55473404658039</v>
      </c>
      <c r="AO57" s="62">
        <f t="shared" si="36"/>
        <v>188.70262429536223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5.3481879153531171</v>
      </c>
      <c r="AV57" s="23">
        <f>EXP(-LN(2)/25)*AV56+(1-EXP(-LN(2)/25))/(LN(2)/25)*Calculateur!AQ57*Calculateur!AS57*VLOOKUP('Données projet'!$B$10,Paramètres!$A$1:$I$88,3,0)*0.475*44/12</f>
        <v>10.501183953727539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15.849371869080656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16.428571428571427</v>
      </c>
      <c r="BD57" s="13">
        <f>IF('Données projet'!$A$88&gt;35,BD56+BC57-BL56,IF(A57&lt;'Données projet'!$A$88,$BA$205^A57,IF(A57='Données projet'!$A$88,'Données projet'!$B$88,BD56+BC57-BL56)))</f>
        <v>418.42857142857167</v>
      </c>
      <c r="BE57" s="14">
        <f>BD57*VLOOKUP('Données projet'!$B$11,Paramètres!$A$1:$I$88,3,0)*VLOOKUP('Données projet'!$B$11,Paramètres!$A$1:$I$88,5,0)</f>
        <v>233.90157142857157</v>
      </c>
      <c r="BF57" s="14">
        <f t="shared" si="37"/>
        <v>57.125464834218377</v>
      </c>
      <c r="BG57" s="22">
        <f t="shared" si="7"/>
        <v>506.87208815769242</v>
      </c>
      <c r="BH57" s="62">
        <f t="shared" si="8"/>
        <v>800.20542149102573</v>
      </c>
      <c r="BI57" s="62">
        <f ca="1">AVERAGE(OFFSET($BH$3,0,0,'Données projet'!$E$11+1,1))-AVERAGE(OFFSET($H$3,0,0,'Données projet'!$E$11+1,1))</f>
        <v>358.417829688045</v>
      </c>
      <c r="BJ57" s="62">
        <f t="shared" si="38"/>
        <v>394.03759949558713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70.634041737209643</v>
      </c>
      <c r="BQ57" s="23">
        <f>EXP(-LN(2)/25)*BQ56+(1-EXP(-LN(2)/25))/(LN(2)/25)*Calculateur!BL57*Calculateur!BN57*VLOOKUP('Données projet'!$B$11,Paramètres!$A$1:$I$88,3,0)*0.475*44/12</f>
        <v>38.394364878760939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109.02840661597058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17.625</v>
      </c>
      <c r="BY57" s="13">
        <f>IF('Données projet'!$A$114&gt;35,BY56+BX57-CG56,IF(A57&lt;'Données projet'!$A$114,$BV$205^A57,IF(A57='Données projet'!$A$114,'Données projet'!$B$114,BY56+BX57-CG56)))</f>
        <v>369.49999999999994</v>
      </c>
      <c r="BZ57" s="14">
        <f>BY57*VLOOKUP('Données projet'!$B$12,Paramètres!$A$1:$I$88,3,0)*VLOOKUP('Données projet'!$B$12,Paramètres!$A$1:$I$88,5,0)</f>
        <v>220.96099999999996</v>
      </c>
      <c r="CA57" s="14">
        <f t="shared" si="39"/>
        <v>54.323701308314696</v>
      </c>
      <c r="CB57" s="22">
        <f t="shared" si="10"/>
        <v>479.45418811198141</v>
      </c>
      <c r="CC57" s="62">
        <f t="shared" si="11"/>
        <v>772.78752144531472</v>
      </c>
      <c r="CD57" s="62">
        <f ca="1">AVERAGE(OFFSET($CC$3,0,0,'Données projet'!$E$12+1,1))-AVERAGE(OFFSET($H$3,0,0,'Données projet'!$E$12+1,1))</f>
        <v>405.42845699663462</v>
      </c>
      <c r="CE57" s="62">
        <f t="shared" si="40"/>
        <v>292.26503163353146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41.705856199726938</v>
      </c>
      <c r="CL57" s="23">
        <f>EXP(-LN(2)/25)*CL56+(1-EXP(-LN(2)/25))/(LN(2)/25)*Calculateur!CG57*Calculateur!CI57*VLOOKUP('Données projet'!$B$12,Paramètres!$A$1:$I$88,3,0)*0.475*44/12</f>
        <v>21.348472237062712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63.054328436789646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5.75</v>
      </c>
      <c r="N58" s="14">
        <f>IF('Données projet'!$A$36&gt;35,N57+M58-V57,IF(A58&lt;'Données projet'!$A$36,$K$205^A58,IF(A58='Données projet'!$A$36,'Données projet'!$B$36,N57+M58-V57)))</f>
        <v>132.25</v>
      </c>
      <c r="O58" s="14">
        <f>N58*VLOOKUP('Données projet'!$B$9,Paramètres!$A$1:$I$88,3,0)*VLOOKUP('Données projet'!$B$9,Paramètres!$A$1:$I$88,5,0)</f>
        <v>119.6598</v>
      </c>
      <c r="P58" s="14">
        <f t="shared" si="33"/>
        <v>31.595640125146211</v>
      </c>
      <c r="Q58" s="22">
        <f t="shared" si="53"/>
        <v>263.43655821796295</v>
      </c>
      <c r="R58" s="62">
        <f t="shared" si="0"/>
        <v>556.76989155129627</v>
      </c>
      <c r="S58" s="62">
        <f ca="1">AVERAGE(OFFSET($R$3,0,0,'Données projet'!$E$9+1,1))-AVERAGE(OFFSET($H$3,0,0,'Données projet'!$E$9+1,1))</f>
        <v>329.02356155998905</v>
      </c>
      <c r="T58" s="62">
        <f t="shared" si="34"/>
        <v>199.43308683696642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6.1374119648857333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6.1374119648857333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7.5</v>
      </c>
      <c r="AI58" s="14">
        <f>IF('Données projet'!$A$62&gt;35,AI57+AH58-AQ57,IF(A58&lt;'Données projet'!$A$62,$AF$205^A58,IF(A58='Données projet'!$A$62,'Données projet'!$B$62,AI57+AH58-AQ57)))</f>
        <v>261.62</v>
      </c>
      <c r="AJ58" s="14">
        <f>AI58*VLOOKUP('Données projet'!$B$10,Paramètres!$A$1:$I$88,3,0)*VLOOKUP('Données projet'!$B$10,Paramètres!$A$1:$I$88,5,0)</f>
        <v>122.43816</v>
      </c>
      <c r="AK58" s="14">
        <f t="shared" si="35"/>
        <v>32.242992659685036</v>
      </c>
      <c r="AL58" s="22">
        <f t="shared" si="4"/>
        <v>269.40300754895145</v>
      </c>
      <c r="AM58" s="62">
        <f t="shared" si="5"/>
        <v>562.73634088228482</v>
      </c>
      <c r="AN58" s="62">
        <f ca="1">AVERAGE(OFFSET($AM$3,0,0,'Données projet'!$E$10+1,1))-AVERAGE(OFFSET($H$3,0,0,'Données projet'!$E$10+1,1))</f>
        <v>160.55473404658039</v>
      </c>
      <c r="AO58" s="62">
        <f t="shared" si="36"/>
        <v>188.70262429536223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5.2433132124055684</v>
      </c>
      <c r="AV58" s="23">
        <f>EXP(-LN(2)/25)*AV57+(1-EXP(-LN(2)/25))/(LN(2)/25)*Calculateur!AQ58*Calculateur!AS58*VLOOKUP('Données projet'!$B$10,Paramètres!$A$1:$I$88,3,0)*0.475*44/12</f>
        <v>10.214028526279597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15.457341738685166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16.428571428571427</v>
      </c>
      <c r="BD58" s="13">
        <f>IF('Données projet'!$A$88&gt;35,BD57+BC58-BL57,IF(A58&lt;'Données projet'!$A$88,$BA$205^A58,IF(A58='Données projet'!$A$88,'Données projet'!$B$88,BD57+BC58-BL57)))</f>
        <v>434.85714285714312</v>
      </c>
      <c r="BE58" s="14">
        <f>BD58*VLOOKUP('Données projet'!$B$11,Paramètres!$A$1:$I$88,3,0)*VLOOKUP('Données projet'!$B$11,Paramètres!$A$1:$I$88,5,0)</f>
        <v>243.08514285714301</v>
      </c>
      <c r="BF58" s="14">
        <f t="shared" si="37"/>
        <v>59.102819748715035</v>
      </c>
      <c r="BG58" s="22">
        <f t="shared" si="7"/>
        <v>526.31070153853614</v>
      </c>
      <c r="BH58" s="62">
        <f t="shared" si="8"/>
        <v>819.64403487186951</v>
      </c>
      <c r="BI58" s="62">
        <f ca="1">AVERAGE(OFFSET($BH$3,0,0,'Données projet'!$E$11+1,1))-AVERAGE(OFFSET($H$3,0,0,'Données projet'!$E$11+1,1))</f>
        <v>358.417829688045</v>
      </c>
      <c r="BJ58" s="62">
        <f t="shared" si="38"/>
        <v>394.03759949558713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69.248951261254376</v>
      </c>
      <c r="BQ58" s="23">
        <f>EXP(-LN(2)/25)*BQ57+(1-EXP(-LN(2)/25))/(LN(2)/25)*Calculateur!BL58*Calculateur!BN58*VLOOKUP('Données projet'!$B$11,Paramètres!$A$1:$I$88,3,0)*0.475*44/12</f>
        <v>37.344468952079325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106.5934202133337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17.625</v>
      </c>
      <c r="BY58" s="13">
        <f>IF('Données projet'!$A$114&gt;35,BY57+BX58-CG57,IF(A58&lt;'Données projet'!$A$114,$BV$205^A58,IF(A58='Données projet'!$A$114,'Données projet'!$B$114,BY57+BX58-CG57)))</f>
        <v>387.12499999999994</v>
      </c>
      <c r="BZ58" s="14">
        <f>BY58*VLOOKUP('Données projet'!$B$12,Paramètres!$A$1:$I$88,3,0)*VLOOKUP('Données projet'!$B$12,Paramètres!$A$1:$I$88,5,0)</f>
        <v>231.50074999999998</v>
      </c>
      <c r="CA58" s="14">
        <f t="shared" si="39"/>
        <v>56.607055837426749</v>
      </c>
      <c r="CB58" s="22">
        <f t="shared" si="10"/>
        <v>501.78776183351812</v>
      </c>
      <c r="CC58" s="62">
        <f t="shared" si="11"/>
        <v>795.12109516685143</v>
      </c>
      <c r="CD58" s="62">
        <f ca="1">AVERAGE(OFFSET($CC$3,0,0,'Données projet'!$E$12+1,1))-AVERAGE(OFFSET($H$3,0,0,'Données projet'!$E$12+1,1))</f>
        <v>405.42845699663462</v>
      </c>
      <c r="CE58" s="62">
        <f t="shared" si="40"/>
        <v>292.26503163353146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40.888029797710772</v>
      </c>
      <c r="CL58" s="23">
        <f>EXP(-LN(2)/25)*CL57+(1-EXP(-LN(2)/25))/(LN(2)/25)*Calculateur!CG58*Calculateur!CI58*VLOOKUP('Données projet'!$B$12,Paramètres!$A$1:$I$88,3,0)*0.475*44/12</f>
        <v>20.764697141072869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61.652726938783644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138</v>
      </c>
      <c r="L59" s="13">
        <f>VLOOKUP(A59,'Données projet'!$A$35:$I$55,9,0)</f>
        <v>5.75</v>
      </c>
      <c r="M59" s="13">
        <f t="array" ref="M59">INDEX(L:L,MIN(IF(ISNUMBER(L59:L255),ROW(L59:L255),"")))</f>
        <v>5.75</v>
      </c>
      <c r="N59" s="14">
        <f>IF('Données projet'!$A$36&gt;35,N58+M59-V58,IF(A59&lt;'Données projet'!$A$36,$K$205^A59,IF(A59='Données projet'!$A$36,'Données projet'!$B$36,N58+M59-V58)))</f>
        <v>138</v>
      </c>
      <c r="O59" s="14">
        <f>N59*VLOOKUP('Données projet'!$B$9,Paramètres!$A$1:$I$88,3,0)*VLOOKUP('Données projet'!$B$9,Paramètres!$A$1:$I$88,5,0)</f>
        <v>124.86239999999999</v>
      </c>
      <c r="P59" s="14">
        <f t="shared" si="33"/>
        <v>32.806439280561598</v>
      </c>
      <c r="Q59" s="22">
        <f t="shared" si="53"/>
        <v>274.60656174697812</v>
      </c>
      <c r="R59" s="62">
        <f t="shared" si="0"/>
        <v>567.93989508031143</v>
      </c>
      <c r="S59" s="62">
        <f ca="1">AVERAGE(OFFSET($R$3,0,0,'Données projet'!$E$9+1,1))-AVERAGE(OFFSET($H$3,0,0,'Données projet'!$E$9+1,1))</f>
        <v>329.02356155998905</v>
      </c>
      <c r="T59" s="62">
        <f t="shared" si="34"/>
        <v>199.43308683696642</v>
      </c>
      <c r="U59" s="16">
        <f>IF(ISNA(VLOOKUP(A59,'Données projet'!$A$35:$I$55,3,0)),0,VLOOKUP(A59,'Données projet'!$A$35:$I$55,3,0))</f>
        <v>3</v>
      </c>
      <c r="V59" s="16">
        <f>IF(ISNA(VLOOKUP(A59,'Données projet'!$A$35:$I$55,4,0)),0,VLOOKUP(A59,'Données projet'!$A$35:$I$55,4,0))</f>
        <v>36</v>
      </c>
      <c r="W59" s="17">
        <f>IF(ISNA(VLOOKUP(A59,'Données projet'!$A$35:$I$55,5,0)),0%,VLOOKUP(A59,'Données projet'!$A$35:$I$55,5,0)*VLOOKUP('Données projet'!$B$9,Paramètres!$A$1:$I$88,7,0))</f>
        <v>0.129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10.662127319326151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10.662127319326151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7.5</v>
      </c>
      <c r="AI59" s="14">
        <f>IF('Données projet'!$A$62&gt;35,AI58+AH59-AQ58,IF(A59&lt;'Données projet'!$A$62,$AF$205^A59,IF(A59='Données projet'!$A$62,'Données projet'!$B$62,AI58+AH59-AQ58)))</f>
        <v>269.12</v>
      </c>
      <c r="AJ59" s="14">
        <f>AI59*VLOOKUP('Données projet'!$B$10,Paramètres!$A$1:$I$88,3,0)*VLOOKUP('Données projet'!$B$10,Paramètres!$A$1:$I$88,5,0)</f>
        <v>125.94816</v>
      </c>
      <c r="AK59" s="14">
        <f t="shared" si="35"/>
        <v>33.058379686398482</v>
      </c>
      <c r="AL59" s="22">
        <f t="shared" si="4"/>
        <v>276.93638995381065</v>
      </c>
      <c r="AM59" s="62">
        <f t="shared" si="5"/>
        <v>570.26972328714396</v>
      </c>
      <c r="AN59" s="62">
        <f ca="1">AVERAGE(OFFSET($AM$3,0,0,'Données projet'!$E$10+1,1))-AVERAGE(OFFSET($H$3,0,0,'Données projet'!$E$10+1,1))</f>
        <v>160.55473404658039</v>
      </c>
      <c r="AO59" s="62">
        <f t="shared" si="36"/>
        <v>188.70262429536223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5.1404950384155681</v>
      </c>
      <c r="AV59" s="23">
        <f>EXP(-LN(2)/25)*AV58+(1-EXP(-LN(2)/25))/(LN(2)/25)*Calculateur!AQ59*Calculateur!AS59*VLOOKUP('Données projet'!$B$10,Paramètres!$A$1:$I$88,3,0)*0.475*44/12</f>
        <v>9.934725379096065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15.075220417511634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16.428571428571427</v>
      </c>
      <c r="BD59" s="13">
        <f>IF('Données projet'!$A$88&gt;35,BD58+BC59-BL58,IF(A59&lt;'Données projet'!$A$88,$BA$205^A59,IF(A59='Données projet'!$A$88,'Données projet'!$B$88,BD58+BC59-BL58)))</f>
        <v>451.28571428571456</v>
      </c>
      <c r="BE59" s="14">
        <f>BD59*VLOOKUP('Données projet'!$B$11,Paramètres!$A$1:$I$88,3,0)*VLOOKUP('Données projet'!$B$11,Paramètres!$A$1:$I$88,5,0)</f>
        <v>252.26871428571442</v>
      </c>
      <c r="BF59" s="14">
        <f t="shared" si="37"/>
        <v>61.071496149027759</v>
      </c>
      <c r="BG59" s="22">
        <f t="shared" si="7"/>
        <v>545.73419984050929</v>
      </c>
      <c r="BH59" s="62">
        <f t="shared" si="8"/>
        <v>839.06753317384255</v>
      </c>
      <c r="BI59" s="62">
        <f ca="1">AVERAGE(OFFSET($BH$3,0,0,'Données projet'!$E$11+1,1))-AVERAGE(OFFSET($H$3,0,0,'Données projet'!$E$11+1,1))</f>
        <v>358.417829688045</v>
      </c>
      <c r="BJ59" s="62">
        <f t="shared" si="38"/>
        <v>394.03759949558713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67.891021564710826</v>
      </c>
      <c r="BQ59" s="23">
        <f>EXP(-LN(2)/25)*BQ58+(1-EXP(-LN(2)/25))/(LN(2)/25)*Calculateur!BL59*Calculateur!BN59*VLOOKUP('Données projet'!$B$11,Paramètres!$A$1:$I$88,3,0)*0.475*44/12</f>
        <v>36.323282484724444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104.21430404943527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17.625</v>
      </c>
      <c r="BY59" s="13">
        <f>IF('Données projet'!$A$114&gt;35,BY58+BX59-CG58,IF(A59&lt;'Données projet'!$A$114,$BV$205^A59,IF(A59='Données projet'!$A$114,'Données projet'!$B$114,BY58+BX59-CG58)))</f>
        <v>404.74999999999994</v>
      </c>
      <c r="BZ59" s="14">
        <f>BY59*VLOOKUP('Données projet'!$B$12,Paramètres!$A$1:$I$88,3,0)*VLOOKUP('Données projet'!$B$12,Paramètres!$A$1:$I$88,5,0)</f>
        <v>242.04049999999998</v>
      </c>
      <c r="CA59" s="14">
        <f t="shared" si="39"/>
        <v>58.878337443371535</v>
      </c>
      <c r="CB59" s="22">
        <f t="shared" si="10"/>
        <v>524.10030854720526</v>
      </c>
      <c r="CC59" s="62">
        <f t="shared" si="11"/>
        <v>817.43364188053852</v>
      </c>
      <c r="CD59" s="62">
        <f ca="1">AVERAGE(OFFSET($CC$3,0,0,'Données projet'!$E$12+1,1))-AVERAGE(OFFSET($H$3,0,0,'Données projet'!$E$12+1,1))</f>
        <v>405.42845699663462</v>
      </c>
      <c r="CE59" s="62">
        <f t="shared" si="40"/>
        <v>292.26503163353146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40.086240472613298</v>
      </c>
      <c r="CL59" s="23">
        <f>EXP(-LN(2)/25)*CL58+(1-EXP(-LN(2)/25))/(LN(2)/25)*Calculateur!CG59*Calculateur!CI59*VLOOKUP('Données projet'!$B$12,Paramètres!$A$1:$I$88,3,0)*0.475*44/12</f>
        <v>20.196885405782268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60.283125878395566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6.625</v>
      </c>
      <c r="N60" s="14">
        <f>IF('Données projet'!$A$36&gt;35,N59+M60-V59,IF(A60&lt;'Données projet'!$A$36,$K$205^A60,IF(A60='Données projet'!$A$36,'Données projet'!$B$36,N59+M60-V59)))</f>
        <v>108.625</v>
      </c>
      <c r="O60" s="14">
        <f>N60*VLOOKUP('Données projet'!$B$9,Paramètres!$A$1:$I$88,3,0)*VLOOKUP('Données projet'!$B$9,Paramètres!$A$1:$I$88,5,0)</f>
        <v>98.283900000000003</v>
      </c>
      <c r="P60" s="14">
        <f t="shared" si="33"/>
        <v>26.552749421787905</v>
      </c>
      <c r="Q60" s="22">
        <f t="shared" si="53"/>
        <v>217.42383107628061</v>
      </c>
      <c r="R60" s="62">
        <f t="shared" si="0"/>
        <v>510.75716440961389</v>
      </c>
      <c r="S60" s="62">
        <f ca="1">AVERAGE(OFFSET($R$3,0,0,'Données projet'!$E$9+1,1))-AVERAGE(OFFSET($H$3,0,0,'Données projet'!$E$9+1,1))</f>
        <v>329.02356155998905</v>
      </c>
      <c r="T60" s="62">
        <f t="shared" si="34"/>
        <v>199.43308683696642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10.453049505849688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10.453049505849688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7.5</v>
      </c>
      <c r="AI60" s="14">
        <f>IF('Données projet'!$A$62&gt;35,AI59+AH60-AQ59,IF(A60&lt;'Données projet'!$A$62,$AF$205^A60,IF(A60='Données projet'!$A$62,'Données projet'!$B$62,AI59+AH60-AQ59)))</f>
        <v>276.62</v>
      </c>
      <c r="AJ60" s="14">
        <f>AI60*VLOOKUP('Données projet'!$B$10,Paramètres!$A$1:$I$88,3,0)*VLOOKUP('Données projet'!$B$10,Paramètres!$A$1:$I$88,5,0)</f>
        <v>129.45816000000002</v>
      </c>
      <c r="AK60" s="14">
        <f t="shared" si="35"/>
        <v>33.871125598432023</v>
      </c>
      <c r="AL60" s="22">
        <f t="shared" si="4"/>
        <v>284.46517241726917</v>
      </c>
      <c r="AM60" s="62">
        <f t="shared" si="5"/>
        <v>577.79850575060254</v>
      </c>
      <c r="AN60" s="62">
        <f ca="1">AVERAGE(OFFSET($AM$3,0,0,'Données projet'!$E$10+1,1))-AVERAGE(OFFSET($H$3,0,0,'Données projet'!$E$10+1,1))</f>
        <v>160.55473404658039</v>
      </c>
      <c r="AO60" s="62">
        <f t="shared" si="36"/>
        <v>188.70262429536223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5.0396930661046175</v>
      </c>
      <c r="AV60" s="23">
        <f>EXP(-LN(2)/25)*AV59+(1-EXP(-LN(2)/25))/(LN(2)/25)*Calculateur!AQ60*Calculateur!AS60*VLOOKUP('Données projet'!$B$10,Paramètres!$A$1:$I$88,3,0)*0.475*44/12</f>
        <v>9.6630597911601814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14.702752857264798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16.428571428571427</v>
      </c>
      <c r="BD60" s="13">
        <f>IF('Données projet'!$A$88&gt;35,BD59+BC60-BL59,IF(A60&lt;'Données projet'!$A$88,$BA$205^A60,IF(A60='Données projet'!$A$88,'Données projet'!$B$88,BD59+BC60-BL59)))</f>
        <v>467.71428571428601</v>
      </c>
      <c r="BE60" s="14">
        <f>BD60*VLOOKUP('Données projet'!$B$11,Paramètres!$A$1:$I$88,3,0)*VLOOKUP('Données projet'!$B$11,Paramètres!$A$1:$I$88,5,0)</f>
        <v>261.45228571428589</v>
      </c>
      <c r="BF60" s="14">
        <f t="shared" si="37"/>
        <v>63.031846153602828</v>
      </c>
      <c r="BG60" s="22">
        <f t="shared" si="7"/>
        <v>565.14319633657283</v>
      </c>
      <c r="BH60" s="62">
        <f t="shared" si="8"/>
        <v>858.47652966990609</v>
      </c>
      <c r="BI60" s="62">
        <f ca="1">AVERAGE(OFFSET($BH$3,0,0,'Données projet'!$E$11+1,1))-AVERAGE(OFFSET($H$3,0,0,'Données projet'!$E$11+1,1))</f>
        <v>358.417829688045</v>
      </c>
      <c r="BJ60" s="62">
        <f t="shared" si="38"/>
        <v>394.03759949558713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66.559720041261158</v>
      </c>
      <c r="BQ60" s="23">
        <f>EXP(-LN(2)/25)*BQ59+(1-EXP(-LN(2)/25))/(LN(2)/25)*Calculateur!BL60*Calculateur!BN60*VLOOKUP('Données projet'!$B$11,Paramètres!$A$1:$I$88,3,0)*0.475*44/12</f>
        <v>35.330020415021245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101.8897404562824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17.625</v>
      </c>
      <c r="BY60" s="13">
        <f>IF('Données projet'!$A$114&gt;35,BY59+BX60-CG59,IF(A60&lt;'Données projet'!$A$114,$BV$205^A60,IF(A60='Données projet'!$A$114,'Données projet'!$B$114,BY59+BX60-CG59)))</f>
        <v>422.37499999999994</v>
      </c>
      <c r="BZ60" s="14">
        <f>BY60*VLOOKUP('Données projet'!$B$12,Paramètres!$A$1:$I$88,3,0)*VLOOKUP('Données projet'!$B$12,Paramètres!$A$1:$I$88,5,0)</f>
        <v>252.58025000000001</v>
      </c>
      <c r="CA60" s="14">
        <f t="shared" si="39"/>
        <v>61.138131933251593</v>
      </c>
      <c r="CB60" s="22">
        <f t="shared" si="10"/>
        <v>546.39284853374647</v>
      </c>
      <c r="CC60" s="62">
        <f t="shared" si="11"/>
        <v>839.72618186707973</v>
      </c>
      <c r="CD60" s="62">
        <f ca="1">AVERAGE(OFFSET($CC$3,0,0,'Données projet'!$E$12+1,1))-AVERAGE(OFFSET($H$3,0,0,'Données projet'!$E$12+1,1))</f>
        <v>405.42845699663462</v>
      </c>
      <c r="CE60" s="62">
        <f t="shared" si="40"/>
        <v>292.26503163353146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39.300173747137784</v>
      </c>
      <c r="CL60" s="23">
        <f>EXP(-LN(2)/25)*CL59+(1-EXP(-LN(2)/25))/(LN(2)/25)*Calculateur!CG60*Calculateur!CI60*VLOOKUP('Données projet'!$B$12,Paramètres!$A$1:$I$88,3,0)*0.475*44/12</f>
        <v>19.64460051225311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58.944774259390897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6.625</v>
      </c>
      <c r="N61" s="14">
        <f>IF('Données projet'!$A$36&gt;35,N60+M61-V60,IF(A61&lt;'Données projet'!$A$36,$K$205^A61,IF(A61='Données projet'!$A$36,'Données projet'!$B$36,N60+M61-V60)))</f>
        <v>115.25</v>
      </c>
      <c r="O61" s="14">
        <f>N61*VLOOKUP('Données projet'!$B$9,Paramètres!$A$1:$I$88,3,0)*VLOOKUP('Données projet'!$B$9,Paramètres!$A$1:$I$88,5,0)</f>
        <v>104.2782</v>
      </c>
      <c r="P61" s="14">
        <f t="shared" si="33"/>
        <v>27.978721441571697</v>
      </c>
      <c r="Q61" s="22">
        <f t="shared" si="53"/>
        <v>230.34747151073736</v>
      </c>
      <c r="R61" s="62">
        <f t="shared" si="0"/>
        <v>523.68080484407074</v>
      </c>
      <c r="S61" s="62">
        <f ca="1">AVERAGE(OFFSET($R$3,0,0,'Données projet'!$E$9+1,1))-AVERAGE(OFFSET($H$3,0,0,'Données projet'!$E$9+1,1))</f>
        <v>329.02356155998905</v>
      </c>
      <c r="T61" s="62">
        <f t="shared" si="34"/>
        <v>199.43308683696642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10.248071580770622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10.248071580770622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7.5</v>
      </c>
      <c r="AI61" s="14">
        <f>IF('Données projet'!$A$62&gt;35,AI60+AH61-AQ60,IF(A61&lt;'Données projet'!$A$62,$AF$205^A61,IF(A61='Données projet'!$A$62,'Données projet'!$B$62,AI60+AH61-AQ60)))</f>
        <v>284.12</v>
      </c>
      <c r="AJ61" s="14">
        <f>AI61*VLOOKUP('Données projet'!$B$10,Paramètres!$A$1:$I$88,3,0)*VLOOKUP('Données projet'!$B$10,Paramètres!$A$1:$I$88,5,0)</f>
        <v>132.96815999999998</v>
      </c>
      <c r="AK61" s="14">
        <f t="shared" si="35"/>
        <v>34.681310233374433</v>
      </c>
      <c r="AL61" s="22">
        <f t="shared" si="4"/>
        <v>291.98949398979374</v>
      </c>
      <c r="AM61" s="62">
        <f t="shared" si="5"/>
        <v>585.32282732312706</v>
      </c>
      <c r="AN61" s="62">
        <f ca="1">AVERAGE(OFFSET($AM$3,0,0,'Données projet'!$E$10+1,1))-AVERAGE(OFFSET($H$3,0,0,'Données projet'!$E$10+1,1))</f>
        <v>160.55473404658039</v>
      </c>
      <c r="AO61" s="62">
        <f t="shared" si="36"/>
        <v>188.70262429536223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4.9408677589875527</v>
      </c>
      <c r="AV61" s="23">
        <f>EXP(-LN(2)/25)*AV60+(1-EXP(-LN(2)/25))/(LN(2)/25)*Calculateur!AQ61*Calculateur!AS61*VLOOKUP('Données projet'!$B$10,Paramètres!$A$1:$I$88,3,0)*0.475*44/12</f>
        <v>9.3988229130126779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14.339690672000231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16.428571428571427</v>
      </c>
      <c r="BD61" s="13">
        <f>IF('Données projet'!$A$88&gt;35,BD60+BC61-BL60,IF(A61&lt;'Données projet'!$A$88,$BA$205^A61,IF(A61='Données projet'!$A$88,'Données projet'!$B$88,BD60+BC61-BL60)))</f>
        <v>484.14285714285745</v>
      </c>
      <c r="BE61" s="14">
        <f>BD61*VLOOKUP('Données projet'!$B$11,Paramètres!$A$1:$I$88,3,0)*VLOOKUP('Données projet'!$B$11,Paramètres!$A$1:$I$88,5,0)</f>
        <v>270.63585714285733</v>
      </c>
      <c r="BF61" s="14">
        <f t="shared" si="37"/>
        <v>64.98419574180447</v>
      </c>
      <c r="BG61" s="22">
        <f t="shared" si="7"/>
        <v>584.53825877411919</v>
      </c>
      <c r="BH61" s="62">
        <f t="shared" si="8"/>
        <v>877.87159210745244</v>
      </c>
      <c r="BI61" s="62">
        <f ca="1">AVERAGE(OFFSET($BH$3,0,0,'Données projet'!$E$11+1,1))-AVERAGE(OFFSET($H$3,0,0,'Données projet'!$E$11+1,1))</f>
        <v>358.417829688045</v>
      </c>
      <c r="BJ61" s="62">
        <f t="shared" si="38"/>
        <v>394.03759949558713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65.25452452867259</v>
      </c>
      <c r="BQ61" s="23">
        <f>EXP(-LN(2)/25)*BQ60+(1-EXP(-LN(2)/25))/(LN(2)/25)*Calculateur!BL61*Calculateur!BN61*VLOOKUP('Données projet'!$B$11,Paramètres!$A$1:$I$88,3,0)*0.475*44/12</f>
        <v>34.363919148847465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99.618443677520048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440</v>
      </c>
      <c r="BW61" s="13">
        <f>VLOOKUP(A61,'Données projet'!$A$113:$I$133,9,0)</f>
        <v>17.625</v>
      </c>
      <c r="BX61" s="13">
        <f t="array" ref="BX61">INDEX(BW:BW,MIN(IF(ISNUMBER(BW61:BW257),ROW(BW61:BW257),"")))</f>
        <v>17.625</v>
      </c>
      <c r="BY61" s="13">
        <f>IF('Données projet'!$A$114&gt;35,BY60+BX61-CG60,IF(A61&lt;'Données projet'!$A$114,$BV$205^A61,IF(A61='Données projet'!$A$114,'Données projet'!$B$114,BY60+BX61-CG60)))</f>
        <v>439.99999999999994</v>
      </c>
      <c r="BZ61" s="14">
        <f>BY61*VLOOKUP('Données projet'!$B$12,Paramètres!$A$1:$I$88,3,0)*VLOOKUP('Données projet'!$B$12,Paramètres!$A$1:$I$88,5,0)</f>
        <v>263.12</v>
      </c>
      <c r="CA61" s="14">
        <f t="shared" si="39"/>
        <v>63.386973458752003</v>
      </c>
      <c r="CB61" s="22">
        <f t="shared" si="10"/>
        <v>568.66631210732646</v>
      </c>
      <c r="CC61" s="62">
        <f t="shared" si="11"/>
        <v>861.99964544065983</v>
      </c>
      <c r="CD61" s="62">
        <f ca="1">AVERAGE(OFFSET($CC$3,0,0,'Données projet'!$E$12+1,1))-AVERAGE(OFFSET($H$3,0,0,'Données projet'!$E$12+1,1))</f>
        <v>405.42845699663462</v>
      </c>
      <c r="CE61" s="62">
        <f t="shared" si="40"/>
        <v>292.26503163353146</v>
      </c>
      <c r="CF61" s="16">
        <f>IF(ISNA(VLOOKUP(A61,'Données projet'!$A$113:$I$133,3,0)),0,VLOOKUP(A61,'Données projet'!$A$113:$I$133,3,0))</f>
        <v>8</v>
      </c>
      <c r="CG61" s="16">
        <f>IF(ISNA(VLOOKUP(A61,'Données projet'!$A$113:$I$133,4,0)),0,VLOOKUP(A61,'Données projet'!$A$113:$I$133,4,0))</f>
        <v>78</v>
      </c>
      <c r="CH61" s="17">
        <f>IF(ISNA(VLOOKUP(A61,'Données projet'!$A$113:$I$133,5,0)),0%,VLOOKUP(A61,'Données projet'!$A$113:$I$133,5,0)*VLOOKUP('Données projet'!$B$12,Paramètres!$A$1:$I$88,7,0))</f>
        <v>0.315</v>
      </c>
      <c r="CI61" s="17">
        <f>IF(ISNA(VLOOKUP(A61,'Données projet'!$A$113:$I$133,6,0)),0%,VLOOKUP(A61,'Données projet'!$A$113:$I$133,6,0)*VLOOKUP('Données projet'!$B$12,Paramètres!$A$1:$I$88,7,0))</f>
        <v>0.13500000000000001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58.020547135444886</v>
      </c>
      <c r="CL61" s="23">
        <f>EXP(-LN(2)/25)*CL60+(1-EXP(-LN(2)/25))/(LN(2)/25)*Calculateur!CG61*Calculateur!CI61*VLOOKUP('Données projet'!$B$12,Paramètres!$A$1:$I$88,3,0)*0.475*44/12</f>
        <v>27.427824547929887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85.448371683374774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6.625</v>
      </c>
      <c r="N62" s="14">
        <f>IF('Données projet'!$A$36&gt;35,N61+M62-V61,IF(A62&lt;'Données projet'!$A$36,$K$205^A62,IF(A62='Données projet'!$A$36,'Données projet'!$B$36,N61+M62-V61)))</f>
        <v>121.875</v>
      </c>
      <c r="O62" s="14">
        <f>N62*VLOOKUP('Données projet'!$B$9,Paramètres!$A$1:$I$88,3,0)*VLOOKUP('Données projet'!$B$9,Paramètres!$A$1:$I$88,5,0)</f>
        <v>110.27250000000001</v>
      </c>
      <c r="P62" s="14">
        <f t="shared" si="33"/>
        <v>29.395178449871299</v>
      </c>
      <c r="Q62" s="22">
        <f t="shared" si="53"/>
        <v>243.2545399668592</v>
      </c>
      <c r="R62" s="62">
        <f t="shared" si="0"/>
        <v>536.58787330019254</v>
      </c>
      <c r="S62" s="62">
        <f ca="1">AVERAGE(OFFSET($R$3,0,0,'Données projet'!$E$9+1,1))-AVERAGE(OFFSET($H$3,0,0,'Données projet'!$E$9+1,1))</f>
        <v>329.02356155998905</v>
      </c>
      <c r="T62" s="62">
        <f t="shared" si="34"/>
        <v>199.43308683696642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10.047113147778168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10.047113147778168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7.5</v>
      </c>
      <c r="AI62" s="14">
        <f>IF('Données projet'!$A$62&gt;35,AI61+AH62-AQ61,IF(A62&lt;'Données projet'!$A$62,$AF$205^A62,IF(A62='Données projet'!$A$62,'Données projet'!$B$62,AI61+AH62-AQ61)))</f>
        <v>291.62</v>
      </c>
      <c r="AJ62" s="14">
        <f>AI62*VLOOKUP('Données projet'!$B$10,Paramètres!$A$1:$I$88,3,0)*VLOOKUP('Données projet'!$B$10,Paramètres!$A$1:$I$88,5,0)</f>
        <v>136.47816</v>
      </c>
      <c r="AK62" s="14">
        <f t="shared" si="35"/>
        <v>35.489008973792373</v>
      </c>
      <c r="AL62" s="22">
        <f t="shared" si="4"/>
        <v>299.50948596268842</v>
      </c>
      <c r="AM62" s="62">
        <f t="shared" si="5"/>
        <v>592.84281929602173</v>
      </c>
      <c r="AN62" s="62">
        <f ca="1">AVERAGE(OFFSET($AM$3,0,0,'Données projet'!$E$10+1,1))-AVERAGE(OFFSET($H$3,0,0,'Données projet'!$E$10+1,1))</f>
        <v>160.55473404658039</v>
      </c>
      <c r="AO62" s="62">
        <f t="shared" si="36"/>
        <v>188.70262429536223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4.8439803558655683</v>
      </c>
      <c r="AV62" s="23">
        <f>EXP(-LN(2)/25)*AV61+(1-EXP(-LN(2)/25))/(LN(2)/25)*Calculateur!AQ62*Calculateur!AS62*VLOOKUP('Données projet'!$B$10,Paramètres!$A$1:$I$88,3,0)*0.475*44/12</f>
        <v>9.1418116061937305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13.985791962059299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16.428571428571427</v>
      </c>
      <c r="BD62" s="13">
        <f>IF('Données projet'!$A$88&gt;35,BD61+BC62-BL61,IF(A62&lt;'Données projet'!$A$88,$BA$205^A62,IF(A62='Données projet'!$A$88,'Données projet'!$B$88,BD61+BC62-BL61)))</f>
        <v>500.5714285714289</v>
      </c>
      <c r="BE62" s="14">
        <f>BD62*VLOOKUP('Données projet'!$B$11,Paramètres!$A$1:$I$88,3,0)*VLOOKUP('Données projet'!$B$11,Paramètres!$A$1:$I$88,5,0)</f>
        <v>279.81942857142877</v>
      </c>
      <c r="BF62" s="14">
        <f t="shared" si="37"/>
        <v>66.928847514833734</v>
      </c>
      <c r="BG62" s="22">
        <f t="shared" si="7"/>
        <v>603.91991418357395</v>
      </c>
      <c r="BH62" s="62">
        <f t="shared" si="8"/>
        <v>897.25324751690732</v>
      </c>
      <c r="BI62" s="62">
        <f ca="1">AVERAGE(OFFSET($BH$3,0,0,'Données projet'!$E$11+1,1))-AVERAGE(OFFSET($H$3,0,0,'Données projet'!$E$11+1,1))</f>
        <v>358.417829688045</v>
      </c>
      <c r="BJ62" s="62">
        <f t="shared" si="38"/>
        <v>394.03759949558713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63.974923103995231</v>
      </c>
      <c r="BQ62" s="23">
        <f>EXP(-LN(2)/25)*BQ61+(1-EXP(-LN(2)/25))/(LN(2)/25)*Calculateur!BL62*Calculateur!BN62*VLOOKUP('Données projet'!$B$11,Paramètres!$A$1:$I$88,3,0)*0.475*44/12</f>
        <v>33.424235972602261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97.399159076597499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16.625</v>
      </c>
      <c r="BY62" s="13">
        <f>IF('Données projet'!$A$114&gt;35,BY61+BX62-CG61,IF(A62&lt;'Données projet'!$A$114,$BV$205^A62,IF(A62='Données projet'!$A$114,'Données projet'!$B$114,BY61+BX62-CG61)))</f>
        <v>378.62499999999994</v>
      </c>
      <c r="BZ62" s="14">
        <f>BY62*VLOOKUP('Données projet'!$B$12,Paramètres!$A$1:$I$88,3,0)*VLOOKUP('Données projet'!$B$12,Paramètres!$A$1:$I$88,5,0)</f>
        <v>226.41774999999998</v>
      </c>
      <c r="CA62" s="14">
        <f t="shared" si="39"/>
        <v>55.507409107649494</v>
      </c>
      <c r="CB62" s="22">
        <f t="shared" si="10"/>
        <v>491.0196521124895</v>
      </c>
      <c r="CC62" s="62">
        <f t="shared" si="11"/>
        <v>784.35298544582281</v>
      </c>
      <c r="CD62" s="62">
        <f ca="1">AVERAGE(OFFSET($CC$3,0,0,'Données projet'!$E$12+1,1))-AVERAGE(OFFSET($H$3,0,0,'Données projet'!$E$12+1,1))</f>
        <v>405.42845699663462</v>
      </c>
      <c r="CE62" s="62">
        <f t="shared" si="40"/>
        <v>292.26503163353146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56.88279959515819</v>
      </c>
      <c r="CL62" s="23">
        <f>EXP(-LN(2)/25)*CL61+(1-EXP(-LN(2)/25))/(LN(2)/25)*Calculateur!CG62*Calculateur!CI62*VLOOKUP('Données projet'!$B$12,Paramètres!$A$1:$I$88,3,0)*0.475*44/12</f>
        <v>26.677809243300139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83.560608838458336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6.625</v>
      </c>
      <c r="N63" s="14">
        <f>IF('Données projet'!$A$36&gt;35,N62+M63-V62,IF(A63&lt;'Données projet'!$A$36,$K$205^A63,IF(A63='Données projet'!$A$36,'Données projet'!$B$36,N62+M63-V62)))</f>
        <v>128.5</v>
      </c>
      <c r="O63" s="14">
        <f>N63*VLOOKUP('Données projet'!$B$9,Paramètres!$A$1:$I$88,3,0)*VLOOKUP('Données projet'!$B$9,Paramètres!$A$1:$I$88,5,0)</f>
        <v>116.2668</v>
      </c>
      <c r="P63" s="14">
        <f t="shared" si="33"/>
        <v>30.802696637636817</v>
      </c>
      <c r="Q63" s="22">
        <f t="shared" si="53"/>
        <v>256.14603997721747</v>
      </c>
      <c r="R63" s="62">
        <f t="shared" si="0"/>
        <v>549.47937331055073</v>
      </c>
      <c r="S63" s="62">
        <f ca="1">AVERAGE(OFFSET($R$3,0,0,'Données projet'!$E$9+1,1))-AVERAGE(OFFSET($H$3,0,0,'Données projet'!$E$9+1,1))</f>
        <v>329.02356155998905</v>
      </c>
      <c r="T63" s="62">
        <f t="shared" si="34"/>
        <v>199.43308683696642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9.8500953870841546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9.8500953870841546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299.12</v>
      </c>
      <c r="AG63" s="13">
        <f>VLOOKUP(A63,'Données projet'!$A$61:$I$81,9,0)</f>
        <v>7.5</v>
      </c>
      <c r="AH63" s="13">
        <f t="array" ref="AH63">INDEX(AG:AG,MIN(IF(ISNUMBER(AG63:AG259),ROW(AG63:AG259),"")))</f>
        <v>7.5</v>
      </c>
      <c r="AI63" s="14">
        <f>IF('Données projet'!$A$62&gt;35,AI62+AH63-AQ62,IF(A63&lt;'Données projet'!$A$62,$AF$205^A63,IF(A63='Données projet'!$A$62,'Données projet'!$B$62,AI62+AH63-AQ62)))</f>
        <v>299.12</v>
      </c>
      <c r="AJ63" s="14">
        <f>AI63*VLOOKUP('Données projet'!$B$10,Paramètres!$A$1:$I$88,3,0)*VLOOKUP('Données projet'!$B$10,Paramètres!$A$1:$I$88,5,0)</f>
        <v>139.98815999999999</v>
      </c>
      <c r="AK63" s="14">
        <f t="shared" si="35"/>
        <v>36.294293103919841</v>
      </c>
      <c r="AL63" s="22">
        <f t="shared" si="4"/>
        <v>307.02527248932705</v>
      </c>
      <c r="AM63" s="62">
        <f t="shared" si="5"/>
        <v>600.35860582266037</v>
      </c>
      <c r="AN63" s="62">
        <f ca="1">AVERAGE(OFFSET($AM$3,0,0,'Données projet'!$E$10+1,1))-AVERAGE(OFFSET($H$3,0,0,'Données projet'!$E$10+1,1))</f>
        <v>160.55473404658039</v>
      </c>
      <c r="AO63" s="62">
        <f t="shared" si="36"/>
        <v>188.70262429536223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299.12</v>
      </c>
      <c r="AR63" s="17">
        <f>IF(ISNA(VLOOKUP(A63,'Données projet'!$A$61:$I$81,5,0)),0%,VLOOKUP(A63,'Données projet'!$A$61:$I$81,5,0)*VLOOKUP('Données projet'!$B$10,Paramètres!$A$1:$I$88,7,0))</f>
        <v>0.38500000000000001</v>
      </c>
      <c r="AS63" s="17">
        <f>IF(ISNA(VLOOKUP(A63,'Données projet'!$A$61:$I$81,6,0)),0%,VLOOKUP(A63,'Données projet'!$A$61:$I$81,6,0)*VLOOKUP('Données projet'!$B$10,Paramètres!$A$1:$I$88,7,0))</f>
        <v>0.16500000000000001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76.244769992400862</v>
      </c>
      <c r="AV63" s="23">
        <f>EXP(-LN(2)/25)*AV62+(1-EXP(-LN(2)/25))/(LN(2)/25)*Calculateur!AQ63*Calculateur!AS63*VLOOKUP('Données projet'!$B$10,Paramètres!$A$1:$I$88,3,0)*0.475*44/12</f>
        <v>39.412230152859621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115.65700014526048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517</v>
      </c>
      <c r="BB63" s="13">
        <f>VLOOKUP(A63,'Données projet'!$A$87:$I$107,9,0)</f>
        <v>16.428571428571427</v>
      </c>
      <c r="BC63" s="13">
        <f t="array" ref="BC63">INDEX(BB:BB,MIN(IF(ISNUMBER(BB63:BB259),ROW(BB63:BB259),"")))</f>
        <v>16.428571428571427</v>
      </c>
      <c r="BD63" s="13">
        <f>IF('Données projet'!$A$88&gt;35,BD62+BC63-BL62,IF(A63&lt;'Données projet'!$A$88,$BA$205^A63,IF(A63='Données projet'!$A$88,'Données projet'!$B$88,BD62+BC63-BL62)))</f>
        <v>517.00000000000034</v>
      </c>
      <c r="BE63" s="14">
        <f>BD63*VLOOKUP('Données projet'!$B$11,Paramètres!$A$1:$I$88,3,0)*VLOOKUP('Données projet'!$B$11,Paramètres!$A$1:$I$88,5,0)</f>
        <v>289.00300000000021</v>
      </c>
      <c r="BF63" s="14">
        <f t="shared" si="37"/>
        <v>68.8660830840155</v>
      </c>
      <c r="BG63" s="22">
        <f t="shared" si="7"/>
        <v>623.28865303799398</v>
      </c>
      <c r="BH63" s="62">
        <f t="shared" si="8"/>
        <v>916.62198637132724</v>
      </c>
      <c r="BI63" s="62">
        <f ca="1">AVERAGE(OFFSET($BH$3,0,0,'Données projet'!$E$11+1,1))-AVERAGE(OFFSET($H$3,0,0,'Données projet'!$E$11+1,1))</f>
        <v>358.417829688045</v>
      </c>
      <c r="BJ63" s="62">
        <f t="shared" si="38"/>
        <v>394.03759949558713</v>
      </c>
      <c r="BK63" s="16">
        <f>IF(ISNA(VLOOKUP(A63,'Données projet'!$A$87:$I$107,3,0)),0,VLOOKUP(A63,'Données projet'!$A$87:$I$107,3,0))</f>
        <v>7</v>
      </c>
      <c r="BL63" s="16">
        <f>IF(ISNA(VLOOKUP(A63,'Données projet'!$A$87:$I$107,4,0)),0,VLOOKUP(A63,'Données projet'!$A$87:$I$107,4,0))</f>
        <v>97</v>
      </c>
      <c r="BM63" s="17">
        <f>IF(ISNA(VLOOKUP(A63,'Données projet'!$A$87:$I$107,5,0)),0%,VLOOKUP(A63,'Données projet'!$A$87:$I$107,5,0)*VLOOKUP('Données projet'!$B$11,Paramètres!$A$1:$I$88,7,0))</f>
        <v>0.38500000000000001</v>
      </c>
      <c r="BN63" s="17">
        <f>IF(ISNA(VLOOKUP(A63,'Données projet'!$A$87:$I$107,6,0)),0%,VLOOKUP(A63,'Données projet'!$A$87:$I$107,6,0)*VLOOKUP('Données projet'!$B$11,Paramètres!$A$1:$I$88,7,0))</f>
        <v>0.16500000000000001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90.413581102685797</v>
      </c>
      <c r="BQ63" s="23">
        <f>EXP(-LN(2)/25)*BQ62+(1-EXP(-LN(2)/25))/(LN(2)/25)*Calculateur!BL63*Calculateur!BN63*VLOOKUP('Données projet'!$B$11,Paramètres!$A$1:$I$88,3,0)*0.475*44/12</f>
        <v>44.332017911644868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134.74559901433065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16.625</v>
      </c>
      <c r="BY63" s="13">
        <f>IF('Données projet'!$A$114&gt;35,BY62+BX63-CG62,IF(A63&lt;'Données projet'!$A$114,$BV$205^A63,IF(A63='Données projet'!$A$114,'Données projet'!$B$114,BY62+BX63-CG62)))</f>
        <v>395.24999999999994</v>
      </c>
      <c r="BZ63" s="14">
        <f>BY63*VLOOKUP('Données projet'!$B$12,Paramètres!$A$1:$I$88,3,0)*VLOOKUP('Données projet'!$B$12,Paramètres!$A$1:$I$88,5,0)</f>
        <v>236.35949999999997</v>
      </c>
      <c r="CA63" s="14">
        <f t="shared" si="39"/>
        <v>57.655563749416167</v>
      </c>
      <c r="CB63" s="22">
        <f t="shared" si="10"/>
        <v>512.07623603023308</v>
      </c>
      <c r="CC63" s="62">
        <f t="shared" si="11"/>
        <v>805.40956936356633</v>
      </c>
      <c r="CD63" s="62">
        <f ca="1">AVERAGE(OFFSET($CC$3,0,0,'Données projet'!$E$12+1,1))-AVERAGE(OFFSET($H$3,0,0,'Données projet'!$E$12+1,1))</f>
        <v>405.42845699663462</v>
      </c>
      <c r="CE63" s="62">
        <f t="shared" si="40"/>
        <v>292.26503163353146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55.767362590179033</v>
      </c>
      <c r="CL63" s="23">
        <f>EXP(-LN(2)/25)*CL62+(1-EXP(-LN(2)/25))/(LN(2)/25)*Calculateur!CG63*Calculateur!CI63*VLOOKUP('Données projet'!$B$12,Paramètres!$A$1:$I$88,3,0)*0.475*44/12</f>
        <v>25.948303146617082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81.715665736796112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6.625</v>
      </c>
      <c r="N64" s="14">
        <f>IF('Données projet'!$A$36&gt;35,N63+M64-V63,IF(A64&lt;'Données projet'!$A$36,$K$205^A64,IF(A64='Données projet'!$A$36,'Données projet'!$B$36,N63+M64-V63)))</f>
        <v>135.125</v>
      </c>
      <c r="O64" s="14">
        <f>N64*VLOOKUP('Données projet'!$B$9,Paramètres!$A$1:$I$88,3,0)*VLOOKUP('Données projet'!$B$9,Paramètres!$A$1:$I$88,5,0)</f>
        <v>122.26109999999998</v>
      </c>
      <c r="P64" s="14">
        <f t="shared" si="33"/>
        <v>32.201789427344288</v>
      </c>
      <c r="Q64" s="22">
        <f t="shared" si="53"/>
        <v>269.02286575262457</v>
      </c>
      <c r="R64" s="62">
        <f t="shared" si="0"/>
        <v>562.35619908595788</v>
      </c>
      <c r="S64" s="62">
        <f ca="1">AVERAGE(OFFSET($R$3,0,0,'Données projet'!$E$9+1,1))-AVERAGE(OFFSET($H$3,0,0,'Données projet'!$E$9+1,1))</f>
        <v>329.02356155998905</v>
      </c>
      <c r="T64" s="62">
        <f t="shared" si="34"/>
        <v>199.43308683696642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9.6569410245083827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9.6569410245083827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projet'!$B$10,Paramètres!$A$1:$I$88,3,0)*VLOOKUP('Données projet'!$B$10,Paramètres!$A$1:$I$88,5,0)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160.55473404658039</v>
      </c>
      <c r="AO64" s="62">
        <f t="shared" si="36"/>
        <v>188.70262429536223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74.749656557567619</v>
      </c>
      <c r="AV64" s="23">
        <f>EXP(-LN(2)/25)*AV63+(1-EXP(-LN(2)/25))/(LN(2)/25)*Calculateur!AQ64*Calculateur!AS64*VLOOKUP('Données projet'!$B$10,Paramètres!$A$1:$I$88,3,0)*0.475*44/12</f>
        <v>38.334500646730568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113.08415720429818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14.428571428571429</v>
      </c>
      <c r="BD64" s="13">
        <f>IF('Données projet'!$A$88&gt;35,BD63+BC64-BL63,IF(A64&lt;'Données projet'!$A$88,$BA$205^A64,IF(A64='Données projet'!$A$88,'Données projet'!$B$88,BD63+BC64-BL63)))</f>
        <v>434.42857142857179</v>
      </c>
      <c r="BE64" s="14">
        <f>BD64*VLOOKUP('Données projet'!$B$11,Paramètres!$A$1:$I$88,3,0)*VLOOKUP('Données projet'!$B$11,Paramètres!$A$1:$I$88,5,0)</f>
        <v>242.84557142857165</v>
      </c>
      <c r="BF64" s="14">
        <f t="shared" si="37"/>
        <v>59.051348413542001</v>
      </c>
      <c r="BG64" s="22">
        <f t="shared" si="7"/>
        <v>525.80380205834797</v>
      </c>
      <c r="BH64" s="62">
        <f t="shared" si="8"/>
        <v>819.13713539168134</v>
      </c>
      <c r="BI64" s="62">
        <f ca="1">AVERAGE(OFFSET($BH$3,0,0,'Données projet'!$E$11+1,1))-AVERAGE(OFFSET($H$3,0,0,'Données projet'!$E$11+1,1))</f>
        <v>358.417829688045</v>
      </c>
      <c r="BJ64" s="62">
        <f t="shared" si="38"/>
        <v>394.03759949558713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88.6406259241013</v>
      </c>
      <c r="BQ64" s="23">
        <f>EXP(-LN(2)/25)*BQ63+(1-EXP(-LN(2)/25))/(LN(2)/25)*Calculateur!BL64*Calculateur!BN64*VLOOKUP('Données projet'!$B$11,Paramètres!$A$1:$I$88,3,0)*0.475*44/12</f>
        <v>43.119756550531442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131.76038247463273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16.625</v>
      </c>
      <c r="BY64" s="13">
        <f>IF('Données projet'!$A$114&gt;35,BY63+BX64-CG63,IF(A64&lt;'Données projet'!$A$114,$BV$205^A64,IF(A64='Données projet'!$A$114,'Données projet'!$B$114,BY63+BX64-CG63)))</f>
        <v>411.87499999999994</v>
      </c>
      <c r="BZ64" s="14">
        <f>BY64*VLOOKUP('Données projet'!$B$12,Paramètres!$A$1:$I$88,3,0)*VLOOKUP('Données projet'!$B$12,Paramètres!$A$1:$I$88,5,0)</f>
        <v>246.30124999999998</v>
      </c>
      <c r="CA64" s="14">
        <f t="shared" si="39"/>
        <v>59.793223430016852</v>
      </c>
      <c r="CB64" s="22">
        <f t="shared" si="10"/>
        <v>533.11454122394582</v>
      </c>
      <c r="CC64" s="62">
        <f t="shared" si="11"/>
        <v>826.44787455727919</v>
      </c>
      <c r="CD64" s="62">
        <f ca="1">AVERAGE(OFFSET($CC$3,0,0,'Données projet'!$E$12+1,1))-AVERAGE(OFFSET($H$3,0,0,'Données projet'!$E$12+1,1))</f>
        <v>405.42845699663462</v>
      </c>
      <c r="CE64" s="62">
        <f t="shared" si="40"/>
        <v>292.26503163353146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54.673798624518128</v>
      </c>
      <c r="CL64" s="23">
        <f>EXP(-LN(2)/25)*CL63+(1-EXP(-LN(2)/25))/(LN(2)/25)*Calculateur!CG64*Calculateur!CI64*VLOOKUP('Données projet'!$B$12,Paramètres!$A$1:$I$88,3,0)*0.475*44/12</f>
        <v>25.238745432510882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79.91254405702901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6.625</v>
      </c>
      <c r="N65" s="14">
        <f>IF('Données projet'!$A$36&gt;35,N64+M65-V64,IF(A65&lt;'Données projet'!$A$36,$K$205^A65,IF(A65='Données projet'!$A$36,'Données projet'!$B$36,N64+M65-V64)))</f>
        <v>141.75</v>
      </c>
      <c r="O65" s="14">
        <f>N65*VLOOKUP('Données projet'!$B$9,Paramètres!$A$1:$I$88,3,0)*VLOOKUP('Données projet'!$B$9,Paramètres!$A$1:$I$88,5,0)</f>
        <v>128.25539999999998</v>
      </c>
      <c r="P65" s="14">
        <f t="shared" si="33"/>
        <v>33.592917052375554</v>
      </c>
      <c r="Q65" s="22">
        <f t="shared" si="53"/>
        <v>281.88581886622069</v>
      </c>
      <c r="R65" s="62">
        <f t="shared" si="0"/>
        <v>575.21915219955395</v>
      </c>
      <c r="S65" s="62">
        <f ca="1">AVERAGE(OFFSET($R$3,0,0,'Données projet'!$E$9+1,1))-AVERAGE(OFFSET($H$3,0,0,'Données projet'!$E$9+1,1))</f>
        <v>329.02356155998905</v>
      </c>
      <c r="T65" s="62">
        <f t="shared" si="34"/>
        <v>199.43308683696642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9.4675743011701936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9.4675743011701936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projet'!$B$10,Paramètres!$A$1:$I$88,3,0)*VLOOKUP('Données projet'!$B$10,Paramètres!$A$1:$I$88,5,0)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160.55473404658039</v>
      </c>
      <c r="AO65" s="62">
        <f t="shared" si="36"/>
        <v>188.70262429536223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73.283861385262298</v>
      </c>
      <c r="AV65" s="23">
        <f>EXP(-LN(2)/25)*AV64+(1-EXP(-LN(2)/25))/(LN(2)/25)*Calculateur!AQ65*Calculateur!AS65*VLOOKUP('Données projet'!$B$10,Paramètres!$A$1:$I$88,3,0)*0.475*44/12</f>
        <v>37.286241710621944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110.57010309588424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14.428571428571429</v>
      </c>
      <c r="BD65" s="13">
        <f>IF('Données projet'!$A$88&gt;35,BD64+BC65-BL64,IF(A65&lt;'Données projet'!$A$88,$BA$205^A65,IF(A65='Données projet'!$A$88,'Données projet'!$B$88,BD64+BC65-BL64)))</f>
        <v>448.85714285714323</v>
      </c>
      <c r="BE65" s="14">
        <f>BD65*VLOOKUP('Données projet'!$B$11,Paramètres!$A$1:$I$88,3,0)*VLOOKUP('Données projet'!$B$11,Paramètres!$A$1:$I$88,5,0)</f>
        <v>250.91114285714309</v>
      </c>
      <c r="BF65" s="14">
        <f t="shared" si="37"/>
        <v>60.781007052879865</v>
      </c>
      <c r="BG65" s="22">
        <f t="shared" si="7"/>
        <v>542.86382775995662</v>
      </c>
      <c r="BH65" s="62">
        <f t="shared" si="8"/>
        <v>836.19716109328988</v>
      </c>
      <c r="BI65" s="62">
        <f ca="1">AVERAGE(OFFSET($BH$3,0,0,'Données projet'!$E$11+1,1))-AVERAGE(OFFSET($H$3,0,0,'Données projet'!$E$11+1,1))</f>
        <v>358.417829688045</v>
      </c>
      <c r="BJ65" s="62">
        <f t="shared" si="38"/>
        <v>394.03759949558713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86.902437315172975</v>
      </c>
      <c r="BQ65" s="23">
        <f>EXP(-LN(2)/25)*BQ64+(1-EXP(-LN(2)/25))/(LN(2)/25)*Calculateur!BL65*Calculateur!BN65*VLOOKUP('Données projet'!$B$11,Paramètres!$A$1:$I$88,3,0)*0.475*44/12</f>
        <v>41.94064454008771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128.84308185526069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16.625</v>
      </c>
      <c r="BY65" s="13">
        <f>IF('Données projet'!$A$114&gt;35,BY64+BX65-CG64,IF(A65&lt;'Données projet'!$A$114,$BV$205^A65,IF(A65='Données projet'!$A$114,'Données projet'!$B$114,BY64+BX65-CG64)))</f>
        <v>428.49999999999994</v>
      </c>
      <c r="BZ65" s="14">
        <f>BY65*VLOOKUP('Données projet'!$B$12,Paramètres!$A$1:$I$88,3,0)*VLOOKUP('Données projet'!$B$12,Paramètres!$A$1:$I$88,5,0)</f>
        <v>256.24299999999999</v>
      </c>
      <c r="CA65" s="14">
        <f t="shared" si="39"/>
        <v>61.920860231490025</v>
      </c>
      <c r="CB65" s="22">
        <f t="shared" si="10"/>
        <v>554.13538990317852</v>
      </c>
      <c r="CC65" s="62">
        <f t="shared" si="11"/>
        <v>847.46872323651178</v>
      </c>
      <c r="CD65" s="62">
        <f ca="1">AVERAGE(OFFSET($CC$3,0,0,'Données projet'!$E$12+1,1))-AVERAGE(OFFSET($H$3,0,0,'Données projet'!$E$12+1,1))</f>
        <v>405.42845699663462</v>
      </c>
      <c r="CE65" s="62">
        <f t="shared" si="40"/>
        <v>292.26503163353146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53.601678781215675</v>
      </c>
      <c r="CL65" s="23">
        <f>EXP(-LN(2)/25)*CL64+(1-EXP(-LN(2)/25))/(LN(2)/25)*Calculateur!CG65*Calculateur!CI65*VLOOKUP('Données projet'!$B$12,Paramètres!$A$1:$I$88,3,0)*0.475*44/12</f>
        <v>24.548590611410933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78.150269392626612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6.625</v>
      </c>
      <c r="N66" s="14">
        <f>IF('Données projet'!$A$36&gt;35,N65+M66-V65,IF(A66&lt;'Données projet'!$A$36,$K$205^A66,IF(A66='Données projet'!$A$36,'Données projet'!$B$36,N65+M66-V65)))</f>
        <v>148.375</v>
      </c>
      <c r="O66" s="14">
        <f>N66*VLOOKUP('Données projet'!$B$9,Paramètres!$A$1:$I$88,3,0)*VLOOKUP('Données projet'!$B$9,Paramètres!$A$1:$I$88,5,0)</f>
        <v>134.24969999999999</v>
      </c>
      <c r="P66" s="14">
        <f t="shared" si="33"/>
        <v>34.97649429485336</v>
      </c>
      <c r="Q66" s="22">
        <f t="shared" si="53"/>
        <v>294.73562173020292</v>
      </c>
      <c r="R66" s="62">
        <f t="shared" si="0"/>
        <v>588.06895506353624</v>
      </c>
      <c r="S66" s="62">
        <f ca="1">AVERAGE(OFFSET($R$3,0,0,'Données projet'!$E$9+1,1))-AVERAGE(OFFSET($H$3,0,0,'Données projet'!$E$9+1,1))</f>
        <v>329.02356155998905</v>
      </c>
      <c r="T66" s="62">
        <f t="shared" si="34"/>
        <v>199.43308683696642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9.2819209437743702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9.2819209437743702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projet'!$B$10,Paramètres!$A$1:$I$88,3,0)*VLOOKUP('Données projet'!$B$10,Paramètres!$A$1:$I$88,5,0)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160.55473404658039</v>
      </c>
      <c r="AO66" s="62">
        <f t="shared" si="36"/>
        <v>188.70262429536223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71.846809562239116</v>
      </c>
      <c r="AV66" s="23">
        <f>EXP(-LN(2)/25)*AV65+(1-EXP(-LN(2)/25))/(LN(2)/25)*Calculateur!AQ66*Calculateur!AS66*VLOOKUP('Données projet'!$B$10,Paramètres!$A$1:$I$88,3,0)*0.475*44/12</f>
        <v>36.266647470246753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108.11345703248587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14.428571428571429</v>
      </c>
      <c r="BD66" s="13">
        <f>IF('Données projet'!$A$88&gt;35,BD65+BC66-BL65,IF(A66&lt;'Données projet'!$A$88,$BA$205^A66,IF(A66='Données projet'!$A$88,'Données projet'!$B$88,BD65+BC66-BL65)))</f>
        <v>463.28571428571468</v>
      </c>
      <c r="BE66" s="14">
        <f>BD66*VLOOKUP('Données projet'!$B$11,Paramètres!$A$1:$I$88,3,0)*VLOOKUP('Données projet'!$B$11,Paramètres!$A$1:$I$88,5,0)</f>
        <v>258.97671428571448</v>
      </c>
      <c r="BF66" s="14">
        <f t="shared" si="37"/>
        <v>62.504204757480167</v>
      </c>
      <c r="BG66" s="22">
        <f t="shared" si="7"/>
        <v>559.91260066689733</v>
      </c>
      <c r="BH66" s="62">
        <f t="shared" si="8"/>
        <v>853.24593400023059</v>
      </c>
      <c r="BI66" s="62">
        <f ca="1">AVERAGE(OFFSET($BH$3,0,0,'Données projet'!$E$11+1,1))-AVERAGE(OFFSET($H$3,0,0,'Données projet'!$E$11+1,1))</f>
        <v>358.417829688045</v>
      </c>
      <c r="BJ66" s="62">
        <f t="shared" si="38"/>
        <v>394.03759949558713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85.198333524675363</v>
      </c>
      <c r="BQ66" s="23">
        <f>EXP(-LN(2)/25)*BQ65+(1-EXP(-LN(2)/25))/(LN(2)/25)*Calculateur!BL66*Calculateur!BN66*VLOOKUP('Données projet'!$B$11,Paramètres!$A$1:$I$88,3,0)*0.475*44/12</f>
        <v>40.793775409576369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125.99210893425173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16.625</v>
      </c>
      <c r="BY66" s="13">
        <f>IF('Données projet'!$A$114&gt;35,BY65+BX66-CG65,IF(A66&lt;'Données projet'!$A$114,$BV$205^A66,IF(A66='Données projet'!$A$114,'Données projet'!$B$114,BY65+BX66-CG65)))</f>
        <v>445.12499999999994</v>
      </c>
      <c r="BZ66" s="14">
        <f>BY66*VLOOKUP('Données projet'!$B$12,Paramètres!$A$1:$I$88,3,0)*VLOOKUP('Données projet'!$B$12,Paramètres!$A$1:$I$88,5,0)</f>
        <v>266.18475000000001</v>
      </c>
      <c r="CA66" s="14">
        <f t="shared" si="39"/>
        <v>64.038907529798962</v>
      </c>
      <c r="CB66" s="22">
        <f t="shared" si="10"/>
        <v>575.13953686439993</v>
      </c>
      <c r="CC66" s="62">
        <f t="shared" si="11"/>
        <v>868.4728701977333</v>
      </c>
      <c r="CD66" s="62">
        <f ca="1">AVERAGE(OFFSET($CC$3,0,0,'Données projet'!$E$12+1,1))-AVERAGE(OFFSET($H$3,0,0,'Données projet'!$E$12+1,1))</f>
        <v>405.42845699663462</v>
      </c>
      <c r="CE66" s="62">
        <f t="shared" si="40"/>
        <v>292.26503163353146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52.550582554111848</v>
      </c>
      <c r="CL66" s="23">
        <f>EXP(-LN(2)/25)*CL65+(1-EXP(-LN(2)/25))/(LN(2)/25)*Calculateur!CG66*Calculateur!CI66*VLOOKUP('Données projet'!$B$12,Paramètres!$A$1:$I$88,3,0)*0.475*44/12</f>
        <v>23.877308110187627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76.427890664299468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155</v>
      </c>
      <c r="L67" s="13">
        <f>VLOOKUP(A67,'Données projet'!$A$35:$I$55,9,0)</f>
        <v>6.625</v>
      </c>
      <c r="M67" s="13">
        <f t="array" ref="M67">INDEX(L:L,MIN(IF(ISNUMBER(L67:L263),ROW(L67:L263),"")))</f>
        <v>6.625</v>
      </c>
      <c r="N67" s="14">
        <f>IF('Données projet'!$A$36&gt;35,N66+M67-V66,IF(A67&lt;'Données projet'!$A$36,$K$205^A67,IF(A67='Données projet'!$A$36,'Données projet'!$B$36,N66+M67-V66)))</f>
        <v>155</v>
      </c>
      <c r="O67" s="14">
        <f>N67*VLOOKUP('Données projet'!$B$9,Paramètres!$A$1:$I$88,3,0)*VLOOKUP('Données projet'!$B$9,Paramètres!$A$1:$I$88,5,0)</f>
        <v>140.244</v>
      </c>
      <c r="P67" s="14">
        <f t="shared" si="33"/>
        <v>36.352896802451752</v>
      </c>
      <c r="Q67" s="22">
        <f t="shared" ref="Q67:Q98" si="54">(O67+P67)*0.475*44/12</f>
        <v>307.57292859760338</v>
      </c>
      <c r="R67" s="62">
        <f t="shared" ref="R67:R130" si="55">Q67+(I67+J67)*44/12</f>
        <v>600.90626193093669</v>
      </c>
      <c r="S67" s="62">
        <f ca="1">AVERAGE(OFFSET($R$3,0,0,'Données projet'!$E$9+1,1))-AVERAGE(OFFSET($H$3,0,0,'Données projet'!$E$9+1,1))</f>
        <v>329.02356155998905</v>
      </c>
      <c r="T67" s="62">
        <f t="shared" si="34"/>
        <v>199.43308683696642</v>
      </c>
      <c r="U67" s="16">
        <f>IF(ISNA(VLOOKUP(A67,'Données projet'!$A$35:$I$55,3,0)),0,VLOOKUP(A67,'Données projet'!$A$35:$I$55,3,0))</f>
        <v>4</v>
      </c>
      <c r="V67" s="16">
        <f>IF(ISNA(VLOOKUP(A67,'Données projet'!$A$35:$I$55,4,0)),0,VLOOKUP(A67,'Données projet'!$A$35:$I$55,4,0))</f>
        <v>41</v>
      </c>
      <c r="W67" s="17">
        <f>IF(ISNA(VLOOKUP(A67,'Données projet'!$A$35:$I$55,5,0)),0%,VLOOKUP(A67,'Données projet'!$A$35:$I$55,5,0)*VLOOKUP('Données projet'!$B$9,Paramètres!$A$1:$I$88,7,0))</f>
        <v>0.25800000000000001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19.680336837947863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19.680336837947863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projet'!$B$10,Paramètres!$A$1:$I$88,3,0)*VLOOKUP('Données projet'!$B$10,Paramètres!$A$1:$I$88,5,0)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160.55473404658039</v>
      </c>
      <c r="AO67" s="62">
        <f t="shared" si="36"/>
        <v>188.70262429536223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70.43793744895035</v>
      </c>
      <c r="AV67" s="23">
        <f>EXP(-LN(2)/25)*AV66+(1-EXP(-LN(2)/25))/(LN(2)/25)*Calculateur!AQ67*Calculateur!AS67*VLOOKUP('Données projet'!$B$10,Paramètres!$A$1:$I$88,3,0)*0.475*44/12</f>
        <v>35.274934087992754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105.71287153694311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14.428571428571429</v>
      </c>
      <c r="BD67" s="13">
        <f>IF('Données projet'!$A$88&gt;35,BD66+BC67-BL66,IF(A67&lt;'Données projet'!$A$88,$BA$205^A67,IF(A67='Données projet'!$A$88,'Données projet'!$B$88,BD66+BC67-BL66)))</f>
        <v>477.71428571428612</v>
      </c>
      <c r="BE67" s="14">
        <f>BD67*VLOOKUP('Données projet'!$B$11,Paramètres!$A$1:$I$88,3,0)*VLOOKUP('Données projet'!$B$11,Paramètres!$A$1:$I$88,5,0)</f>
        <v>267.04228571428598</v>
      </c>
      <c r="BF67" s="14">
        <f t="shared" si="37"/>
        <v>64.221165835529604</v>
      </c>
      <c r="BG67" s="22">
        <f t="shared" si="7"/>
        <v>576.95051144926219</v>
      </c>
      <c r="BH67" s="62">
        <f t="shared" si="8"/>
        <v>870.28384478259545</v>
      </c>
      <c r="BI67" s="62">
        <f ca="1">AVERAGE(OFFSET($BH$3,0,0,'Données projet'!$E$11+1,1))-AVERAGE(OFFSET($H$3,0,0,'Données projet'!$E$11+1,1))</f>
        <v>358.417829688045</v>
      </c>
      <c r="BJ67" s="62">
        <f t="shared" si="38"/>
        <v>394.03759949558713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83.527646170108724</v>
      </c>
      <c r="BQ67" s="23">
        <f>EXP(-LN(2)/25)*BQ66+(1-EXP(-LN(2)/25))/(LN(2)/25)*Calculateur!BL67*Calculateur!BN67*VLOOKUP('Données projet'!$B$11,Paramètres!$A$1:$I$88,3,0)*0.475*44/12</f>
        <v>39.67826747575009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123.20591364585881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16.625</v>
      </c>
      <c r="BY67" s="13">
        <f>IF('Données projet'!$A$114&gt;35,BY66+BX67-CG66,IF(A67&lt;'Données projet'!$A$114,$BV$205^A67,IF(A67='Données projet'!$A$114,'Données projet'!$B$114,BY66+BX67-CG66)))</f>
        <v>461.74999999999994</v>
      </c>
      <c r="BZ67" s="14">
        <f>BY67*VLOOKUP('Données projet'!$B$12,Paramètres!$A$1:$I$88,3,0)*VLOOKUP('Données projet'!$B$12,Paramètres!$A$1:$I$88,5,0)</f>
        <v>276.12649999999996</v>
      </c>
      <c r="CA67" s="14">
        <f t="shared" si="39"/>
        <v>66.147764494536574</v>
      </c>
      <c r="CB67" s="22">
        <f t="shared" si="10"/>
        <v>596.12767732798443</v>
      </c>
      <c r="CC67" s="62">
        <f t="shared" si="11"/>
        <v>889.46101066131769</v>
      </c>
      <c r="CD67" s="62">
        <f ca="1">AVERAGE(OFFSET($CC$3,0,0,'Données projet'!$E$12+1,1))-AVERAGE(OFFSET($H$3,0,0,'Données projet'!$E$12+1,1))</f>
        <v>405.42845699663462</v>
      </c>
      <c r="CE67" s="62">
        <f t="shared" si="40"/>
        <v>292.26503163353146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51.520097682916131</v>
      </c>
      <c r="CL67" s="23">
        <f>EXP(-LN(2)/25)*CL66+(1-EXP(-LN(2)/25))/(LN(2)/25)*Calculateur!CG67*Calculateur!CI67*VLOOKUP('Données projet'!$B$12,Paramètres!$A$1:$I$88,3,0)*0.475*44/12</f>
        <v>23.224381864261485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74.744479547177619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5.75</v>
      </c>
      <c r="N68" s="14">
        <f>IF('Données projet'!$A$36&gt;35,N67+M68-V67,IF(A68&lt;'Données projet'!$A$36,$K$205^A68,IF(A68='Données projet'!$A$36,'Données projet'!$B$36,N67+M68-V67)))</f>
        <v>119.75</v>
      </c>
      <c r="O68" s="14">
        <f>N68*VLOOKUP('Données projet'!$B$9,Paramètres!$A$1:$I$88,3,0)*VLOOKUP('Données projet'!$B$9,Paramètres!$A$1:$I$88,5,0)</f>
        <v>108.3498</v>
      </c>
      <c r="P68" s="14">
        <f t="shared" si="33"/>
        <v>28.941843207640417</v>
      </c>
      <c r="Q68" s="22">
        <f t="shared" si="54"/>
        <v>239.11627858664042</v>
      </c>
      <c r="R68" s="62">
        <f t="shared" si="55"/>
        <v>532.44961191997368</v>
      </c>
      <c r="S68" s="62">
        <f ca="1">AVERAGE(OFFSET($R$3,0,0,'Données projet'!$E$9+1,1))-AVERAGE(OFFSET($H$3,0,0,'Données projet'!$E$9+1,1))</f>
        <v>329.02356155998905</v>
      </c>
      <c r="T68" s="62">
        <f t="shared" si="34"/>
        <v>199.43308683696642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19.294417436375898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19.294417436375898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projet'!$B$10,Paramètres!$A$1:$I$88,3,0)*VLOOKUP('Données projet'!$B$10,Paramètres!$A$1:$I$88,5,0)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160.55473404658039</v>
      </c>
      <c r="AO68" s="62">
        <f t="shared" si="36"/>
        <v>188.70262429536223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69.05669245847605</v>
      </c>
      <c r="AV68" s="23">
        <f>EXP(-LN(2)/25)*AV67+(1-EXP(-LN(2)/25))/(LN(2)/25)*Calculateur!AQ68*Calculateur!AS68*VLOOKUP('Données projet'!$B$10,Paramètres!$A$1:$I$88,3,0)*0.475*44/12</f>
        <v>34.310339160328432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103.36703161880448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14.428571428571429</v>
      </c>
      <c r="BD68" s="13">
        <f>IF('Données projet'!$A$88&gt;35,BD67+BC68-BL67,IF(A68&lt;'Données projet'!$A$88,$BA$205^A68,IF(A68='Données projet'!$A$88,'Données projet'!$B$88,BD67+BC68-BL67)))</f>
        <v>492.14285714285757</v>
      </c>
      <c r="BE68" s="14">
        <f>BD68*VLOOKUP('Données projet'!$B$11,Paramètres!$A$1:$I$88,3,0)*VLOOKUP('Données projet'!$B$11,Paramètres!$A$1:$I$88,5,0)</f>
        <v>275.10785714285737</v>
      </c>
      <c r="BF68" s="14">
        <f t="shared" si="37"/>
        <v>65.932100275480508</v>
      </c>
      <c r="BG68" s="22">
        <f t="shared" ref="BG68:BG131" si="61">(BE68+BF68)*0.475*44/12</f>
        <v>593.97792583693843</v>
      </c>
      <c r="BH68" s="62">
        <f t="shared" ref="BH68:BH131" si="62">BG68+(AY68+AZ68)*44/12</f>
        <v>887.3112591702718</v>
      </c>
      <c r="BI68" s="62">
        <f ca="1">AVERAGE(OFFSET($BH$3,0,0,'Données projet'!$E$11+1,1))-AVERAGE(OFFSET($H$3,0,0,'Données projet'!$E$11+1,1))</f>
        <v>358.417829688045</v>
      </c>
      <c r="BJ68" s="62">
        <f t="shared" si="38"/>
        <v>394.03759949558713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81.88971997554647</v>
      </c>
      <c r="BQ68" s="23">
        <f>EXP(-LN(2)/25)*BQ67+(1-EXP(-LN(2)/25))/(LN(2)/25)*Calculateur!BL68*Calculateur!BN68*VLOOKUP('Données projet'!$B$11,Paramètres!$A$1:$I$88,3,0)*0.475*44/12</f>
        <v>38.593263165036305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120.48298314058277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16.625</v>
      </c>
      <c r="BY68" s="13">
        <f>IF('Données projet'!$A$114&gt;35,BY67+BX68-CG67,IF(A68&lt;'Données projet'!$A$114,$BV$205^A68,IF(A68='Données projet'!$A$114,'Données projet'!$B$114,BY67+BX68-CG67)))</f>
        <v>478.37499999999994</v>
      </c>
      <c r="BZ68" s="14">
        <f>BY68*VLOOKUP('Données projet'!$B$12,Paramètres!$A$1:$I$88,3,0)*VLOOKUP('Données projet'!$B$12,Paramètres!$A$1:$I$88,5,0)</f>
        <v>286.06824999999998</v>
      </c>
      <c r="CA68" s="14">
        <f t="shared" si="39"/>
        <v>68.247799922382825</v>
      </c>
      <c r="CB68" s="22">
        <f t="shared" ref="CB68:CB131" si="64">(BZ68+CA68)*0.475*44/12</f>
        <v>617.10045361481673</v>
      </c>
      <c r="CC68" s="62">
        <f t="shared" ref="CC68:CC131" si="65">CB68+(BT68+BU68)*44/12</f>
        <v>910.4337869481501</v>
      </c>
      <c r="CD68" s="62">
        <f ca="1">AVERAGE(OFFSET($CC$3,0,0,'Données projet'!$E$12+1,1))-AVERAGE(OFFSET($H$3,0,0,'Données projet'!$E$12+1,1))</f>
        <v>405.42845699663462</v>
      </c>
      <c r="CE68" s="62">
        <f t="shared" si="40"/>
        <v>292.26503163353146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50.509819991510852</v>
      </c>
      <c r="CL68" s="23">
        <f>EXP(-LN(2)/25)*CL67+(1-EXP(-LN(2)/25))/(LN(2)/25)*Calculateur!CG68*Calculateur!CI68*VLOOKUP('Données projet'!$B$12,Paramètres!$A$1:$I$88,3,0)*0.475*44/12</f>
        <v>22.589309920866093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73.099129912376952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5.75</v>
      </c>
      <c r="N69" s="14">
        <f>IF('Données projet'!$A$36&gt;35,N68+M69-V68,IF(A69&lt;'Données projet'!$A$36,$K$205^A69,IF(A69='Données projet'!$A$36,'Données projet'!$B$36,N68+M69-V68)))</f>
        <v>125.5</v>
      </c>
      <c r="O69" s="14">
        <f>N69*VLOOKUP('Données projet'!$B$9,Paramètres!$A$1:$I$88,3,0)*VLOOKUP('Données projet'!$B$9,Paramètres!$A$1:$I$88,5,0)</f>
        <v>113.55239999999999</v>
      </c>
      <c r="P69" s="14">
        <f t="shared" ref="P69:P132" si="87">EXP(-1.0587+0.8836*LN(O69)+0.284)</f>
        <v>30.166403182577518</v>
      </c>
      <c r="Q69" s="22">
        <f t="shared" si="54"/>
        <v>250.3102488763225</v>
      </c>
      <c r="R69" s="62">
        <f t="shared" si="55"/>
        <v>543.64358220965585</v>
      </c>
      <c r="S69" s="62">
        <f ca="1">AVERAGE(OFFSET($R$3,0,0,'Données projet'!$E$9+1,1))-AVERAGE(OFFSET($H$3,0,0,'Données projet'!$E$9+1,1))</f>
        <v>329.02356155998905</v>
      </c>
      <c r="T69" s="62">
        <f t="shared" ref="T69:T132" si="88">$T$3</f>
        <v>199.43308683696642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18.916065678881168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18.916065678881168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projet'!$B$10,Paramètres!$A$1:$I$88,3,0)*VLOOKUP('Données projet'!$B$10,Paramètres!$A$1:$I$88,5,0)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160.55473404658039</v>
      </c>
      <c r="AO69" s="62">
        <f t="shared" ref="AO69:AO132" si="90">$AO$3</f>
        <v>188.70262429536223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67.702532839788688</v>
      </c>
      <c r="AV69" s="23">
        <f>EXP(-LN(2)/25)*AV68+(1-EXP(-LN(2)/25))/(LN(2)/25)*Calculateur!AQ69*Calculateur!AS69*VLOOKUP('Données projet'!$B$10,Paramètres!$A$1:$I$88,3,0)*0.475*44/12</f>
        <v>33.372121131686932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101.07465397147561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14.428571428571429</v>
      </c>
      <c r="BD69" s="13">
        <f>IF('Données projet'!$A$88&gt;35,BD68+BC69-BL68,IF(A69&lt;'Données projet'!$A$88,$BA$205^A69,IF(A69='Données projet'!$A$88,'Données projet'!$B$88,BD68+BC69-BL68)))</f>
        <v>506.57142857142901</v>
      </c>
      <c r="BE69" s="14">
        <f>BD69*VLOOKUP('Données projet'!$B$11,Paramètres!$A$1:$I$88,3,0)*VLOOKUP('Données projet'!$B$11,Paramètres!$A$1:$I$88,5,0)</f>
        <v>283.17342857142881</v>
      </c>
      <c r="BF69" s="14">
        <f t="shared" ref="BF69:BF132" si="91">EXP(-1.0587+0.8836*LN(BE69)+0.284)</f>
        <v>67.637205052920223</v>
      </c>
      <c r="BG69" s="22">
        <f t="shared" si="61"/>
        <v>610.9951868957412</v>
      </c>
      <c r="BH69" s="62">
        <f t="shared" si="62"/>
        <v>904.32852022907446</v>
      </c>
      <c r="BI69" s="62">
        <f ca="1">AVERAGE(OFFSET($BH$3,0,0,'Données projet'!$E$11+1,1))-AVERAGE(OFFSET($H$3,0,0,'Données projet'!$E$11+1,1))</f>
        <v>358.417829688045</v>
      </c>
      <c r="BJ69" s="62">
        <f t="shared" ref="BJ69:BJ132" si="92">$BJ$3</f>
        <v>394.03759949558713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80.283912514623253</v>
      </c>
      <c r="BQ69" s="23">
        <f>EXP(-LN(2)/25)*BQ68+(1-EXP(-LN(2)/25))/(LN(2)/25)*Calculateur!BL69*Calculateur!BN69*VLOOKUP('Données projet'!$B$11,Paramètres!$A$1:$I$88,3,0)*0.475*44/12</f>
        <v>37.537928354256884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117.82184086888014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495</v>
      </c>
      <c r="BW69" s="13">
        <f>VLOOKUP(A69,'Données projet'!$A$113:$I$133,9,0)</f>
        <v>16.625</v>
      </c>
      <c r="BX69" s="13">
        <f t="array" ref="BX69">INDEX(BW:BW,MIN(IF(ISNUMBER(BW69:BW265),ROW(BW69:BW265),"")))</f>
        <v>16.625</v>
      </c>
      <c r="BY69" s="13">
        <f>IF('Données projet'!$A$114&gt;35,BY68+BX69-CG68,IF(A69&lt;'Données projet'!$A$114,$BV$205^A69,IF(A69='Données projet'!$A$114,'Données projet'!$B$114,BY68+BX69-CG68)))</f>
        <v>494.99999999999994</v>
      </c>
      <c r="BZ69" s="14">
        <f>BY69*VLOOKUP('Données projet'!$B$12,Paramètres!$A$1:$I$88,3,0)*VLOOKUP('Données projet'!$B$12,Paramètres!$A$1:$I$88,5,0)</f>
        <v>296.01</v>
      </c>
      <c r="CA69" s="14">
        <f t="shared" ref="CA69:CA132" si="93">EXP(-1.0587+0.8836*LN(BZ69)+0.284)</f>
        <v>70.339355522692159</v>
      </c>
      <c r="CB69" s="22">
        <f t="shared" si="64"/>
        <v>638.05846086868871</v>
      </c>
      <c r="CC69" s="62">
        <f t="shared" si="65"/>
        <v>931.39179420202208</v>
      </c>
      <c r="CD69" s="62">
        <f ca="1">AVERAGE(OFFSET($CC$3,0,0,'Données projet'!$E$12+1,1))-AVERAGE(OFFSET($H$3,0,0,'Données projet'!$E$12+1,1))</f>
        <v>405.42845699663462</v>
      </c>
      <c r="CE69" s="62">
        <f t="shared" ref="CE69:CE132" si="94">$CE$3</f>
        <v>292.26503163353146</v>
      </c>
      <c r="CF69" s="16">
        <f>IF(ISNA(VLOOKUP(A69,'Données projet'!$A$113:$I$133,3,0)),0,VLOOKUP(A69,'Données projet'!$A$113:$I$133,3,0))</f>
        <v>9</v>
      </c>
      <c r="CG69" s="16">
        <f>IF(ISNA(VLOOKUP(A69,'Données projet'!$A$113:$I$133,4,0)),0,VLOOKUP(A69,'Données projet'!$A$113:$I$133,4,0))</f>
        <v>65</v>
      </c>
      <c r="CH69" s="17">
        <f>IF(ISNA(VLOOKUP(A69,'Données projet'!$A$113:$I$133,5,0)),0%,VLOOKUP(A69,'Données projet'!$A$113:$I$133,5,0)*VLOOKUP('Données projet'!$B$12,Paramètres!$A$1:$I$88,7,0))</f>
        <v>0.315</v>
      </c>
      <c r="CI69" s="17">
        <f>IF(ISNA(VLOOKUP(A69,'Données projet'!$A$113:$I$133,6,0)),0%,VLOOKUP(A69,'Données projet'!$A$113:$I$133,6,0)*VLOOKUP('Données projet'!$B$12,Paramètres!$A$1:$I$88,7,0))</f>
        <v>0.13500000000000001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65.761874750049998</v>
      </c>
      <c r="CL69" s="23">
        <f>EXP(-LN(2)/25)*CL68+(1-EXP(-LN(2)/25))/(LN(2)/25)*Calculateur!CG69*Calculateur!CI69*VLOOKUP('Données projet'!$B$12,Paramètres!$A$1:$I$88,3,0)*0.475*44/12</f>
        <v>28.905276277950648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94.667151028000646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5.75</v>
      </c>
      <c r="N70" s="14">
        <f>IF('Données projet'!$A$36&gt;35,N69+M70-V69,IF(A70&lt;'Données projet'!$A$36,$K$205^A70,IF(A70='Données projet'!$A$36,'Données projet'!$B$36,N69+M70-V69)))</f>
        <v>131.25</v>
      </c>
      <c r="O70" s="14">
        <f>N70*VLOOKUP('Données projet'!$B$9,Paramètres!$A$1:$I$88,3,0)*VLOOKUP('Données projet'!$B$9,Paramètres!$A$1:$I$88,5,0)</f>
        <v>118.75500000000001</v>
      </c>
      <c r="P70" s="14">
        <f t="shared" si="87"/>
        <v>31.384447472481</v>
      </c>
      <c r="Q70" s="22">
        <f t="shared" si="54"/>
        <v>261.49287101457111</v>
      </c>
      <c r="R70" s="62">
        <f t="shared" si="55"/>
        <v>554.82620434790442</v>
      </c>
      <c r="S70" s="62">
        <f ca="1">AVERAGE(OFFSET($R$3,0,0,'Données projet'!$E$9+1,1))-AVERAGE(OFFSET($H$3,0,0,'Données projet'!$E$9+1,1))</f>
        <v>329.02356155998905</v>
      </c>
      <c r="T70" s="62">
        <f t="shared" si="88"/>
        <v>199.43308683696642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18.545133168579124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18.545133168579124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projet'!$B$10,Paramètres!$A$1:$I$88,3,0)*VLOOKUP('Données projet'!$B$10,Paramètres!$A$1:$I$88,5,0)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160.55473404658039</v>
      </c>
      <c r="AO70" s="62">
        <f t="shared" si="90"/>
        <v>188.70262429536223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66.374927465267973</v>
      </c>
      <c r="AV70" s="23">
        <f>EXP(-LN(2)/25)*AV69+(1-EXP(-LN(2)/25))/(LN(2)/25)*Calculateur!AQ70*Calculateur!AS70*VLOOKUP('Données projet'!$B$10,Paramètres!$A$1:$I$88,3,0)*0.475*44/12</f>
        <v>32.459558724377374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98.834486189645347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>
        <f>VLOOKUP(A70,'Données projet'!$A$87:$I$107,2,0)</f>
        <v>521</v>
      </c>
      <c r="BB70" s="13">
        <f>VLOOKUP(A70,'Données projet'!$A$87:$I$107,9,0)</f>
        <v>14.428571428571429</v>
      </c>
      <c r="BC70" s="13">
        <f t="array" ref="BC70">INDEX(BB:BB,MIN(IF(ISNUMBER(BB70:BB266),ROW(BB70:BB266),"")))</f>
        <v>14.428571428571429</v>
      </c>
      <c r="BD70" s="13">
        <f>IF('Données projet'!$A$88&gt;35,BD69+BC70-BL69,IF(A70&lt;'Données projet'!$A$88,$BA$205^A70,IF(A70='Données projet'!$A$88,'Données projet'!$B$88,BD69+BC70-BL69)))</f>
        <v>521.00000000000045</v>
      </c>
      <c r="BE70" s="14">
        <f>BD70*VLOOKUP('Données projet'!$B$11,Paramètres!$A$1:$I$88,3,0)*VLOOKUP('Données projet'!$B$11,Paramètres!$A$1:$I$88,5,0)</f>
        <v>291.23900000000026</v>
      </c>
      <c r="BF70" s="14">
        <f t="shared" si="91"/>
        <v>69.336665284362454</v>
      </c>
      <c r="BG70" s="22">
        <f t="shared" si="61"/>
        <v>628.00261703693161</v>
      </c>
      <c r="BH70" s="62">
        <f t="shared" si="62"/>
        <v>921.33595037026498</v>
      </c>
      <c r="BI70" s="62">
        <f ca="1">AVERAGE(OFFSET($BH$3,0,0,'Données projet'!$E$11+1,1))-AVERAGE(OFFSET($H$3,0,0,'Données projet'!$E$11+1,1))</f>
        <v>358.417829688045</v>
      </c>
      <c r="BJ70" s="62">
        <f t="shared" si="92"/>
        <v>394.03759949558713</v>
      </c>
      <c r="BK70" s="16">
        <f>IF(ISNA(VLOOKUP(A70,'Données projet'!$A$87:$I$107,3,0)),0,VLOOKUP(A70,'Données projet'!$A$87:$I$107,3,0))</f>
        <v>8</v>
      </c>
      <c r="BL70" s="16">
        <f>IF(ISNA(VLOOKUP(A70,'Données projet'!$A$87:$I$107,4,0)),0,VLOOKUP(A70,'Données projet'!$A$87:$I$107,4,0))</f>
        <v>521</v>
      </c>
      <c r="BM70" s="17">
        <f>IF(ISNA(VLOOKUP(A70,'Données projet'!$A$87:$I$107,5,0)),0%,VLOOKUP(A70,'Données projet'!$A$87:$I$107,5,0)*VLOOKUP('Données projet'!$B$11,Paramètres!$A$1:$I$88,7,0))</f>
        <v>0.38500000000000001</v>
      </c>
      <c r="BN70" s="17">
        <f>IF(ISNA(VLOOKUP(A70,'Données projet'!$A$87:$I$107,6,0)),0%,VLOOKUP(A70,'Données projet'!$A$87:$I$107,6,0)*VLOOKUP('Données projet'!$B$11,Paramètres!$A$1:$I$88,7,0))</f>
        <v>0.16500000000000001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227.45330655209909</v>
      </c>
      <c r="BQ70" s="23">
        <f>EXP(-LN(2)/25)*BQ69+(1-EXP(-LN(2)/25))/(LN(2)/25)*Calculateur!BL70*Calculateur!BN70*VLOOKUP('Données projet'!$B$11,Paramètres!$A$1:$I$88,3,0)*0.475*44/12</f>
        <v>100.00775969562912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327.46106624772824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12.875</v>
      </c>
      <c r="BY70" s="13">
        <f>IF('Données projet'!$A$114&gt;35,BY69+BX70-CG69,IF(A70&lt;'Données projet'!$A$114,$BV$205^A70,IF(A70='Données projet'!$A$114,'Données projet'!$B$114,BY69+BX70-CG69)))</f>
        <v>442.87499999999994</v>
      </c>
      <c r="BZ70" s="14">
        <f>BY70*VLOOKUP('Données projet'!$B$12,Paramètres!$A$1:$I$88,3,0)*VLOOKUP('Données projet'!$B$12,Paramètres!$A$1:$I$88,5,0)</f>
        <v>264.83924999999999</v>
      </c>
      <c r="CA70" s="14">
        <f t="shared" si="93"/>
        <v>63.752800756768096</v>
      </c>
      <c r="CB70" s="22">
        <f t="shared" si="64"/>
        <v>572.29782173470437</v>
      </c>
      <c r="CC70" s="62">
        <f t="shared" si="65"/>
        <v>865.63115506803774</v>
      </c>
      <c r="CD70" s="62">
        <f ca="1">AVERAGE(OFFSET($CC$3,0,0,'Données projet'!$E$12+1,1))-AVERAGE(OFFSET($H$3,0,0,'Données projet'!$E$12+1,1))</f>
        <v>405.42845699663462</v>
      </c>
      <c r="CE70" s="62">
        <f t="shared" si="94"/>
        <v>292.26503163353146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64.472324496984498</v>
      </c>
      <c r="CL70" s="23">
        <f>EXP(-LN(2)/25)*CL69+(1-EXP(-LN(2)/25))/(LN(2)/25)*Calculateur!CG70*Calculateur!CI70*VLOOKUP('Données projet'!$B$12,Paramètres!$A$1:$I$88,3,0)*0.475*44/12</f>
        <v>28.11485997806767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92.587184475052169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5.75</v>
      </c>
      <c r="N71" s="14">
        <f>IF('Données projet'!$A$36&gt;35,N70+M71-V70,IF(A71&lt;'Données projet'!$A$36,$K$205^A71,IF(A71='Données projet'!$A$36,'Données projet'!$B$36,N70+M71-V70)))</f>
        <v>137</v>
      </c>
      <c r="O71" s="14">
        <f>N71*VLOOKUP('Données projet'!$B$9,Paramètres!$A$1:$I$88,3,0)*VLOOKUP('Données projet'!$B$9,Paramètres!$A$1:$I$88,5,0)</f>
        <v>123.9576</v>
      </c>
      <c r="P71" s="14">
        <f t="shared" si="87"/>
        <v>32.59629414926458</v>
      </c>
      <c r="Q71" s="22">
        <f t="shared" si="54"/>
        <v>272.6646989766358</v>
      </c>
      <c r="R71" s="62">
        <f t="shared" si="55"/>
        <v>565.99803230996918</v>
      </c>
      <c r="S71" s="62">
        <f ca="1">AVERAGE(OFFSET($R$3,0,0,'Données projet'!$E$9+1,1))-AVERAGE(OFFSET($H$3,0,0,'Données projet'!$E$9+1,1))</f>
        <v>329.02356155998905</v>
      </c>
      <c r="T71" s="62">
        <f t="shared" si="88"/>
        <v>199.43308683696642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18.18147441855761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18.18147441855761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projet'!$B$10,Paramètres!$A$1:$I$88,3,0)*VLOOKUP('Données projet'!$B$10,Paramètres!$A$1:$I$88,5,0)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160.55473404658039</v>
      </c>
      <c r="AO71" s="62">
        <f t="shared" si="90"/>
        <v>188.70262429536223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65.073355622382294</v>
      </c>
      <c r="AV71" s="23">
        <f>EXP(-LN(2)/25)*AV70+(1-EXP(-LN(2)/25))/(LN(2)/25)*Calculateur!AQ71*Calculateur!AS71*VLOOKUP('Données projet'!$B$10,Paramètres!$A$1:$I$88,3,0)*0.475*44/12</f>
        <v>31.57195038408527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96.645306006467564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4.5474735088646412E-13</v>
      </c>
      <c r="BE71" s="14">
        <f>BD71*VLOOKUP('Données projet'!$B$11,Paramètres!$A$1:$I$88,3,0)*VLOOKUP('Données projet'!$B$11,Paramètres!$A$1:$I$88,5,0)</f>
        <v>2.5420376914553347E-13</v>
      </c>
      <c r="BF71" s="14">
        <f t="shared" si="91"/>
        <v>3.4258699088369875E-12</v>
      </c>
      <c r="BG71" s="22">
        <f t="shared" si="61"/>
        <v>6.4094616558195571E-12</v>
      </c>
      <c r="BH71" s="62">
        <f t="shared" si="62"/>
        <v>293.33333333333974</v>
      </c>
      <c r="BI71" s="62">
        <f ca="1">AVERAGE(OFFSET($BH$3,0,0,'Données projet'!$E$11+1,1))-AVERAGE(OFFSET($H$3,0,0,'Données projet'!$E$11+1,1))</f>
        <v>358.417829688045</v>
      </c>
      <c r="BJ71" s="62">
        <f t="shared" si="92"/>
        <v>394.03759949558713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222.99308594343069</v>
      </c>
      <c r="BQ71" s="23">
        <f>EXP(-LN(2)/25)*BQ70+(1-EXP(-LN(2)/25))/(LN(2)/25)*Calculateur!BL71*Calculateur!BN71*VLOOKUP('Données projet'!$B$11,Paramètres!$A$1:$I$88,3,0)*0.475*44/12</f>
        <v>97.273042247572633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320.2661281910033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12.875</v>
      </c>
      <c r="BY71" s="13">
        <f>IF('Données projet'!$A$114&gt;35,BY70+BX71-CG70,IF(A71&lt;'Données projet'!$A$114,$BV$205^A71,IF(A71='Données projet'!$A$114,'Données projet'!$B$114,BY70+BX71-CG70)))</f>
        <v>455.74999999999994</v>
      </c>
      <c r="BZ71" s="14">
        <f>BY71*VLOOKUP('Données projet'!$B$12,Paramètres!$A$1:$I$88,3,0)*VLOOKUP('Données projet'!$B$12,Paramètres!$A$1:$I$88,5,0)</f>
        <v>272.5385</v>
      </c>
      <c r="CA71" s="14">
        <f t="shared" si="93"/>
        <v>65.387709293034902</v>
      </c>
      <c r="CB71" s="22">
        <f t="shared" si="64"/>
        <v>588.55481451870241</v>
      </c>
      <c r="CC71" s="62">
        <f t="shared" si="65"/>
        <v>881.88814785203567</v>
      </c>
      <c r="CD71" s="62">
        <f ca="1">AVERAGE(OFFSET($CC$3,0,0,'Données projet'!$E$12+1,1))-AVERAGE(OFFSET($H$3,0,0,'Données projet'!$E$12+1,1))</f>
        <v>405.42845699663462</v>
      </c>
      <c r="CE71" s="62">
        <f t="shared" si="94"/>
        <v>292.26503163353146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63.208061537833629</v>
      </c>
      <c r="CL71" s="23">
        <f>EXP(-LN(2)/25)*CL70+(1-EXP(-LN(2)/25))/(LN(2)/25)*Calculateur!CG71*Calculateur!CI71*VLOOKUP('Données projet'!$B$12,Paramètres!$A$1:$I$88,3,0)*0.475*44/12</f>
        <v>27.346057653471181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90.554119191304807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5.75</v>
      </c>
      <c r="N72" s="14">
        <f>IF('Données projet'!$A$36&gt;35,N71+M72-V71,IF(A72&lt;'Données projet'!$A$36,$K$205^A72,IF(A72='Données projet'!$A$36,'Données projet'!$B$36,N71+M72-V71)))</f>
        <v>142.75</v>
      </c>
      <c r="O72" s="14">
        <f>N72*VLOOKUP('Données projet'!$B$9,Paramètres!$A$1:$I$88,3,0)*VLOOKUP('Données projet'!$B$9,Paramètres!$A$1:$I$88,5,0)</f>
        <v>129.16019999999997</v>
      </c>
      <c r="P72" s="14">
        <f t="shared" si="87"/>
        <v>33.80223307495099</v>
      </c>
      <c r="Q72" s="22">
        <f t="shared" si="54"/>
        <v>283.82623760553963</v>
      </c>
      <c r="R72" s="62">
        <f t="shared" si="55"/>
        <v>577.159570938873</v>
      </c>
      <c r="S72" s="62">
        <f ca="1">AVERAGE(OFFSET($R$3,0,0,'Données projet'!$E$9+1,1))-AVERAGE(OFFSET($H$3,0,0,'Données projet'!$E$9+1,1))</f>
        <v>329.02356155998905</v>
      </c>
      <c r="T72" s="62">
        <f t="shared" si="88"/>
        <v>199.43308683696642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17.824946794814082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17.824946794814082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projet'!$B$10,Paramètres!$A$1:$I$88,3,0)*VLOOKUP('Données projet'!$B$10,Paramètres!$A$1:$I$88,5,0)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160.55473404658039</v>
      </c>
      <c r="AO72" s="62">
        <f t="shared" si="90"/>
        <v>188.70262429536223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63.797306809455165</v>
      </c>
      <c r="AV72" s="23">
        <f>EXP(-LN(2)/25)*AV71+(1-EXP(-LN(2)/25))/(LN(2)/25)*Calculateur!AQ72*Calculateur!AS72*VLOOKUP('Données projet'!$B$10,Paramètres!$A$1:$I$88,3,0)*0.475*44/12</f>
        <v>30.708613740535746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94.505920549990918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4.5474735088646412E-13</v>
      </c>
      <c r="BE72" s="14">
        <f>BD72*VLOOKUP('Données projet'!$B$11,Paramètres!$A$1:$I$88,3,0)*VLOOKUP('Données projet'!$B$11,Paramètres!$A$1:$I$88,5,0)</f>
        <v>2.5420376914553347E-13</v>
      </c>
      <c r="BF72" s="14">
        <f t="shared" si="91"/>
        <v>3.4258699088369875E-12</v>
      </c>
      <c r="BG72" s="22">
        <f t="shared" si="61"/>
        <v>6.4094616558195571E-12</v>
      </c>
      <c r="BH72" s="62">
        <f t="shared" si="62"/>
        <v>293.33333333333974</v>
      </c>
      <c r="BI72" s="62">
        <f ca="1">AVERAGE(OFFSET($BH$3,0,0,'Données projet'!$E$11+1,1))-AVERAGE(OFFSET($H$3,0,0,'Données projet'!$E$11+1,1))</f>
        <v>358.417829688045</v>
      </c>
      <c r="BJ72" s="62">
        <f t="shared" si="92"/>
        <v>394.03759949558713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218.62032754043233</v>
      </c>
      <c r="BQ72" s="23">
        <f>EXP(-LN(2)/25)*BQ71+(1-EXP(-LN(2)/25))/(LN(2)/25)*Calculateur!BL72*Calculateur!BN72*VLOOKUP('Données projet'!$B$11,Paramètres!$A$1:$I$88,3,0)*0.475*44/12</f>
        <v>94.613105791945785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313.23343333237813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12.875</v>
      </c>
      <c r="BY72" s="13">
        <f>IF('Données projet'!$A$114&gt;35,BY71+BX72-CG71,IF(A72&lt;'Données projet'!$A$114,$BV$205^A72,IF(A72='Données projet'!$A$114,'Données projet'!$B$114,BY71+BX72-CG71)))</f>
        <v>468.62499999999994</v>
      </c>
      <c r="BZ72" s="14">
        <f>BY72*VLOOKUP('Données projet'!$B$12,Paramètres!$A$1:$I$88,3,0)*VLOOKUP('Données projet'!$B$12,Paramètres!$A$1:$I$88,5,0)</f>
        <v>280.23775000000001</v>
      </c>
      <c r="CA72" s="14">
        <f t="shared" si="93"/>
        <v>67.017249808465152</v>
      </c>
      <c r="CB72" s="22">
        <f t="shared" si="64"/>
        <v>604.80245799974352</v>
      </c>
      <c r="CC72" s="62">
        <f t="shared" si="65"/>
        <v>898.1357913330769</v>
      </c>
      <c r="CD72" s="62">
        <f ca="1">AVERAGE(OFFSET($CC$3,0,0,'Données projet'!$E$12+1,1))-AVERAGE(OFFSET($H$3,0,0,'Données projet'!$E$12+1,1))</f>
        <v>405.42845699663462</v>
      </c>
      <c r="CE72" s="62">
        <f t="shared" si="94"/>
        <v>292.26503163353146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61.968590004187448</v>
      </c>
      <c r="CL72" s="23">
        <f>EXP(-LN(2)/25)*CL71+(1-EXP(-LN(2)/25))/(LN(2)/25)*Calculateur!CG72*Calculateur!CI72*VLOOKUP('Données projet'!$B$12,Paramètres!$A$1:$I$88,3,0)*0.475*44/12</f>
        <v>26.598278268870342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88.566868273057793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5.75</v>
      </c>
      <c r="N73" s="14">
        <f>IF('Données projet'!$A$36&gt;35,N72+M73-V72,IF(A73&lt;'Données projet'!$A$36,$K$205^A73,IF(A73='Données projet'!$A$36,'Données projet'!$B$36,N72+M73-V72)))</f>
        <v>148.5</v>
      </c>
      <c r="O73" s="14">
        <f>N73*VLOOKUP('Données projet'!$B$9,Paramètres!$A$1:$I$88,3,0)*VLOOKUP('Données projet'!$B$9,Paramètres!$A$1:$I$88,5,0)</f>
        <v>134.36279999999999</v>
      </c>
      <c r="P73" s="14">
        <f t="shared" si="87"/>
        <v>35.002529438504695</v>
      </c>
      <c r="Q73" s="22">
        <f t="shared" si="54"/>
        <v>294.97794877206235</v>
      </c>
      <c r="R73" s="62">
        <f t="shared" si="55"/>
        <v>588.31128210539566</v>
      </c>
      <c r="S73" s="62">
        <f ca="1">AVERAGE(OFFSET($R$3,0,0,'Données projet'!$E$9+1,1))-AVERAGE(OFFSET($H$3,0,0,'Données projet'!$E$9+1,1))</f>
        <v>329.02356155998905</v>
      </c>
      <c r="T73" s="62">
        <f t="shared" si="88"/>
        <v>199.43308683696642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17.475410460311789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17.475410460311789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projet'!$B$10,Paramètres!$A$1:$I$88,3,0)*VLOOKUP('Données projet'!$B$10,Paramètres!$A$1:$I$88,5,0)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160.55473404658039</v>
      </c>
      <c r="AO73" s="62">
        <f t="shared" si="90"/>
        <v>188.70262429536223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62.546280535436608</v>
      </c>
      <c r="AV73" s="23">
        <f>EXP(-LN(2)/25)*AV72+(1-EXP(-LN(2)/25))/(LN(2)/25)*Calculateur!AQ73*Calculateur!AS73*VLOOKUP('Données projet'!$B$10,Paramètres!$A$1:$I$88,3,0)*0.475*44/12</f>
        <v>29.868885082904985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92.415165618341589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4.5474735088646412E-13</v>
      </c>
      <c r="BE73" s="14">
        <f>BD73*VLOOKUP('Données projet'!$B$11,Paramètres!$A$1:$I$88,3,0)*VLOOKUP('Données projet'!$B$11,Paramètres!$A$1:$I$88,5,0)</f>
        <v>2.5420376914553347E-13</v>
      </c>
      <c r="BF73" s="14">
        <f t="shared" si="91"/>
        <v>3.4258699088369875E-12</v>
      </c>
      <c r="BG73" s="22">
        <f t="shared" si="61"/>
        <v>6.4094616558195571E-12</v>
      </c>
      <c r="BH73" s="62">
        <f t="shared" si="62"/>
        <v>293.33333333333974</v>
      </c>
      <c r="BI73" s="62">
        <f ca="1">AVERAGE(OFFSET($BH$3,0,0,'Données projet'!$E$11+1,1))-AVERAGE(OFFSET($H$3,0,0,'Données projet'!$E$11+1,1))</f>
        <v>358.417829688045</v>
      </c>
      <c r="BJ73" s="62">
        <f t="shared" si="92"/>
        <v>394.03759949558713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214.33331626259749</v>
      </c>
      <c r="BQ73" s="23">
        <f>EXP(-LN(2)/25)*BQ72+(1-EXP(-LN(2)/25))/(LN(2)/25)*Calculateur!BL73*Calculateur!BN73*VLOOKUP('Données projet'!$B$11,Paramètres!$A$1:$I$88,3,0)*0.475*44/12</f>
        <v>92.025905438578036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306.35922170117556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12.875</v>
      </c>
      <c r="BY73" s="13">
        <f>IF('Données projet'!$A$114&gt;35,BY72+BX73-CG72,IF(A73&lt;'Données projet'!$A$114,$BV$205^A73,IF(A73='Données projet'!$A$114,'Données projet'!$B$114,BY72+BX73-CG72)))</f>
        <v>481.49999999999994</v>
      </c>
      <c r="BZ73" s="14">
        <f>BY73*VLOOKUP('Données projet'!$B$12,Paramètres!$A$1:$I$88,3,0)*VLOOKUP('Données projet'!$B$12,Paramètres!$A$1:$I$88,5,0)</f>
        <v>287.93700000000001</v>
      </c>
      <c r="CA73" s="14">
        <f t="shared" si="93"/>
        <v>68.641586729718156</v>
      </c>
      <c r="CB73" s="22">
        <f t="shared" si="64"/>
        <v>621.04103855425899</v>
      </c>
      <c r="CC73" s="62">
        <f t="shared" si="65"/>
        <v>914.37437188759236</v>
      </c>
      <c r="CD73" s="62">
        <f ca="1">AVERAGE(OFFSET($CC$3,0,0,'Données projet'!$E$12+1,1))-AVERAGE(OFFSET($H$3,0,0,'Données projet'!$E$12+1,1))</f>
        <v>405.42845699663462</v>
      </c>
      <c r="CE73" s="62">
        <f t="shared" si="94"/>
        <v>292.26503163353146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60.753423751313079</v>
      </c>
      <c r="CL73" s="23">
        <f>EXP(-LN(2)/25)*CL72+(1-EXP(-LN(2)/25))/(LN(2)/25)*Calculateur!CG73*Calculateur!CI73*VLOOKUP('Données projet'!$B$12,Paramètres!$A$1:$I$88,3,0)*0.475*44/12</f>
        <v>25.87094695086542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86.624370702178496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5.75</v>
      </c>
      <c r="N74" s="14">
        <f>IF('Données projet'!$A$36&gt;35,N73+M74-V73,IF(A74&lt;'Données projet'!$A$36,$K$205^A74,IF(A74='Données projet'!$A$36,'Données projet'!$B$36,N73+M74-V73)))</f>
        <v>154.25</v>
      </c>
      <c r="O74" s="14">
        <f>N74*VLOOKUP('Données projet'!$B$9,Paramètres!$A$1:$I$88,3,0)*VLOOKUP('Données projet'!$B$9,Paramètres!$A$1:$I$88,5,0)</f>
        <v>139.56539999999998</v>
      </c>
      <c r="P74" s="14">
        <f t="shared" si="87"/>
        <v>36.197426729463054</v>
      </c>
      <c r="Q74" s="22">
        <f t="shared" si="54"/>
        <v>306.12025655381473</v>
      </c>
      <c r="R74" s="62">
        <f t="shared" si="55"/>
        <v>599.45358988714804</v>
      </c>
      <c r="S74" s="62">
        <f ca="1">AVERAGE(OFFSET($R$3,0,0,'Données projet'!$E$9+1,1))-AVERAGE(OFFSET($H$3,0,0,'Données projet'!$E$9+1,1))</f>
        <v>329.02356155998905</v>
      </c>
      <c r="T74" s="62">
        <f t="shared" si="88"/>
        <v>199.43308683696642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17.132728320132973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17.132728320132973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projet'!$B$10,Paramètres!$A$1:$I$88,3,0)*VLOOKUP('Données projet'!$B$10,Paramètres!$A$1:$I$88,5,0)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160.55473404658039</v>
      </c>
      <c r="AO74" s="62">
        <f t="shared" si="90"/>
        <v>188.70262429536223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61.319786123600878</v>
      </c>
      <c r="AV74" s="23">
        <f>EXP(-LN(2)/25)*AV73+(1-EXP(-LN(2)/25))/(LN(2)/25)*Calculateur!AQ74*Calculateur!AS74*VLOOKUP('Données projet'!$B$10,Paramètres!$A$1:$I$88,3,0)*0.475*44/12</f>
        <v>29.052118849576548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90.371904973177422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4.5474735088646412E-13</v>
      </c>
      <c r="BE74" s="14">
        <f>BD74*VLOOKUP('Données projet'!$B$11,Paramètres!$A$1:$I$88,3,0)*VLOOKUP('Données projet'!$B$11,Paramètres!$A$1:$I$88,5,0)</f>
        <v>2.5420376914553347E-13</v>
      </c>
      <c r="BF74" s="14">
        <f t="shared" si="91"/>
        <v>3.4258699088369875E-12</v>
      </c>
      <c r="BG74" s="22">
        <f t="shared" si="61"/>
        <v>6.4094616558195571E-12</v>
      </c>
      <c r="BH74" s="62">
        <f t="shared" si="62"/>
        <v>293.33333333333974</v>
      </c>
      <c r="BI74" s="62">
        <f ca="1">AVERAGE(OFFSET($BH$3,0,0,'Données projet'!$E$11+1,1))-AVERAGE(OFFSET($H$3,0,0,'Données projet'!$E$11+1,1))</f>
        <v>358.417829688045</v>
      </c>
      <c r="BJ74" s="62">
        <f t="shared" si="92"/>
        <v>394.03759949558713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210.13037066110232</v>
      </c>
      <c r="BQ74" s="23">
        <f>EXP(-LN(2)/25)*BQ73+(1-EXP(-LN(2)/25))/(LN(2)/25)*Calculateur!BL74*Calculateur!BN74*VLOOKUP('Données projet'!$B$11,Paramètres!$A$1:$I$88,3,0)*0.475*44/12</f>
        <v>89.509452214928075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299.63982287603039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12.875</v>
      </c>
      <c r="BY74" s="13">
        <f>IF('Données projet'!$A$114&gt;35,BY73+BX74-CG73,IF(A74&lt;'Données projet'!$A$114,$BV$205^A74,IF(A74='Données projet'!$A$114,'Données projet'!$B$114,BY73+BX74-CG73)))</f>
        <v>494.37499999999994</v>
      </c>
      <c r="BZ74" s="14">
        <f>BY74*VLOOKUP('Données projet'!$B$12,Paramètres!$A$1:$I$88,3,0)*VLOOKUP('Données projet'!$B$12,Paramètres!$A$1:$I$88,5,0)</f>
        <v>295.63625000000002</v>
      </c>
      <c r="CA74" s="14">
        <f t="shared" si="93"/>
        <v>70.260875189476423</v>
      </c>
      <c r="CB74" s="22">
        <f t="shared" si="64"/>
        <v>637.27082637167155</v>
      </c>
      <c r="CC74" s="62">
        <f t="shared" si="65"/>
        <v>930.6041597050048</v>
      </c>
      <c r="CD74" s="62">
        <f ca="1">AVERAGE(OFFSET($CC$3,0,0,'Données projet'!$E$12+1,1))-AVERAGE(OFFSET($H$3,0,0,'Données projet'!$E$12+1,1))</f>
        <v>405.42845699663462</v>
      </c>
      <c r="CE74" s="62">
        <f t="shared" si="94"/>
        <v>292.26503163353146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59.56208616747935</v>
      </c>
      <c r="CL74" s="23">
        <f>EXP(-LN(2)/25)*CL73+(1-EXP(-LN(2)/25))/(LN(2)/25)*Calculateur!CG74*Calculateur!CI74*VLOOKUP('Données projet'!$B$12,Paramètres!$A$1:$I$88,3,0)*0.475*44/12</f>
        <v>25.163504546000034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84.725590713479392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160</v>
      </c>
      <c r="L75" s="13">
        <f>VLOOKUP(A75,'Données projet'!$A$35:$I$55,9,0)</f>
        <v>5.75</v>
      </c>
      <c r="M75" s="13">
        <f t="array" ref="M75">INDEX(L:L,MIN(IF(ISNUMBER(L75:L271),ROW(L75:L271),"")))</f>
        <v>5.75</v>
      </c>
      <c r="N75" s="14">
        <f>IF('Données projet'!$A$36&gt;35,N74+M75-V74,IF(A75&lt;'Données projet'!$A$36,$K$205^A75,IF(A75='Données projet'!$A$36,'Données projet'!$B$36,N74+M75-V74)))</f>
        <v>160</v>
      </c>
      <c r="O75" s="14">
        <f>N75*VLOOKUP('Données projet'!$B$9,Paramètres!$A$1:$I$88,3,0)*VLOOKUP('Données projet'!$B$9,Paramètres!$A$1:$I$88,5,0)</f>
        <v>144.768</v>
      </c>
      <c r="P75" s="14">
        <f t="shared" si="87"/>
        <v>37.387149255707826</v>
      </c>
      <c r="Q75" s="22">
        <f t="shared" si="54"/>
        <v>317.25355162035777</v>
      </c>
      <c r="R75" s="62">
        <f t="shared" si="55"/>
        <v>610.58688495369108</v>
      </c>
      <c r="S75" s="62">
        <f ca="1">AVERAGE(OFFSET($R$3,0,0,'Données projet'!$E$9+1,1))-AVERAGE(OFFSET($H$3,0,0,'Données projet'!$E$9+1,1))</f>
        <v>329.02356155998905</v>
      </c>
      <c r="T75" s="62">
        <f t="shared" si="88"/>
        <v>199.43308683696642</v>
      </c>
      <c r="U75" s="16">
        <f>IF(ISNA(VLOOKUP(A75,'Données projet'!$A$35:$I$55,3,0)),0,VLOOKUP(A75,'Données projet'!$A$35:$I$55,3,0))</f>
        <v>5</v>
      </c>
      <c r="V75" s="16">
        <f>IF(ISNA(VLOOKUP(A75,'Données projet'!$A$35:$I$55,4,0)),0,VLOOKUP(A75,'Données projet'!$A$35:$I$55,4,0))</f>
        <v>32</v>
      </c>
      <c r="W75" s="17">
        <f>IF(ISNA(VLOOKUP(A75,'Données projet'!$A$35:$I$55,5,0)),0%,VLOOKUP(A75,'Données projet'!$A$35:$I$55,5,0)*VLOOKUP('Données projet'!$B$9,Paramètres!$A$1:$I$88,7,0))</f>
        <v>0.25800000000000001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25.054661540365665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25.054661540365665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projet'!$B$10,Paramètres!$A$1:$I$88,3,0)*VLOOKUP('Données projet'!$B$10,Paramètres!$A$1:$I$88,5,0)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160.55473404658039</v>
      </c>
      <c r="AO75" s="62">
        <f t="shared" si="90"/>
        <v>188.70262429536223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60.117342519093519</v>
      </c>
      <c r="AV75" s="23">
        <f>EXP(-LN(2)/25)*AV74+(1-EXP(-LN(2)/25))/(LN(2)/25)*Calculateur!AQ75*Calculateur!AS75*VLOOKUP('Données projet'!$B$10,Paramètres!$A$1:$I$88,3,0)*0.475*44/12</f>
        <v>28.257687131850346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88.375029650943873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4.5474735088646412E-13</v>
      </c>
      <c r="BE75" s="14">
        <f>BD75*VLOOKUP('Données projet'!$B$11,Paramètres!$A$1:$I$88,3,0)*VLOOKUP('Données projet'!$B$11,Paramètres!$A$1:$I$88,5,0)</f>
        <v>2.5420376914553347E-13</v>
      </c>
      <c r="BF75" s="14">
        <f t="shared" si="91"/>
        <v>3.4258699088369875E-12</v>
      </c>
      <c r="BG75" s="22">
        <f t="shared" si="61"/>
        <v>6.4094616558195571E-12</v>
      </c>
      <c r="BH75" s="62">
        <f t="shared" si="62"/>
        <v>293.33333333333974</v>
      </c>
      <c r="BI75" s="62">
        <f ca="1">AVERAGE(OFFSET($BH$3,0,0,'Données projet'!$E$11+1,1))-AVERAGE(OFFSET($H$3,0,0,'Données projet'!$E$11+1,1))</f>
        <v>358.417829688045</v>
      </c>
      <c r="BJ75" s="62">
        <f t="shared" si="92"/>
        <v>394.03759949558713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206.00984225930878</v>
      </c>
      <c r="BQ75" s="23">
        <f>EXP(-LN(2)/25)*BQ74+(1-EXP(-LN(2)/25))/(LN(2)/25)*Calculateur!BL75*Calculateur!BN75*VLOOKUP('Données projet'!$B$11,Paramètres!$A$1:$I$88,3,0)*0.475*44/12</f>
        <v>87.061811537013355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293.07165379632215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12.875</v>
      </c>
      <c r="BY75" s="13">
        <f>IF('Données projet'!$A$114&gt;35,BY74+BX75-CG74,IF(A75&lt;'Données projet'!$A$114,$BV$205^A75,IF(A75='Données projet'!$A$114,'Données projet'!$B$114,BY74+BX75-CG74)))</f>
        <v>507.24999999999994</v>
      </c>
      <c r="BZ75" s="14">
        <f>BY75*VLOOKUP('Données projet'!$B$12,Paramètres!$A$1:$I$88,3,0)*VLOOKUP('Données projet'!$B$12,Paramètres!$A$1:$I$88,5,0)</f>
        <v>303.33549999999997</v>
      </c>
      <c r="CA75" s="14">
        <f t="shared" si="93"/>
        <v>71.875261779950591</v>
      </c>
      <c r="CB75" s="22">
        <f t="shared" si="64"/>
        <v>653.49207676674712</v>
      </c>
      <c r="CC75" s="62">
        <f t="shared" si="65"/>
        <v>946.82541010008049</v>
      </c>
      <c r="CD75" s="62">
        <f ca="1">AVERAGE(OFFSET($CC$3,0,0,'Données projet'!$E$12+1,1))-AVERAGE(OFFSET($H$3,0,0,'Données projet'!$E$12+1,1))</f>
        <v>405.42845699663462</v>
      </c>
      <c r="CE75" s="62">
        <f t="shared" si="94"/>
        <v>292.26503163353146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58.394109987020421</v>
      </c>
      <c r="CL75" s="23">
        <f>EXP(-LN(2)/25)*CL74+(1-EXP(-LN(2)/25))/(LN(2)/25)*Calculateur!CG75*Calculateur!CI75*VLOOKUP('Données projet'!$B$12,Paramètres!$A$1:$I$88,3,0)*0.475*44/12</f>
        <v>24.475407190898473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82.869517177918894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</v>
      </c>
      <c r="N76" s="14">
        <f>IF('Données projet'!$A$36&gt;35,N75+M76-V75,IF(A76&lt;'Données projet'!$A$36,$K$205^A76,IF(A76='Données projet'!$A$36,'Données projet'!$B$36,N75+M76-V75)))</f>
        <v>133</v>
      </c>
      <c r="O76" s="14">
        <f>N76*VLOOKUP('Données projet'!$B$9,Paramètres!$A$1:$I$88,3,0)*VLOOKUP('Données projet'!$B$9,Paramètres!$A$1:$I$88,5,0)</f>
        <v>120.33840000000001</v>
      </c>
      <c r="P76" s="14">
        <f t="shared" si="87"/>
        <v>31.753912596847059</v>
      </c>
      <c r="Q76" s="22">
        <f t="shared" si="54"/>
        <v>264.89411110617533</v>
      </c>
      <c r="R76" s="62">
        <f t="shared" si="55"/>
        <v>558.22744443950864</v>
      </c>
      <c r="S76" s="62">
        <f ca="1">AVERAGE(OFFSET($R$3,0,0,'Données projet'!$E$9+1,1))-AVERAGE(OFFSET($H$3,0,0,'Données projet'!$E$9+1,1))</f>
        <v>329.02356155998905</v>
      </c>
      <c r="T76" s="62">
        <f t="shared" si="88"/>
        <v>199.43308683696642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24.563354909393677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24.563354909393677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projet'!$B$10,Paramètres!$A$1:$I$88,3,0)*VLOOKUP('Données projet'!$B$10,Paramètres!$A$1:$I$88,5,0)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160.55473404658039</v>
      </c>
      <c r="AO76" s="62">
        <f t="shared" si="90"/>
        <v>188.70262429536223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58.938478100252375</v>
      </c>
      <c r="AV76" s="23">
        <f>EXP(-LN(2)/25)*AV75+(1-EXP(-LN(2)/25))/(LN(2)/25)*Calculateur!AQ76*Calculateur!AS76*VLOOKUP('Données projet'!$B$10,Paramètres!$A$1:$I$88,3,0)*0.475*44/12</f>
        <v>27.484979191222717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86.423457291475088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4.5474735088646412E-13</v>
      </c>
      <c r="BE76" s="14">
        <f>BD76*VLOOKUP('Données projet'!$B$11,Paramètres!$A$1:$I$88,3,0)*VLOOKUP('Données projet'!$B$11,Paramètres!$A$1:$I$88,5,0)</f>
        <v>2.5420376914553347E-13</v>
      </c>
      <c r="BF76" s="14">
        <f t="shared" si="91"/>
        <v>3.4258699088369875E-12</v>
      </c>
      <c r="BG76" s="22">
        <f t="shared" si="61"/>
        <v>6.4094616558195571E-12</v>
      </c>
      <c r="BH76" s="62">
        <f t="shared" si="62"/>
        <v>293.33333333333974</v>
      </c>
      <c r="BI76" s="62">
        <f ca="1">AVERAGE(OFFSET($BH$3,0,0,'Données projet'!$E$11+1,1))-AVERAGE(OFFSET($H$3,0,0,'Données projet'!$E$11+1,1))</f>
        <v>358.417829688045</v>
      </c>
      <c r="BJ76" s="62">
        <f t="shared" si="92"/>
        <v>394.03759949558713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201.97011490620025</v>
      </c>
      <c r="BQ76" s="23">
        <f>EXP(-LN(2)/25)*BQ75+(1-EXP(-LN(2)/25))/(LN(2)/25)*Calculateur!BL76*Calculateur!BN76*VLOOKUP('Données projet'!$B$11,Paramètres!$A$1:$I$88,3,0)*0.475*44/12</f>
        <v>84.681101722152036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286.6512166283523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12.875</v>
      </c>
      <c r="BY76" s="13">
        <f>IF('Données projet'!$A$114&gt;35,BY75+BX76-CG75,IF(A76&lt;'Données projet'!$A$114,$BV$205^A76,IF(A76='Données projet'!$A$114,'Données projet'!$B$114,BY75+BX76-CG75)))</f>
        <v>520.125</v>
      </c>
      <c r="BZ76" s="14">
        <f>BY76*VLOOKUP('Données projet'!$B$12,Paramètres!$A$1:$I$88,3,0)*VLOOKUP('Données projet'!$B$12,Paramètres!$A$1:$I$88,5,0)</f>
        <v>311.03475000000003</v>
      </c>
      <c r="CA76" s="14">
        <f t="shared" si="93"/>
        <v>73.484885227728896</v>
      </c>
      <c r="CB76" s="22">
        <f t="shared" si="64"/>
        <v>669.70503135496119</v>
      </c>
      <c r="CC76" s="62">
        <f t="shared" si="65"/>
        <v>963.03836468829445</v>
      </c>
      <c r="CD76" s="62">
        <f ca="1">AVERAGE(OFFSET($CC$3,0,0,'Données projet'!$E$12+1,1))-AVERAGE(OFFSET($H$3,0,0,'Données projet'!$E$12+1,1))</f>
        <v>405.42845699663462</v>
      </c>
      <c r="CE76" s="62">
        <f t="shared" si="94"/>
        <v>292.26503163353146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57.24903710706517</v>
      </c>
      <c r="CL76" s="23">
        <f>EXP(-LN(2)/25)*CL75+(1-EXP(-LN(2)/25))/(LN(2)/25)*Calculateur!CG76*Calculateur!CI76*VLOOKUP('Données projet'!$B$12,Paramètres!$A$1:$I$88,3,0)*0.475*44/12</f>
        <v>23.806125894157628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81.055163001222795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</v>
      </c>
      <c r="N77" s="14">
        <f>IF('Données projet'!$A$36&gt;35,N76+M77-V76,IF(A77&lt;'Données projet'!$A$36,$K$205^A77,IF(A77='Données projet'!$A$36,'Données projet'!$B$36,N76+M77-V76)))</f>
        <v>138</v>
      </c>
      <c r="O77" s="14">
        <f>N77*VLOOKUP('Données projet'!$B$9,Paramètres!$A$1:$I$88,3,0)*VLOOKUP('Données projet'!$B$9,Paramètres!$A$1:$I$88,5,0)</f>
        <v>124.86239999999999</v>
      </c>
      <c r="P77" s="14">
        <f t="shared" si="87"/>
        <v>32.806439280561598</v>
      </c>
      <c r="Q77" s="22">
        <f t="shared" si="54"/>
        <v>274.60656174697812</v>
      </c>
      <c r="R77" s="62">
        <f t="shared" si="55"/>
        <v>567.93989508031143</v>
      </c>
      <c r="S77" s="62">
        <f ca="1">AVERAGE(OFFSET($R$3,0,0,'Données projet'!$E$9+1,1))-AVERAGE(OFFSET($H$3,0,0,'Données projet'!$E$9+1,1))</f>
        <v>329.02356155998905</v>
      </c>
      <c r="T77" s="62">
        <f t="shared" si="88"/>
        <v>199.43308683696642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24.081682501787597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24.081682501787597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projet'!$B$10,Paramètres!$A$1:$I$88,3,0)*VLOOKUP('Données projet'!$B$10,Paramètres!$A$1:$I$88,5,0)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160.55473404658039</v>
      </c>
      <c r="AO77" s="62">
        <f t="shared" si="90"/>
        <v>188.70262429536223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57.782730493628407</v>
      </c>
      <c r="AV77" s="23">
        <f>EXP(-LN(2)/25)*AV76+(1-EXP(-LN(2)/25))/(LN(2)/25)*Calculateur!AQ77*Calculateur!AS77*VLOOKUP('Données projet'!$B$10,Paramètres!$A$1:$I$88,3,0)*0.475*44/12</f>
        <v>26.733400989866492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84.516131483494902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4.5474735088646412E-13</v>
      </c>
      <c r="BE77" s="14">
        <f>BD77*VLOOKUP('Données projet'!$B$11,Paramètres!$A$1:$I$88,3,0)*VLOOKUP('Données projet'!$B$11,Paramètres!$A$1:$I$88,5,0)</f>
        <v>2.5420376914553347E-13</v>
      </c>
      <c r="BF77" s="14">
        <f t="shared" si="91"/>
        <v>3.4258699088369875E-12</v>
      </c>
      <c r="BG77" s="22">
        <f t="shared" si="61"/>
        <v>6.4094616558195571E-12</v>
      </c>
      <c r="BH77" s="62">
        <f t="shared" si="62"/>
        <v>293.33333333333974</v>
      </c>
      <c r="BI77" s="62">
        <f ca="1">AVERAGE(OFFSET($BH$3,0,0,'Données projet'!$E$11+1,1))-AVERAGE(OFFSET($H$3,0,0,'Données projet'!$E$11+1,1))</f>
        <v>358.417829688045</v>
      </c>
      <c r="BJ77" s="62">
        <f t="shared" si="92"/>
        <v>394.03759949558713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198.00960414249579</v>
      </c>
      <c r="BQ77" s="23">
        <f>EXP(-LN(2)/25)*BQ76+(1-EXP(-LN(2)/25))/(LN(2)/25)*Calculateur!BL77*Calculateur!BN77*VLOOKUP('Données projet'!$B$11,Paramètres!$A$1:$I$88,3,0)*0.475*44/12</f>
        <v>82.365492542374184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280.37509668486996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533</v>
      </c>
      <c r="BW77" s="13">
        <f>VLOOKUP(A77,'Données projet'!$A$113:$I$133,9,0)</f>
        <v>12.875</v>
      </c>
      <c r="BX77" s="13">
        <f t="array" ref="BX77">INDEX(BW:BW,MIN(IF(ISNUMBER(BW77:BW273),ROW(BW77:BW273),"")))</f>
        <v>12.875</v>
      </c>
      <c r="BY77" s="13">
        <f>IF('Données projet'!$A$114&gt;35,BY76+BX77-CG76,IF(A77&lt;'Données projet'!$A$114,$BV$205^A77,IF(A77='Données projet'!$A$114,'Données projet'!$B$114,BY76+BX77-CG76)))</f>
        <v>533</v>
      </c>
      <c r="BZ77" s="14">
        <f>BY77*VLOOKUP('Données projet'!$B$12,Paramètres!$A$1:$I$88,3,0)*VLOOKUP('Données projet'!$B$12,Paramètres!$A$1:$I$88,5,0)</f>
        <v>318.73400000000004</v>
      </c>
      <c r="CA77" s="14">
        <f t="shared" si="93"/>
        <v>75.089876999925679</v>
      </c>
      <c r="CB77" s="22">
        <f t="shared" si="64"/>
        <v>685.90991910820378</v>
      </c>
      <c r="CC77" s="62">
        <f t="shared" si="65"/>
        <v>979.24325244153715</v>
      </c>
      <c r="CD77" s="62">
        <f ca="1">AVERAGE(OFFSET($CC$3,0,0,'Données projet'!$E$12+1,1))-AVERAGE(OFFSET($H$3,0,0,'Données projet'!$E$12+1,1))</f>
        <v>405.42845699663462</v>
      </c>
      <c r="CE77" s="62">
        <f t="shared" si="94"/>
        <v>292.26503163353146</v>
      </c>
      <c r="CF77" s="16">
        <f>IF(ISNA(VLOOKUP(A77,'Données projet'!$A$113:$I$133,3,0)),0,VLOOKUP(A77,'Données projet'!$A$113:$I$133,3,0))</f>
        <v>10</v>
      </c>
      <c r="CG77" s="16">
        <f>IF(ISNA(VLOOKUP(A77,'Données projet'!$A$113:$I$133,4,0)),0,VLOOKUP(A77,'Données projet'!$A$113:$I$133,4,0))</f>
        <v>37</v>
      </c>
      <c r="CH77" s="17">
        <f>IF(ISNA(VLOOKUP(A77,'Données projet'!$A$113:$I$133,5,0)),0%,VLOOKUP(A77,'Données projet'!$A$113:$I$133,5,0)*VLOOKUP('Données projet'!$B$12,Paramètres!$A$1:$I$88,7,0))</f>
        <v>0.315</v>
      </c>
      <c r="CI77" s="17">
        <f>IF(ISNA(VLOOKUP(A77,'Données projet'!$A$113:$I$133,6,0)),0%,VLOOKUP(A77,'Données projet'!$A$113:$I$133,6,0)*VLOOKUP('Données projet'!$B$12,Paramètres!$A$1:$I$88,7,0))</f>
        <v>0.13500000000000001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65.372161427292752</v>
      </c>
      <c r="CL77" s="23">
        <f>EXP(-LN(2)/25)*CL76+(1-EXP(-LN(2)/25))/(LN(2)/25)*Calculateur!CG77*Calculateur!CI77*VLOOKUP('Données projet'!$B$12,Paramètres!$A$1:$I$88,3,0)*0.475*44/12</f>
        <v>27.102005703783831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92.474167131076584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5</v>
      </c>
      <c r="N78" s="14">
        <f>IF('Données projet'!$A$36&gt;35,N77+M78-V77,IF(A78&lt;'Données projet'!$A$36,$K$205^A78,IF(A78='Données projet'!$A$36,'Données projet'!$B$36,N77+M78-V77)))</f>
        <v>143</v>
      </c>
      <c r="O78" s="14">
        <f>N78*VLOOKUP('Données projet'!$B$9,Paramètres!$A$1:$I$88,3,0)*VLOOKUP('Données projet'!$B$9,Paramètres!$A$1:$I$88,5,0)</f>
        <v>129.38640000000001</v>
      </c>
      <c r="P78" s="14">
        <f t="shared" si="87"/>
        <v>33.854535370613952</v>
      </c>
      <c r="Q78" s="22">
        <f t="shared" si="54"/>
        <v>284.31129577048597</v>
      </c>
      <c r="R78" s="62">
        <f t="shared" si="55"/>
        <v>577.64462910381928</v>
      </c>
      <c r="S78" s="62">
        <f ca="1">AVERAGE(OFFSET($R$3,0,0,'Données projet'!$E$9+1,1))-AVERAGE(OFFSET($H$3,0,0,'Données projet'!$E$9+1,1))</f>
        <v>329.02356155998905</v>
      </c>
      <c r="T78" s="62">
        <f t="shared" si="88"/>
        <v>199.43308683696642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23.609455396303513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23.609455396303513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projet'!$B$10,Paramètres!$A$1:$I$88,3,0)*VLOOKUP('Données projet'!$B$10,Paramètres!$A$1:$I$88,5,0)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160.55473404658039</v>
      </c>
      <c r="AO78" s="62">
        <f t="shared" si="90"/>
        <v>188.70262429536223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56.649646392633898</v>
      </c>
      <c r="AV78" s="23">
        <f>EXP(-LN(2)/25)*AV77+(1-EXP(-LN(2)/25))/(LN(2)/25)*Calculateur!AQ78*Calculateur!AS78*VLOOKUP('Données projet'!$B$10,Paramètres!$A$1:$I$88,3,0)*0.475*44/12</f>
        <v>26.002374733950134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82.652021126584032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4.5474735088646412E-13</v>
      </c>
      <c r="BE78" s="14">
        <f>BD78*VLOOKUP('Données projet'!$B$11,Paramètres!$A$1:$I$88,3,0)*VLOOKUP('Données projet'!$B$11,Paramètres!$A$1:$I$88,5,0)</f>
        <v>2.5420376914553347E-13</v>
      </c>
      <c r="BF78" s="14">
        <f t="shared" si="91"/>
        <v>3.4258699088369875E-12</v>
      </c>
      <c r="BG78" s="22">
        <f t="shared" si="61"/>
        <v>6.4094616558195571E-12</v>
      </c>
      <c r="BH78" s="62">
        <f t="shared" si="62"/>
        <v>293.33333333333974</v>
      </c>
      <c r="BI78" s="62">
        <f ca="1">AVERAGE(OFFSET($BH$3,0,0,'Données projet'!$E$11+1,1))-AVERAGE(OFFSET($H$3,0,0,'Données projet'!$E$11+1,1))</f>
        <v>358.417829688045</v>
      </c>
      <c r="BJ78" s="62">
        <f t="shared" si="92"/>
        <v>394.03759949558713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194.12675657919453</v>
      </c>
      <c r="BQ78" s="23">
        <f>EXP(-LN(2)/25)*BQ77+(1-EXP(-LN(2)/25))/(LN(2)/25)*Calculateur!BL78*Calculateur!BN78*VLOOKUP('Données projet'!$B$11,Paramètres!$A$1:$I$88,3,0)*0.475*44/12</f>
        <v>80.113203817389959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274.23996039658448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8.875</v>
      </c>
      <c r="BY78" s="13">
        <f>IF('Données projet'!$A$114&gt;35,BY77+BX78-CG77,IF(A78&lt;'Données projet'!$A$114,$BV$205^A78,IF(A78='Données projet'!$A$114,'Données projet'!$B$114,BY77+BX78-CG77)))</f>
        <v>504.875</v>
      </c>
      <c r="BZ78" s="14">
        <f>BY78*VLOOKUP('Données projet'!$B$12,Paramètres!$A$1:$I$88,3,0)*VLOOKUP('Données projet'!$B$12,Paramètres!$A$1:$I$88,5,0)</f>
        <v>301.91525000000001</v>
      </c>
      <c r="CA78" s="14">
        <f t="shared" si="93"/>
        <v>71.577824610045951</v>
      </c>
      <c r="CB78" s="22">
        <f t="shared" si="64"/>
        <v>650.50043827916329</v>
      </c>
      <c r="CC78" s="62">
        <f t="shared" si="65"/>
        <v>943.83377161249655</v>
      </c>
      <c r="CD78" s="62">
        <f ca="1">AVERAGE(OFFSET($CC$3,0,0,'Données projet'!$E$12+1,1))-AVERAGE(OFFSET($H$3,0,0,'Données projet'!$E$12+1,1))</f>
        <v>405.42845699663462</v>
      </c>
      <c r="CE78" s="62">
        <f t="shared" si="94"/>
        <v>292.26503163353146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64.090253214784866</v>
      </c>
      <c r="CL78" s="23">
        <f>EXP(-LN(2)/25)*CL77+(1-EXP(-LN(2)/25))/(LN(2)/25)*Calculateur!CG78*Calculateur!CI78*VLOOKUP('Données projet'!$B$12,Paramètres!$A$1:$I$88,3,0)*0.475*44/12</f>
        <v>26.360899932581326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90.451153147366199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</v>
      </c>
      <c r="N79" s="14">
        <f>IF('Données projet'!$A$36&gt;35,N78+M79-V78,IF(A79&lt;'Données projet'!$A$36,$K$205^A79,IF(A79='Données projet'!$A$36,'Données projet'!$B$36,N78+M79-V78)))</f>
        <v>148</v>
      </c>
      <c r="O79" s="14">
        <f>N79*VLOOKUP('Données projet'!$B$9,Paramètres!$A$1:$I$88,3,0)*VLOOKUP('Données projet'!$B$9,Paramètres!$A$1:$I$88,5,0)</f>
        <v>133.91039999999998</v>
      </c>
      <c r="P79" s="14">
        <f t="shared" si="87"/>
        <v>34.898373535125089</v>
      </c>
      <c r="Q79" s="22">
        <f t="shared" si="54"/>
        <v>294.00861390700948</v>
      </c>
      <c r="R79" s="62">
        <f t="shared" si="55"/>
        <v>587.34194724034273</v>
      </c>
      <c r="S79" s="62">
        <f ca="1">AVERAGE(OFFSET($R$3,0,0,'Données projet'!$E$9+1,1))-AVERAGE(OFFSET($H$3,0,0,'Données projet'!$E$9+1,1))</f>
        <v>329.02356155998905</v>
      </c>
      <c r="T79" s="62">
        <f t="shared" si="88"/>
        <v>199.43308683696642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23.146488376327877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23.146488376327877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projet'!$B$10,Paramètres!$A$1:$I$88,3,0)*VLOOKUP('Données projet'!$B$10,Paramètres!$A$1:$I$88,5,0)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160.55473404658039</v>
      </c>
      <c r="AO79" s="62">
        <f t="shared" si="90"/>
        <v>188.70262429536223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55.538781379746837</v>
      </c>
      <c r="AV79" s="23">
        <f>EXP(-LN(2)/25)*AV78+(1-EXP(-LN(2)/25))/(LN(2)/25)*Calculateur!AQ79*Calculateur!AS79*VLOOKUP('Données projet'!$B$10,Paramètres!$A$1:$I$88,3,0)*0.475*44/12</f>
        <v>25.29133842944481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80.830119809191643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4.5474735088646412E-13</v>
      </c>
      <c r="BE79" s="14">
        <f>BD79*VLOOKUP('Données projet'!$B$11,Paramètres!$A$1:$I$88,3,0)*VLOOKUP('Données projet'!$B$11,Paramètres!$A$1:$I$88,5,0)</f>
        <v>2.5420376914553347E-13</v>
      </c>
      <c r="BF79" s="14">
        <f t="shared" si="91"/>
        <v>3.4258699088369875E-12</v>
      </c>
      <c r="BG79" s="22">
        <f t="shared" si="61"/>
        <v>6.4094616558195571E-12</v>
      </c>
      <c r="BH79" s="62">
        <f t="shared" si="62"/>
        <v>293.33333333333974</v>
      </c>
      <c r="BI79" s="62">
        <f ca="1">AVERAGE(OFFSET($BH$3,0,0,'Données projet'!$E$11+1,1))-AVERAGE(OFFSET($H$3,0,0,'Données projet'!$E$11+1,1))</f>
        <v>358.417829688045</v>
      </c>
      <c r="BJ79" s="62">
        <f t="shared" si="92"/>
        <v>394.03759949558713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190.32004928830645</v>
      </c>
      <c r="BQ79" s="23">
        <f>EXP(-LN(2)/25)*BQ78+(1-EXP(-LN(2)/25))/(LN(2)/25)*Calculateur!BL79*Calculateur!BN79*VLOOKUP('Données projet'!$B$11,Paramètres!$A$1:$I$88,3,0)*0.475*44/12</f>
        <v>77.92250404603314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268.24255333433962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8.875</v>
      </c>
      <c r="BY79" s="13">
        <f>IF('Données projet'!$A$114&gt;35,BY78+BX79-CG78,IF(A79&lt;'Données projet'!$A$114,$BV$205^A79,IF(A79='Données projet'!$A$114,'Données projet'!$B$114,BY78+BX79-CG78)))</f>
        <v>513.75</v>
      </c>
      <c r="BZ79" s="14">
        <f>BY79*VLOOKUP('Données projet'!$B$12,Paramètres!$A$1:$I$88,3,0)*VLOOKUP('Données projet'!$B$12,Paramètres!$A$1:$I$88,5,0)</f>
        <v>307.22250000000003</v>
      </c>
      <c r="CA79" s="14">
        <f t="shared" si="93"/>
        <v>72.68847414066191</v>
      </c>
      <c r="CB79" s="22">
        <f t="shared" si="64"/>
        <v>661.67827996165295</v>
      </c>
      <c r="CC79" s="62">
        <f t="shared" si="65"/>
        <v>955.01161329498632</v>
      </c>
      <c r="CD79" s="62">
        <f ca="1">AVERAGE(OFFSET($CC$3,0,0,'Données projet'!$E$12+1,1))-AVERAGE(OFFSET($H$3,0,0,'Données projet'!$E$12+1,1))</f>
        <v>405.42845699663462</v>
      </c>
      <c r="CE79" s="62">
        <f t="shared" si="94"/>
        <v>292.26503163353146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62.833482440437464</v>
      </c>
      <c r="CL79" s="23">
        <f>EXP(-LN(2)/25)*CL78+(1-EXP(-LN(2)/25))/(LN(2)/25)*Calculateur!CG79*Calculateur!CI79*VLOOKUP('Données projet'!$B$12,Paramètres!$A$1:$I$88,3,0)*0.475*44/12</f>
        <v>25.64005973766541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88.473542178102875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</v>
      </c>
      <c r="N80" s="14">
        <f>IF('Données projet'!$A$36&gt;35,N79+M80-V79,IF(A80&lt;'Données projet'!$A$36,$K$205^A80,IF(A80='Données projet'!$A$36,'Données projet'!$B$36,N79+M80-V79)))</f>
        <v>153</v>
      </c>
      <c r="O80" s="14">
        <f>N80*VLOOKUP('Données projet'!$B$9,Paramètres!$A$1:$I$88,3,0)*VLOOKUP('Données projet'!$B$9,Paramètres!$A$1:$I$88,5,0)</f>
        <v>138.43440000000001</v>
      </c>
      <c r="P80" s="14">
        <f t="shared" si="87"/>
        <v>35.938114113553581</v>
      </c>
      <c r="Q80" s="22">
        <f t="shared" si="54"/>
        <v>303.69879541443919</v>
      </c>
      <c r="R80" s="62">
        <f t="shared" si="55"/>
        <v>597.0321287477725</v>
      </c>
      <c r="S80" s="62">
        <f ca="1">AVERAGE(OFFSET($R$3,0,0,'Données projet'!$E$9+1,1))-AVERAGE(OFFSET($H$3,0,0,'Données projet'!$E$9+1,1))</f>
        <v>329.02356155998905</v>
      </c>
      <c r="T80" s="62">
        <f t="shared" si="88"/>
        <v>199.43308683696642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22.692599857231965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22.692599857231965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projet'!$B$10,Paramètres!$A$1:$I$88,3,0)*VLOOKUP('Données projet'!$B$10,Paramètres!$A$1:$I$88,5,0)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160.55473404658039</v>
      </c>
      <c r="AO80" s="62">
        <f t="shared" si="90"/>
        <v>188.70262429536223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54.449699752201731</v>
      </c>
      <c r="AV80" s="23">
        <f>EXP(-LN(2)/25)*AV79+(1-EXP(-LN(2)/25))/(LN(2)/25)*Calculateur!AQ80*Calculateur!AS80*VLOOKUP('Données projet'!$B$10,Paramètres!$A$1:$I$88,3,0)*0.475*44/12</f>
        <v>24.599745450077958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79.049445202279685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4.5474735088646412E-13</v>
      </c>
      <c r="BE80" s="14">
        <f>BD80*VLOOKUP('Données projet'!$B$11,Paramètres!$A$1:$I$88,3,0)*VLOOKUP('Données projet'!$B$11,Paramètres!$A$1:$I$88,5,0)</f>
        <v>2.5420376914553347E-13</v>
      </c>
      <c r="BF80" s="14">
        <f t="shared" si="91"/>
        <v>3.4258699088369875E-12</v>
      </c>
      <c r="BG80" s="22">
        <f t="shared" si="61"/>
        <v>6.4094616558195571E-12</v>
      </c>
      <c r="BH80" s="62">
        <f t="shared" si="62"/>
        <v>293.33333333333974</v>
      </c>
      <c r="BI80" s="62">
        <f ca="1">AVERAGE(OFFSET($BH$3,0,0,'Données projet'!$E$11+1,1))-AVERAGE(OFFSET($H$3,0,0,'Données projet'!$E$11+1,1))</f>
        <v>358.417829688045</v>
      </c>
      <c r="BJ80" s="62">
        <f t="shared" si="92"/>
        <v>394.03759949558713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186.5879892055305</v>
      </c>
      <c r="BQ80" s="23">
        <f>EXP(-LN(2)/25)*BQ79+(1-EXP(-LN(2)/25))/(LN(2)/25)*Calculateur!BL80*Calculateur!BN80*VLOOKUP('Données projet'!$B$11,Paramètres!$A$1:$I$88,3,0)*0.475*44/12</f>
        <v>75.791709075127969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262.37969828065849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8.875</v>
      </c>
      <c r="BY80" s="13">
        <f>IF('Données projet'!$A$114&gt;35,BY79+BX80-CG79,IF(A80&lt;'Données projet'!$A$114,$BV$205^A80,IF(A80='Données projet'!$A$114,'Données projet'!$B$114,BY79+BX80-CG79)))</f>
        <v>522.625</v>
      </c>
      <c r="BZ80" s="14">
        <f>BY80*VLOOKUP('Données projet'!$B$12,Paramètres!$A$1:$I$88,3,0)*VLOOKUP('Données projet'!$B$12,Paramètres!$A$1:$I$88,5,0)</f>
        <v>312.52975000000004</v>
      </c>
      <c r="CA80" s="14">
        <f t="shared" si="93"/>
        <v>73.796892500493684</v>
      </c>
      <c r="CB80" s="22">
        <f t="shared" si="64"/>
        <v>672.85223568835988</v>
      </c>
      <c r="CC80" s="62">
        <f t="shared" si="65"/>
        <v>966.18556902169325</v>
      </c>
      <c r="CD80" s="62">
        <f ca="1">AVERAGE(OFFSET($CC$3,0,0,'Données projet'!$E$12+1,1))-AVERAGE(OFFSET($H$3,0,0,'Données projet'!$E$12+1,1))</f>
        <v>405.42845699663462</v>
      </c>
      <c r="CE80" s="62">
        <f t="shared" si="94"/>
        <v>292.26503163353146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61.60135617442053</v>
      </c>
      <c r="CL80" s="23">
        <f>EXP(-LN(2)/25)*CL79+(1-EXP(-LN(2)/25))/(LN(2)/25)*Calculateur!CG80*Calculateur!CI80*VLOOKUP('Données projet'!$B$12,Paramètres!$A$1:$I$88,3,0)*0.475*44/12</f>
        <v>24.938930955786809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86.540287130207332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</v>
      </c>
      <c r="N81" s="14">
        <f>IF('Données projet'!$A$36&gt;35,N80+M81-V80,IF(A81&lt;'Données projet'!$A$36,$K$205^A81,IF(A81='Données projet'!$A$36,'Données projet'!$B$36,N80+M81-V80)))</f>
        <v>158</v>
      </c>
      <c r="O81" s="14">
        <f>N81*VLOOKUP('Données projet'!$B$9,Paramètres!$A$1:$I$88,3,0)*VLOOKUP('Données projet'!$B$9,Paramètres!$A$1:$I$88,5,0)</f>
        <v>142.95840000000001</v>
      </c>
      <c r="P81" s="14">
        <f t="shared" si="87"/>
        <v>36.973906370811264</v>
      </c>
      <c r="Q81" s="22">
        <f t="shared" si="54"/>
        <v>313.38210026249629</v>
      </c>
      <c r="R81" s="62">
        <f t="shared" si="55"/>
        <v>606.71543359582961</v>
      </c>
      <c r="S81" s="62">
        <f ca="1">AVERAGE(OFFSET($R$3,0,0,'Données projet'!$E$9+1,1))-AVERAGE(OFFSET($H$3,0,0,'Données projet'!$E$9+1,1))</f>
        <v>329.02356155998905</v>
      </c>
      <c r="T81" s="62">
        <f t="shared" si="88"/>
        <v>199.43308683696642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22.247611815150862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22.247611815150862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projet'!$B$10,Paramètres!$A$1:$I$88,3,0)*VLOOKUP('Données projet'!$B$10,Paramètres!$A$1:$I$88,5,0)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160.55473404658039</v>
      </c>
      <c r="AO81" s="62">
        <f t="shared" si="90"/>
        <v>188.70262429536223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53.381974351098584</v>
      </c>
      <c r="AV81" s="23">
        <f>EXP(-LN(2)/25)*AV80+(1-EXP(-LN(2)/25))/(LN(2)/25)*Calculateur!AQ81*Calculateur!AS81*VLOOKUP('Données projet'!$B$10,Paramètres!$A$1:$I$88,3,0)*0.475*44/12</f>
        <v>23.927064117101185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77.309038468199773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4.5474735088646412E-13</v>
      </c>
      <c r="BE81" s="14">
        <f>BD81*VLOOKUP('Données projet'!$B$11,Paramètres!$A$1:$I$88,3,0)*VLOOKUP('Données projet'!$B$11,Paramètres!$A$1:$I$88,5,0)</f>
        <v>2.5420376914553347E-13</v>
      </c>
      <c r="BF81" s="14">
        <f t="shared" si="91"/>
        <v>3.4258699088369875E-12</v>
      </c>
      <c r="BG81" s="22">
        <f t="shared" si="61"/>
        <v>6.4094616558195571E-12</v>
      </c>
      <c r="BH81" s="62">
        <f t="shared" si="62"/>
        <v>293.33333333333974</v>
      </c>
      <c r="BI81" s="62">
        <f ca="1">AVERAGE(OFFSET($BH$3,0,0,'Données projet'!$E$11+1,1))-AVERAGE(OFFSET($H$3,0,0,'Données projet'!$E$11+1,1))</f>
        <v>358.417829688045</v>
      </c>
      <c r="BJ81" s="62">
        <f t="shared" si="92"/>
        <v>394.03759949558713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182.9291125446459</v>
      </c>
      <c r="BQ81" s="23">
        <f>EXP(-LN(2)/25)*BQ80+(1-EXP(-LN(2)/25))/(LN(2)/25)*Calculateur!BL81*Calculateur!BN81*VLOOKUP('Données projet'!$B$11,Paramètres!$A$1:$I$88,3,0)*0.475*44/12</f>
        <v>73.719180804755837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256.64829334940174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8.875</v>
      </c>
      <c r="BY81" s="13">
        <f>IF('Données projet'!$A$114&gt;35,BY80+BX81-CG80,IF(A81&lt;'Données projet'!$A$114,$BV$205^A81,IF(A81='Données projet'!$A$114,'Données projet'!$B$114,BY80+BX81-CG80)))</f>
        <v>531.5</v>
      </c>
      <c r="BZ81" s="14">
        <f>BY81*VLOOKUP('Données projet'!$B$12,Paramètres!$A$1:$I$88,3,0)*VLOOKUP('Données projet'!$B$12,Paramètres!$A$1:$I$88,5,0)</f>
        <v>317.83700000000005</v>
      </c>
      <c r="CA81" s="14">
        <f t="shared" si="93"/>
        <v>74.903121950927684</v>
      </c>
      <c r="CB81" s="22">
        <f t="shared" si="64"/>
        <v>684.0223790645324</v>
      </c>
      <c r="CC81" s="62">
        <f t="shared" si="65"/>
        <v>977.35571239786577</v>
      </c>
      <c r="CD81" s="62">
        <f ca="1">AVERAGE(OFFSET($CC$3,0,0,'Données projet'!$E$12+1,1))-AVERAGE(OFFSET($H$3,0,0,'Données projet'!$E$12+1,1))</f>
        <v>405.42845699663462</v>
      </c>
      <c r="CE81" s="62">
        <f t="shared" si="94"/>
        <v>292.26503163353146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60.393391152957371</v>
      </c>
      <c r="CL81" s="23">
        <f>EXP(-LN(2)/25)*CL80+(1-EXP(-LN(2)/25))/(LN(2)/25)*Calculateur!CG81*Calculateur!CI81*VLOOKUP('Données projet'!$B$12,Paramètres!$A$1:$I$88,3,0)*0.475*44/12</f>
        <v>24.25697457731944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84.650365730276803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</v>
      </c>
      <c r="N82" s="14">
        <f>IF('Données projet'!$A$36&gt;35,N81+M82-V81,IF(A82&lt;'Données projet'!$A$36,$K$205^A82,IF(A82='Données projet'!$A$36,'Données projet'!$B$36,N81+M82-V81)))</f>
        <v>163</v>
      </c>
      <c r="O82" s="14">
        <f>N82*VLOOKUP('Données projet'!$B$9,Paramètres!$A$1:$I$88,3,0)*VLOOKUP('Données projet'!$B$9,Paramètres!$A$1:$I$88,5,0)</f>
        <v>147.48239999999998</v>
      </c>
      <c r="P82" s="14">
        <f t="shared" si="87"/>
        <v>38.005889588171215</v>
      </c>
      <c r="Q82" s="22">
        <f t="shared" si="54"/>
        <v>323.0587710327315</v>
      </c>
      <c r="R82" s="62">
        <f t="shared" si="55"/>
        <v>616.39210436606481</v>
      </c>
      <c r="S82" s="62">
        <f ca="1">AVERAGE(OFFSET($R$3,0,0,'Données projet'!$E$9+1,1))-AVERAGE(OFFSET($H$3,0,0,'Données projet'!$E$9+1,1))</f>
        <v>329.02356155998905</v>
      </c>
      <c r="T82" s="62">
        <f t="shared" si="88"/>
        <v>199.43308683696642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21.811349717159064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21.811349717159064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projet'!$B$10,Paramètres!$A$1:$I$88,3,0)*VLOOKUP('Données projet'!$B$10,Paramètres!$A$1:$I$88,5,0)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160.55473404658039</v>
      </c>
      <c r="AO82" s="62">
        <f t="shared" si="90"/>
        <v>188.70262429536223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52.335186393862884</v>
      </c>
      <c r="AV82" s="23">
        <f>EXP(-LN(2)/25)*AV81+(1-EXP(-LN(2)/25))/(LN(2)/25)*Calculateur!AQ82*Calculateur!AS82*VLOOKUP('Données projet'!$B$10,Paramètres!$A$1:$I$88,3,0)*0.475*44/12</f>
        <v>23.272777290549438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75.607963684412326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4.5474735088646412E-13</v>
      </c>
      <c r="BE82" s="14">
        <f>BD82*VLOOKUP('Données projet'!$B$11,Paramètres!$A$1:$I$88,3,0)*VLOOKUP('Données projet'!$B$11,Paramètres!$A$1:$I$88,5,0)</f>
        <v>2.5420376914553347E-13</v>
      </c>
      <c r="BF82" s="14">
        <f t="shared" si="91"/>
        <v>3.4258699088369875E-12</v>
      </c>
      <c r="BG82" s="22">
        <f t="shared" si="61"/>
        <v>6.4094616558195571E-12</v>
      </c>
      <c r="BH82" s="62">
        <f t="shared" si="62"/>
        <v>293.33333333333974</v>
      </c>
      <c r="BI82" s="62">
        <f ca="1">AVERAGE(OFFSET($BH$3,0,0,'Données projet'!$E$11+1,1))-AVERAGE(OFFSET($H$3,0,0,'Données projet'!$E$11+1,1))</f>
        <v>358.417829688045</v>
      </c>
      <c r="BJ82" s="62">
        <f t="shared" si="92"/>
        <v>394.03759949558713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179.34198422338687</v>
      </c>
      <c r="BQ82" s="23">
        <f>EXP(-LN(2)/25)*BQ81+(1-EXP(-LN(2)/25))/(LN(2)/25)*Calculateur!BL82*Calculateur!BN82*VLOOKUP('Données projet'!$B$11,Paramètres!$A$1:$I$88,3,0)*0.475*44/12</f>
        <v>71.70332592892656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251.04531015231345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8.875</v>
      </c>
      <c r="BY82" s="13">
        <f>IF('Données projet'!$A$114&gt;35,BY81+BX82-CG81,IF(A82&lt;'Données projet'!$A$114,$BV$205^A82,IF(A82='Données projet'!$A$114,'Données projet'!$B$114,BY81+BX82-CG81)))</f>
        <v>540.375</v>
      </c>
      <c r="BZ82" s="14">
        <f>BY82*VLOOKUP('Données projet'!$B$12,Paramètres!$A$1:$I$88,3,0)*VLOOKUP('Données projet'!$B$12,Paramètres!$A$1:$I$88,5,0)</f>
        <v>323.14425000000006</v>
      </c>
      <c r="CA82" s="14">
        <f t="shared" si="93"/>
        <v>76.007203261088534</v>
      </c>
      <c r="CB82" s="22">
        <f t="shared" si="64"/>
        <v>695.18878109639593</v>
      </c>
      <c r="CC82" s="62">
        <f t="shared" si="65"/>
        <v>988.5221144297293</v>
      </c>
      <c r="CD82" s="62">
        <f ca="1">AVERAGE(OFFSET($CC$3,0,0,'Données projet'!$E$12+1,1))-AVERAGE(OFFSET($H$3,0,0,'Données projet'!$E$12+1,1))</f>
        <v>405.42845699663462</v>
      </c>
      <c r="CE82" s="62">
        <f t="shared" si="94"/>
        <v>292.26503163353146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59.209113588779196</v>
      </c>
      <c r="CL82" s="23">
        <f>EXP(-LN(2)/25)*CL81+(1-EXP(-LN(2)/25))/(LN(2)/25)*Calculateur!CG82*Calculateur!CI82*VLOOKUP('Données projet'!$B$12,Paramètres!$A$1:$I$88,3,0)*0.475*44/12</f>
        <v>23.593666331883785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82.802779920662985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</v>
      </c>
      <c r="N83" s="14">
        <f>IF('Données projet'!$A$36&gt;35,N82+M83-V82,IF(A83&lt;'Données projet'!$A$36,$K$205^A83,IF(A83='Données projet'!$A$36,'Données projet'!$B$36,N82+M83-V82)))</f>
        <v>168</v>
      </c>
      <c r="O83" s="14">
        <f>N83*VLOOKUP('Données projet'!$B$9,Paramètres!$A$1:$I$88,3,0)*VLOOKUP('Données projet'!$B$9,Paramètres!$A$1:$I$88,5,0)</f>
        <v>152.00640000000001</v>
      </c>
      <c r="P83" s="14">
        <f t="shared" si="87"/>
        <v>39.03419401656145</v>
      </c>
      <c r="Q83" s="22">
        <f t="shared" si="54"/>
        <v>332.72903457884451</v>
      </c>
      <c r="R83" s="62">
        <f t="shared" si="55"/>
        <v>626.06236791217782</v>
      </c>
      <c r="S83" s="62">
        <f ca="1">AVERAGE(OFFSET($R$3,0,0,'Données projet'!$E$9+1,1))-AVERAGE(OFFSET($H$3,0,0,'Données projet'!$E$9+1,1))</f>
        <v>329.02356155998905</v>
      </c>
      <c r="T83" s="62">
        <f t="shared" si="88"/>
        <v>199.43308683696642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21.38364245281528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21.38364245281528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projet'!$B$10,Paramètres!$A$1:$I$88,3,0)*VLOOKUP('Données projet'!$B$10,Paramètres!$A$1:$I$88,5,0)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160.55473404658039</v>
      </c>
      <c r="AO83" s="62">
        <f t="shared" si="90"/>
        <v>188.70262429536223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51.308925309990968</v>
      </c>
      <c r="AV83" s="23">
        <f>EXP(-LN(2)/25)*AV82+(1-EXP(-LN(2)/25))/(LN(2)/25)*Calculateur!AQ83*Calculateur!AS83*VLOOKUP('Données projet'!$B$10,Paramètres!$A$1:$I$88,3,0)*0.475*44/12</f>
        <v>22.636381971677196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73.945307281668164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4.5474735088646412E-13</v>
      </c>
      <c r="BE83" s="14">
        <f>BD83*VLOOKUP('Données projet'!$B$11,Paramètres!$A$1:$I$88,3,0)*VLOOKUP('Données projet'!$B$11,Paramètres!$A$1:$I$88,5,0)</f>
        <v>2.5420376914553347E-13</v>
      </c>
      <c r="BF83" s="14">
        <f t="shared" si="91"/>
        <v>3.4258699088369875E-12</v>
      </c>
      <c r="BG83" s="22">
        <f t="shared" si="61"/>
        <v>6.4094616558195571E-12</v>
      </c>
      <c r="BH83" s="62">
        <f t="shared" si="62"/>
        <v>293.33333333333974</v>
      </c>
      <c r="BI83" s="62">
        <f ca="1">AVERAGE(OFFSET($BH$3,0,0,'Données projet'!$E$11+1,1))-AVERAGE(OFFSET($H$3,0,0,'Données projet'!$E$11+1,1))</f>
        <v>358.417829688045</v>
      </c>
      <c r="BJ83" s="62">
        <f t="shared" si="92"/>
        <v>394.03759949558713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175.8251973005755</v>
      </c>
      <c r="BQ83" s="23">
        <f>EXP(-LN(2)/25)*BQ82+(1-EXP(-LN(2)/25))/(LN(2)/25)*Calculateur!BL83*Calculateur!BN83*VLOOKUP('Données projet'!$B$11,Paramètres!$A$1:$I$88,3,0)*0.475*44/12</f>
        <v>69.742594710686035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245.56779201126153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8.875</v>
      </c>
      <c r="BY83" s="13">
        <f>IF('Données projet'!$A$114&gt;35,BY82+BX83-CG82,IF(A83&lt;'Données projet'!$A$114,$BV$205^A83,IF(A83='Données projet'!$A$114,'Données projet'!$B$114,BY82+BX83-CG82)))</f>
        <v>549.25</v>
      </c>
      <c r="BZ83" s="14">
        <f>BY83*VLOOKUP('Données projet'!$B$12,Paramètres!$A$1:$I$88,3,0)*VLOOKUP('Données projet'!$B$12,Paramètres!$A$1:$I$88,5,0)</f>
        <v>328.45150000000001</v>
      </c>
      <c r="CA83" s="14">
        <f t="shared" si="93"/>
        <v>77.109175784158708</v>
      </c>
      <c r="CB83" s="22">
        <f t="shared" si="64"/>
        <v>706.35151032407646</v>
      </c>
      <c r="CC83" s="62">
        <f t="shared" si="65"/>
        <v>999.68484365740983</v>
      </c>
      <c r="CD83" s="62">
        <f ca="1">AVERAGE(OFFSET($CC$3,0,0,'Données projet'!$E$12+1,1))-AVERAGE(OFFSET($H$3,0,0,'Données projet'!$E$12+1,1))</f>
        <v>405.42845699663462</v>
      </c>
      <c r="CE83" s="62">
        <f t="shared" si="94"/>
        <v>292.26503163353146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58.048058985296564</v>
      </c>
      <c r="CL83" s="23">
        <f>EXP(-LN(2)/25)*CL82+(1-EXP(-LN(2)/25))/(LN(2)/25)*Calculateur!CG83*Calculateur!CI83*VLOOKUP('Données projet'!$B$12,Paramètres!$A$1:$I$88,3,0)*0.475*44/12</f>
        <v>22.948496285301434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80.996555270597995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>
        <f>VLOOKUP(A84,'Données projet'!$A$35:$I$55,2,0)</f>
        <v>173</v>
      </c>
      <c r="L84" s="13">
        <f>VLOOKUP(A84,'Données projet'!$A$35:$I$55,9,0)</f>
        <v>5</v>
      </c>
      <c r="M84" s="13">
        <f t="array" ref="M84">INDEX(L:L,MIN(IF(ISNUMBER(L84:L280),ROW(L84:L280),"")))</f>
        <v>5</v>
      </c>
      <c r="N84" s="14">
        <f>IF('Données projet'!$A$36&gt;35,N83+M84-V83,IF(A84&lt;'Données projet'!$A$36,$K$205^A84,IF(A84='Données projet'!$A$36,'Données projet'!$B$36,N83+M84-V83)))</f>
        <v>173</v>
      </c>
      <c r="O84" s="14">
        <f>N84*VLOOKUP('Données projet'!$B$9,Paramètres!$A$1:$I$88,3,0)*VLOOKUP('Données projet'!$B$9,Paramètres!$A$1:$I$88,5,0)</f>
        <v>156.53039999999999</v>
      </c>
      <c r="P84" s="14">
        <f t="shared" si="87"/>
        <v>40.058941713182037</v>
      </c>
      <c r="Q84" s="22">
        <f t="shared" si="54"/>
        <v>342.393103483792</v>
      </c>
      <c r="R84" s="62">
        <f t="shared" si="55"/>
        <v>635.72643681712532</v>
      </c>
      <c r="S84" s="62">
        <f ca="1">AVERAGE(OFFSET($R$3,0,0,'Données projet'!$E$9+1,1))-AVERAGE(OFFSET($H$3,0,0,'Données projet'!$E$9+1,1))</f>
        <v>329.02356155998905</v>
      </c>
      <c r="T84" s="62">
        <f t="shared" si="88"/>
        <v>199.43308683696642</v>
      </c>
      <c r="U84" s="16">
        <f>IF(ISNA(VLOOKUP(A84,'Données projet'!$A$35:$I$55,3,0)),0,VLOOKUP(A84,'Données projet'!$A$35:$I$55,3,0))</f>
        <v>6</v>
      </c>
      <c r="V84" s="16">
        <f>IF(ISNA(VLOOKUP(A84,'Données projet'!$A$35:$I$55,4,0)),0,VLOOKUP(A84,'Données projet'!$A$35:$I$55,4,0))</f>
        <v>32</v>
      </c>
      <c r="W84" s="17">
        <f>IF(ISNA(VLOOKUP(A84,'Données projet'!$A$35:$I$55,5,0)),0%,VLOOKUP(A84,'Données projet'!$A$35:$I$55,5,0)*VLOOKUP('Données projet'!$B$9,Paramètres!$A$1:$I$88,7,0))</f>
        <v>0.25800000000000001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29.222217839707675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29.222217839707675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projet'!$B$10,Paramètres!$A$1:$I$88,3,0)*VLOOKUP('Données projet'!$B$10,Paramètres!$A$1:$I$88,5,0)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160.55473404658039</v>
      </c>
      <c r="AO84" s="62">
        <f t="shared" si="90"/>
        <v>188.70262429536223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50.302788580016326</v>
      </c>
      <c r="AV84" s="23">
        <f>EXP(-LN(2)/25)*AV83+(1-EXP(-LN(2)/25))/(LN(2)/25)*Calculateur!AQ84*Calculateur!AS84*VLOOKUP('Données projet'!$B$10,Paramètres!$A$1:$I$88,3,0)*0.475*44/12</f>
        <v>22.017388916266093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72.320177496282412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4.5474735088646412E-13</v>
      </c>
      <c r="BE84" s="14">
        <f>BD84*VLOOKUP('Données projet'!$B$11,Paramètres!$A$1:$I$88,3,0)*VLOOKUP('Données projet'!$B$11,Paramètres!$A$1:$I$88,5,0)</f>
        <v>2.5420376914553347E-13</v>
      </c>
      <c r="BF84" s="14">
        <f t="shared" si="91"/>
        <v>3.4258699088369875E-12</v>
      </c>
      <c r="BG84" s="22">
        <f t="shared" si="61"/>
        <v>6.4094616558195571E-12</v>
      </c>
      <c r="BH84" s="62">
        <f t="shared" si="62"/>
        <v>293.33333333333974</v>
      </c>
      <c r="BI84" s="62">
        <f ca="1">AVERAGE(OFFSET($BH$3,0,0,'Données projet'!$E$11+1,1))-AVERAGE(OFFSET($H$3,0,0,'Données projet'!$E$11+1,1))</f>
        <v>358.417829688045</v>
      </c>
      <c r="BJ84" s="62">
        <f t="shared" si="92"/>
        <v>394.03759949558713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172.37737242429222</v>
      </c>
      <c r="BQ84" s="23">
        <f>EXP(-LN(2)/25)*BQ83+(1-EXP(-LN(2)/25))/(LN(2)/25)*Calculateur!BL84*Calculateur!BN84*VLOOKUP('Données projet'!$B$11,Paramètres!$A$1:$I$88,3,0)*0.475*44/12</f>
        <v>67.835479790718665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240.21285221501088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8.875</v>
      </c>
      <c r="BY84" s="13">
        <f>IF('Données projet'!$A$114&gt;35,BY83+BX84-CG83,IF(A84&lt;'Données projet'!$A$114,$BV$205^A84,IF(A84='Données projet'!$A$114,'Données projet'!$B$114,BY83+BX84-CG83)))</f>
        <v>558.125</v>
      </c>
      <c r="BZ84" s="14">
        <f>BY84*VLOOKUP('Données projet'!$B$12,Paramètres!$A$1:$I$88,3,0)*VLOOKUP('Données projet'!$B$12,Paramètres!$A$1:$I$88,5,0)</f>
        <v>333.75875000000002</v>
      </c>
      <c r="CA84" s="14">
        <f t="shared" si="93"/>
        <v>78.209077528625059</v>
      </c>
      <c r="CB84" s="22">
        <f t="shared" si="64"/>
        <v>717.5106329456886</v>
      </c>
      <c r="CC84" s="62">
        <f t="shared" si="65"/>
        <v>1010.843966279022</v>
      </c>
      <c r="CD84" s="62">
        <f ca="1">AVERAGE(OFFSET($CC$3,0,0,'Données projet'!$E$12+1,1))-AVERAGE(OFFSET($H$3,0,0,'Données projet'!$E$12+1,1))</f>
        <v>405.42845699663462</v>
      </c>
      <c r="CE84" s="62">
        <f t="shared" si="94"/>
        <v>292.26503163353146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56.909771954414843</v>
      </c>
      <c r="CL84" s="23">
        <f>EXP(-LN(2)/25)*CL83+(1-EXP(-LN(2)/25))/(LN(2)/25)*Calculateur!CG84*Calculateur!CI84*VLOOKUP('Données projet'!$B$12,Paramètres!$A$1:$I$88,3,0)*0.475*44/12</f>
        <v>22.320968447570898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79.230740401985742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4.7777777777777777</v>
      </c>
      <c r="N85" s="14">
        <f>IF('Données projet'!$A$36&gt;35,N84+M85-V84,IF(A85&lt;'Données projet'!$A$36,$K$205^A85,IF(A85='Données projet'!$A$36,'Données projet'!$B$36,N84+M85-V84)))</f>
        <v>145.77777777777777</v>
      </c>
      <c r="O85" s="14">
        <f>N85*VLOOKUP('Données projet'!$B$9,Paramètres!$A$1:$I$88,3,0)*VLOOKUP('Données projet'!$B$9,Paramètres!$A$1:$I$88,5,0)</f>
        <v>131.89973333333333</v>
      </c>
      <c r="P85" s="14">
        <f t="shared" si="87"/>
        <v>34.434960598433953</v>
      </c>
      <c r="Q85" s="22">
        <f t="shared" si="54"/>
        <v>289.69959193116131</v>
      </c>
      <c r="R85" s="62">
        <f t="shared" si="55"/>
        <v>583.03292526449468</v>
      </c>
      <c r="S85" s="62">
        <f ca="1">AVERAGE(OFFSET($R$3,0,0,'Données projet'!$E$9+1,1))-AVERAGE(OFFSET($H$3,0,0,'Données projet'!$E$9+1,1))</f>
        <v>329.02356155998905</v>
      </c>
      <c r="T85" s="62">
        <f t="shared" si="88"/>
        <v>199.43308683696642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28.649187971663935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28.649187971663935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projet'!$B$10,Paramètres!$A$1:$I$88,3,0)*VLOOKUP('Données projet'!$B$10,Paramètres!$A$1:$I$88,5,0)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160.55473404658039</v>
      </c>
      <c r="AO85" s="62">
        <f t="shared" si="90"/>
        <v>188.70262429536223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49.316381577633678</v>
      </c>
      <c r="AV85" s="23">
        <f>EXP(-LN(2)/25)*AV84+(1-EXP(-LN(2)/25))/(LN(2)/25)*Calculateur!AQ85*Calculateur!AS85*VLOOKUP('Données projet'!$B$10,Paramètres!$A$1:$I$88,3,0)*0.475*44/12</f>
        <v>21.415322258506635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70.731703836140312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4.5474735088646412E-13</v>
      </c>
      <c r="BE85" s="14">
        <f>BD85*VLOOKUP('Données projet'!$B$11,Paramètres!$A$1:$I$88,3,0)*VLOOKUP('Données projet'!$B$11,Paramètres!$A$1:$I$88,5,0)</f>
        <v>2.5420376914553347E-13</v>
      </c>
      <c r="BF85" s="14">
        <f t="shared" si="91"/>
        <v>3.4258699088369875E-12</v>
      </c>
      <c r="BG85" s="22">
        <f t="shared" si="61"/>
        <v>6.4094616558195571E-12</v>
      </c>
      <c r="BH85" s="62">
        <f t="shared" si="62"/>
        <v>293.33333333333974</v>
      </c>
      <c r="BI85" s="62">
        <f ca="1">AVERAGE(OFFSET($BH$3,0,0,'Données projet'!$E$11+1,1))-AVERAGE(OFFSET($H$3,0,0,'Données projet'!$E$11+1,1))</f>
        <v>358.417829688045</v>
      </c>
      <c r="BJ85" s="62">
        <f t="shared" si="92"/>
        <v>394.03759949558713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168.99715729086734</v>
      </c>
      <c r="BQ85" s="23">
        <f>EXP(-LN(2)/25)*BQ84+(1-EXP(-LN(2)/25))/(LN(2)/25)*Calculateur!BL85*Calculateur!BN85*VLOOKUP('Données projet'!$B$11,Paramètres!$A$1:$I$88,3,0)*0.475*44/12</f>
        <v>65.980515028528615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234.97767231939594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>
        <f>VLOOKUP(A85,'Données projet'!$A$113:$I$133,2,0)</f>
        <v>567</v>
      </c>
      <c r="BW85" s="13">
        <f>VLOOKUP(A85,'Données projet'!$A$113:$I$133,9,0)</f>
        <v>8.875</v>
      </c>
      <c r="BX85" s="13">
        <f t="array" ref="BX85">INDEX(BW:BW,MIN(IF(ISNUMBER(BW85:BW281),ROW(BW85:BW281),"")))</f>
        <v>8.875</v>
      </c>
      <c r="BY85" s="13">
        <f>IF('Données projet'!$A$114&gt;35,BY84+BX85-CG84,IF(A85&lt;'Données projet'!$A$114,$BV$205^A85,IF(A85='Données projet'!$A$114,'Données projet'!$B$114,BY84+BX85-CG84)))</f>
        <v>567</v>
      </c>
      <c r="BZ85" s="14">
        <f>BY85*VLOOKUP('Données projet'!$B$12,Paramètres!$A$1:$I$88,3,0)*VLOOKUP('Données projet'!$B$12,Paramètres!$A$1:$I$88,5,0)</f>
        <v>339.06600000000003</v>
      </c>
      <c r="CA85" s="14">
        <f t="shared" si="93"/>
        <v>79.30694522486489</v>
      </c>
      <c r="CB85" s="22">
        <f t="shared" si="64"/>
        <v>728.66621293330627</v>
      </c>
      <c r="CC85" s="62">
        <f t="shared" si="65"/>
        <v>1021.9995462666395</v>
      </c>
      <c r="CD85" s="62">
        <f ca="1">AVERAGE(OFFSET($CC$3,0,0,'Données projet'!$E$12+1,1))-AVERAGE(OFFSET($H$3,0,0,'Données projet'!$E$12+1,1))</f>
        <v>405.42845699663462</v>
      </c>
      <c r="CE85" s="62">
        <f t="shared" si="94"/>
        <v>292.26503163353146</v>
      </c>
      <c r="CF85" s="16">
        <f>IF(ISNA(VLOOKUP(A85,'Données projet'!$A$113:$I$133,3,0)),0,VLOOKUP(A85,'Données projet'!$A$113:$I$133,3,0))</f>
        <v>11</v>
      </c>
      <c r="CG85" s="16">
        <f>IF(ISNA(VLOOKUP(A85,'Données projet'!$A$113:$I$133,4,0)),0,VLOOKUP(A85,'Données projet'!$A$113:$I$133,4,0))</f>
        <v>26</v>
      </c>
      <c r="CH85" s="17">
        <f>IF(ISNA(VLOOKUP(A85,'Données projet'!$A$113:$I$133,5,0)),0%,VLOOKUP(A85,'Données projet'!$A$113:$I$133,5,0)*VLOOKUP('Données projet'!$B$12,Paramètres!$A$1:$I$88,7,0))</f>
        <v>0.315</v>
      </c>
      <c r="CI85" s="17">
        <f>IF(ISNA(VLOOKUP(A85,'Données projet'!$A$113:$I$133,6,0)),0%,VLOOKUP(A85,'Données projet'!$A$113:$I$133,6,0)*VLOOKUP('Données projet'!$B$12,Paramètres!$A$1:$I$88,7,0))</f>
        <v>0.13500000000000001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62.290814646171981</v>
      </c>
      <c r="CL85" s="23">
        <f>EXP(-LN(2)/25)*CL84+(1-EXP(-LN(2)/25))/(LN(2)/25)*Calculateur!CG85*Calculateur!CI85*VLOOKUP('Données projet'!$B$12,Paramètres!$A$1:$I$88,3,0)*0.475*44/12</f>
        <v>24.484069281479684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86.774883927651672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4.7777777777777777</v>
      </c>
      <c r="N86" s="14">
        <f>IF('Données projet'!$A$36&gt;35,N85+M86-V85,IF(A86&lt;'Données projet'!$A$36,$K$205^A86,IF(A86='Données projet'!$A$36,'Données projet'!$B$36,N85+M86-V85)))</f>
        <v>150.55555555555554</v>
      </c>
      <c r="O86" s="14">
        <f>N86*VLOOKUP('Données projet'!$B$9,Paramètres!$A$1:$I$88,3,0)*VLOOKUP('Données projet'!$B$9,Paramètres!$A$1:$I$88,5,0)</f>
        <v>136.22266666666664</v>
      </c>
      <c r="P86" s="14">
        <f t="shared" si="87"/>
        <v>35.430298803380701</v>
      </c>
      <c r="Q86" s="22">
        <f t="shared" si="54"/>
        <v>298.9622481936658</v>
      </c>
      <c r="R86" s="62">
        <f t="shared" si="55"/>
        <v>592.29558152699906</v>
      </c>
      <c r="S86" s="62">
        <f ca="1">AVERAGE(OFFSET($R$3,0,0,'Données projet'!$E$9+1,1))-AVERAGE(OFFSET($H$3,0,0,'Données projet'!$E$9+1,1))</f>
        <v>329.02356155998905</v>
      </c>
      <c r="T86" s="62">
        <f t="shared" si="88"/>
        <v>199.43308683696642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28.087394869818826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28.087394869818826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projet'!$B$10,Paramètres!$A$1:$I$88,3,0)*VLOOKUP('Données projet'!$B$10,Paramètres!$A$1:$I$88,5,0)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160.55473404658039</v>
      </c>
      <c r="AO86" s="62">
        <f t="shared" si="90"/>
        <v>188.70262429536223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48.349317414918886</v>
      </c>
      <c r="AV86" s="23">
        <f>EXP(-LN(2)/25)*AV85+(1-EXP(-LN(2)/25))/(LN(2)/25)*Calculateur!AQ86*Calculateur!AS86*VLOOKUP('Données projet'!$B$10,Paramètres!$A$1:$I$88,3,0)*0.475*44/12</f>
        <v>20.829719145164919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69.179036560083802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4.5474735088646412E-13</v>
      </c>
      <c r="BE86" s="14">
        <f>BD86*VLOOKUP('Données projet'!$B$11,Paramètres!$A$1:$I$88,3,0)*VLOOKUP('Données projet'!$B$11,Paramètres!$A$1:$I$88,5,0)</f>
        <v>2.5420376914553347E-13</v>
      </c>
      <c r="BF86" s="14">
        <f t="shared" si="91"/>
        <v>3.4258699088369875E-12</v>
      </c>
      <c r="BG86" s="22">
        <f t="shared" si="61"/>
        <v>6.4094616558195571E-12</v>
      </c>
      <c r="BH86" s="62">
        <f t="shared" si="62"/>
        <v>293.33333333333974</v>
      </c>
      <c r="BI86" s="62">
        <f ca="1">AVERAGE(OFFSET($BH$3,0,0,'Données projet'!$E$11+1,1))-AVERAGE(OFFSET($H$3,0,0,'Données projet'!$E$11+1,1))</f>
        <v>358.417829688045</v>
      </c>
      <c r="BJ86" s="62">
        <f t="shared" si="92"/>
        <v>394.03759949558713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165.68322611448127</v>
      </c>
      <c r="BQ86" s="23">
        <f>EXP(-LN(2)/25)*BQ85+(1-EXP(-LN(2)/25))/(LN(2)/25)*Calculateur!BL86*Calculateur!BN86*VLOOKUP('Données projet'!$B$11,Paramètres!$A$1:$I$88,3,0)*0.475*44/12</f>
        <v>64.176274375309021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229.85950048979029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6.9000000000000057</v>
      </c>
      <c r="BY86" s="13">
        <f>IF('Données projet'!$A$114&gt;35,BY85+BX86-CG85,IF(A86&lt;'Données projet'!$A$114,$BV$205^A86,IF(A86='Données projet'!$A$114,'Données projet'!$B$114,BY85+BX86-CG85)))</f>
        <v>547.9</v>
      </c>
      <c r="BZ86" s="14">
        <f>BY86*VLOOKUP('Données projet'!$B$12,Paramètres!$A$1:$I$88,3,0)*VLOOKUP('Données projet'!$B$12,Paramètres!$A$1:$I$88,5,0)</f>
        <v>327.64420000000001</v>
      </c>
      <c r="CA86" s="14">
        <f t="shared" si="93"/>
        <v>76.941686259817288</v>
      </c>
      <c r="CB86" s="22">
        <f t="shared" si="64"/>
        <v>704.65375190251507</v>
      </c>
      <c r="CC86" s="62">
        <f t="shared" si="65"/>
        <v>997.98708523584833</v>
      </c>
      <c r="CD86" s="62">
        <f ca="1">AVERAGE(OFFSET($CC$3,0,0,'Données projet'!$E$12+1,1))-AVERAGE(OFFSET($H$3,0,0,'Données projet'!$E$12+1,1))</f>
        <v>405.42845699663462</v>
      </c>
      <c r="CE86" s="62">
        <f t="shared" si="94"/>
        <v>292.26503163353146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61.069329764605925</v>
      </c>
      <c r="CL86" s="23">
        <f>EXP(-LN(2)/25)*CL85+(1-EXP(-LN(2)/25))/(LN(2)/25)*Calculateur!CG86*Calculateur!CI86*VLOOKUP('Données projet'!$B$12,Paramètres!$A$1:$I$88,3,0)*0.475*44/12</f>
        <v>23.814551119416379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84.883880884022304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4.7777777777777777</v>
      </c>
      <c r="N87" s="14">
        <f>IF('Données projet'!$A$36&gt;35,N86+M87-V86,IF(A87&lt;'Données projet'!$A$36,$K$205^A87,IF(A87='Données projet'!$A$36,'Données projet'!$B$36,N86+M87-V86)))</f>
        <v>155.33333333333331</v>
      </c>
      <c r="O87" s="14">
        <f>N87*VLOOKUP('Données projet'!$B$9,Paramètres!$A$1:$I$88,3,0)*VLOOKUP('Données projet'!$B$9,Paramètres!$A$1:$I$88,5,0)</f>
        <v>140.54559999999998</v>
      </c>
      <c r="P87" s="14">
        <f t="shared" si="87"/>
        <v>36.421966485183141</v>
      </c>
      <c r="Q87" s="22">
        <f t="shared" si="54"/>
        <v>308.2185116283606</v>
      </c>
      <c r="R87" s="62">
        <f t="shared" si="55"/>
        <v>601.55184496169386</v>
      </c>
      <c r="S87" s="62">
        <f ca="1">AVERAGE(OFFSET($R$3,0,0,'Données projet'!$E$9+1,1))-AVERAGE(OFFSET($H$3,0,0,'Données projet'!$E$9+1,1))</f>
        <v>329.02356155998905</v>
      </c>
      <c r="T87" s="62">
        <f t="shared" si="88"/>
        <v>199.43308683696642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27.536618188040944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27.536618188040944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projet'!$B$10,Paramètres!$A$1:$I$88,3,0)*VLOOKUP('Données projet'!$B$10,Paramètres!$A$1:$I$88,5,0)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160.55473404658039</v>
      </c>
      <c r="AO87" s="62">
        <f t="shared" si="90"/>
        <v>188.70262429536223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47.401216790584037</v>
      </c>
      <c r="AV87" s="23">
        <f>EXP(-LN(2)/25)*AV86+(1-EXP(-LN(2)/25))/(LN(2)/25)*Calculateur!AQ87*Calculateur!AS87*VLOOKUP('Données projet'!$B$10,Paramètres!$A$1:$I$88,3,0)*0.475*44/12</f>
        <v>20.26012937975306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67.661346170337097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4.5474735088646412E-13</v>
      </c>
      <c r="BE87" s="14">
        <f>BD87*VLOOKUP('Données projet'!$B$11,Paramètres!$A$1:$I$88,3,0)*VLOOKUP('Données projet'!$B$11,Paramètres!$A$1:$I$88,5,0)</f>
        <v>2.5420376914553347E-13</v>
      </c>
      <c r="BF87" s="14">
        <f t="shared" si="91"/>
        <v>3.4258699088369875E-12</v>
      </c>
      <c r="BG87" s="22">
        <f t="shared" si="61"/>
        <v>6.4094616558195571E-12</v>
      </c>
      <c r="BH87" s="62">
        <f t="shared" si="62"/>
        <v>293.33333333333974</v>
      </c>
      <c r="BI87" s="62">
        <f ca="1">AVERAGE(OFFSET($BH$3,0,0,'Données projet'!$E$11+1,1))-AVERAGE(OFFSET($H$3,0,0,'Données projet'!$E$11+1,1))</f>
        <v>358.417829688045</v>
      </c>
      <c r="BJ87" s="62">
        <f t="shared" si="92"/>
        <v>394.03759949558713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162.43427910716571</v>
      </c>
      <c r="BQ87" s="23">
        <f>EXP(-LN(2)/25)*BQ86+(1-EXP(-LN(2)/25))/(LN(2)/25)*Calculateur!BL87*Calculateur!BN87*VLOOKUP('Données projet'!$B$11,Paramètres!$A$1:$I$88,3,0)*0.475*44/12</f>
        <v>62.421370777632603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224.85564988479831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6.9000000000000057</v>
      </c>
      <c r="BY87" s="13">
        <f>IF('Données projet'!$A$114&gt;35,BY86+BX87-CG86,IF(A87&lt;'Données projet'!$A$114,$BV$205^A87,IF(A87='Données projet'!$A$114,'Données projet'!$B$114,BY86+BX87-CG86)))</f>
        <v>554.79999999999995</v>
      </c>
      <c r="BZ87" s="14">
        <f>BY87*VLOOKUP('Données projet'!$B$12,Paramètres!$A$1:$I$88,3,0)*VLOOKUP('Données projet'!$B$12,Paramètres!$A$1:$I$88,5,0)</f>
        <v>331.7704</v>
      </c>
      <c r="CA87" s="14">
        <f t="shared" si="93"/>
        <v>77.797241883601728</v>
      </c>
      <c r="CB87" s="22">
        <f t="shared" si="64"/>
        <v>713.33030961393968</v>
      </c>
      <c r="CC87" s="62">
        <f t="shared" si="65"/>
        <v>1006.663642947273</v>
      </c>
      <c r="CD87" s="62">
        <f ca="1">AVERAGE(OFFSET($CC$3,0,0,'Données projet'!$E$12+1,1))-AVERAGE(OFFSET($H$3,0,0,'Données projet'!$E$12+1,1))</f>
        <v>405.42845699663462</v>
      </c>
      <c r="CE87" s="62">
        <f t="shared" si="94"/>
        <v>292.26503163353146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59.871797456535162</v>
      </c>
      <c r="CL87" s="23">
        <f>EXP(-LN(2)/25)*CL86+(1-EXP(-LN(2)/25))/(LN(2)/25)*Calculateur!CG87*Calculateur!CI87*VLOOKUP('Données projet'!$B$12,Paramètres!$A$1:$I$88,3,0)*0.475*44/12</f>
        <v>23.163340966703124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83.035138423238294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4.7777777777777777</v>
      </c>
      <c r="N88" s="14">
        <f>IF('Données projet'!$A$36&gt;35,N87+M88-V87,IF(A88&lt;'Données projet'!$A$36,$K$205^A88,IF(A88='Données projet'!$A$36,'Données projet'!$B$36,N87+M88-V87)))</f>
        <v>160.11111111111109</v>
      </c>
      <c r="O88" s="14">
        <f>N88*VLOOKUP('Données projet'!$B$9,Paramètres!$A$1:$I$88,3,0)*VLOOKUP('Données projet'!$B$9,Paramètres!$A$1:$I$88,5,0)</f>
        <v>144.86853333333332</v>
      </c>
      <c r="P88" s="14">
        <f t="shared" si="87"/>
        <v>37.410089498937786</v>
      </c>
      <c r="Q88" s="22">
        <f t="shared" si="54"/>
        <v>317.46860143287216</v>
      </c>
      <c r="R88" s="62">
        <f t="shared" si="55"/>
        <v>610.80193476620548</v>
      </c>
      <c r="S88" s="62">
        <f ca="1">AVERAGE(OFFSET($R$3,0,0,'Données projet'!$E$9+1,1))-AVERAGE(OFFSET($H$3,0,0,'Données projet'!$E$9+1,1))</f>
        <v>329.02356155998905</v>
      </c>
      <c r="T88" s="62">
        <f t="shared" si="88"/>
        <v>199.43308683696642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26.996641901052119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26.996641901052119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projet'!$B$10,Paramètres!$A$1:$I$88,3,0)*VLOOKUP('Données projet'!$B$10,Paramètres!$A$1:$I$88,5,0)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160.55473404658039</v>
      </c>
      <c r="AO88" s="62">
        <f t="shared" si="90"/>
        <v>188.70262429536223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46.471707841208115</v>
      </c>
      <c r="AV88" s="23">
        <f>EXP(-LN(2)/25)*AV87+(1-EXP(-LN(2)/25))/(LN(2)/25)*Calculateur!AQ88*Calculateur!AS88*VLOOKUP('Données projet'!$B$10,Paramètres!$A$1:$I$88,3,0)*0.475*44/12</f>
        <v>19.706115076429814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66.177822917637926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4.5474735088646412E-13</v>
      </c>
      <c r="BE88" s="14">
        <f>BD88*VLOOKUP('Données projet'!$B$11,Paramètres!$A$1:$I$88,3,0)*VLOOKUP('Données projet'!$B$11,Paramètres!$A$1:$I$88,5,0)</f>
        <v>2.5420376914553347E-13</v>
      </c>
      <c r="BF88" s="14">
        <f t="shared" si="91"/>
        <v>3.4258699088369875E-12</v>
      </c>
      <c r="BG88" s="22">
        <f t="shared" si="61"/>
        <v>6.4094616558195571E-12</v>
      </c>
      <c r="BH88" s="62">
        <f t="shared" si="62"/>
        <v>293.33333333333974</v>
      </c>
      <c r="BI88" s="62">
        <f ca="1">AVERAGE(OFFSET($BH$3,0,0,'Données projet'!$E$11+1,1))-AVERAGE(OFFSET($H$3,0,0,'Données projet'!$E$11+1,1))</f>
        <v>358.417829688045</v>
      </c>
      <c r="BJ88" s="62">
        <f t="shared" si="92"/>
        <v>394.03759949558713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159.24904196900158</v>
      </c>
      <c r="BQ88" s="23">
        <f>EXP(-LN(2)/25)*BQ87+(1-EXP(-LN(2)/25))/(LN(2)/25)*Calculateur!BL88*Calculateur!BN88*VLOOKUP('Données projet'!$B$11,Paramètres!$A$1:$I$88,3,0)*0.475*44/12</f>
        <v>60.714455111121019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219.96349708012261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6.9000000000000057</v>
      </c>
      <c r="BY88" s="13">
        <f>IF('Données projet'!$A$114&gt;35,BY87+BX88-CG87,IF(A88&lt;'Données projet'!$A$114,$BV$205^A88,IF(A88='Données projet'!$A$114,'Données projet'!$B$114,BY87+BX88-CG87)))</f>
        <v>561.69999999999993</v>
      </c>
      <c r="BZ88" s="14">
        <f>BY88*VLOOKUP('Données projet'!$B$12,Paramètres!$A$1:$I$88,3,0)*VLOOKUP('Données projet'!$B$12,Paramètres!$A$1:$I$88,5,0)</f>
        <v>335.89660000000003</v>
      </c>
      <c r="CA88" s="14">
        <f t="shared" si="93"/>
        <v>78.651559818783284</v>
      </c>
      <c r="CB88" s="22">
        <f t="shared" si="64"/>
        <v>722.00471168438105</v>
      </c>
      <c r="CC88" s="62">
        <f t="shared" si="65"/>
        <v>1015.3380450177144</v>
      </c>
      <c r="CD88" s="62">
        <f ca="1">AVERAGE(OFFSET($CC$3,0,0,'Données projet'!$E$12+1,1))-AVERAGE(OFFSET($H$3,0,0,'Données projet'!$E$12+1,1))</f>
        <v>405.42845699663462</v>
      </c>
      <c r="CE88" s="62">
        <f t="shared" si="94"/>
        <v>292.26503163353146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58.697748026603087</v>
      </c>
      <c r="CL88" s="23">
        <f>EXP(-LN(2)/25)*CL87+(1-EXP(-LN(2)/25))/(LN(2)/25)*Calculateur!CG88*Calculateur!CI88*VLOOKUP('Données projet'!$B$12,Paramètres!$A$1:$I$88,3,0)*0.475*44/12</f>
        <v>22.529938189861468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81.227686216464548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4.7777777777777777</v>
      </c>
      <c r="N89" s="14">
        <f>IF('Données projet'!$A$36&gt;35,N88+M89-V88,IF(A89&lt;'Données projet'!$A$36,$K$205^A89,IF(A89='Données projet'!$A$36,'Données projet'!$B$36,N88+M89-V88)))</f>
        <v>164.88888888888886</v>
      </c>
      <c r="O89" s="14">
        <f>N89*VLOOKUP('Données projet'!$B$9,Paramètres!$A$1:$I$88,3,0)*VLOOKUP('Données projet'!$B$9,Paramètres!$A$1:$I$88,5,0)</f>
        <v>149.19146666666663</v>
      </c>
      <c r="P89" s="14">
        <f t="shared" si="87"/>
        <v>38.394785761682058</v>
      </c>
      <c r="Q89" s="22">
        <f t="shared" si="54"/>
        <v>326.71272297937395</v>
      </c>
      <c r="R89" s="62">
        <f t="shared" si="55"/>
        <v>620.04605631270726</v>
      </c>
      <c r="S89" s="62">
        <f ca="1">AVERAGE(OFFSET($R$3,0,0,'Données projet'!$E$9+1,1))-AVERAGE(OFFSET($H$3,0,0,'Données projet'!$E$9+1,1))</f>
        <v>329.02356155998905</v>
      </c>
      <c r="T89" s="62">
        <f t="shared" si="88"/>
        <v>199.43308683696642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26.46725421969813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26.46725421969813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projet'!$B$10,Paramètres!$A$1:$I$88,3,0)*VLOOKUP('Données projet'!$B$10,Paramètres!$A$1:$I$88,5,0)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160.55473404658039</v>
      </c>
      <c r="AO89" s="62">
        <f t="shared" si="90"/>
        <v>188.70262429536223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45.560425995384975</v>
      </c>
      <c r="AV89" s="23">
        <f>EXP(-LN(2)/25)*AV88+(1-EXP(-LN(2)/25))/(LN(2)/25)*Calculateur!AQ89*Calculateur!AS89*VLOOKUP('Données projet'!$B$10,Paramètres!$A$1:$I$88,3,0)*0.475*44/12</f>
        <v>19.167250323365288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64.72767631875027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4.5474735088646412E-13</v>
      </c>
      <c r="BE89" s="14">
        <f>BD89*VLOOKUP('Données projet'!$B$11,Paramètres!$A$1:$I$88,3,0)*VLOOKUP('Données projet'!$B$11,Paramètres!$A$1:$I$88,5,0)</f>
        <v>2.5420376914553347E-13</v>
      </c>
      <c r="BF89" s="14">
        <f t="shared" si="91"/>
        <v>3.4258699088369875E-12</v>
      </c>
      <c r="BG89" s="22">
        <f t="shared" si="61"/>
        <v>6.4094616558195571E-12</v>
      </c>
      <c r="BH89" s="62">
        <f t="shared" si="62"/>
        <v>293.33333333333974</v>
      </c>
      <c r="BI89" s="62">
        <f ca="1">AVERAGE(OFFSET($BH$3,0,0,'Données projet'!$E$11+1,1))-AVERAGE(OFFSET($H$3,0,0,'Données projet'!$E$11+1,1))</f>
        <v>358.417829688045</v>
      </c>
      <c r="BJ89" s="62">
        <f t="shared" si="92"/>
        <v>394.03759949558713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156.12626538831404</v>
      </c>
      <c r="BQ89" s="23">
        <f>EXP(-LN(2)/25)*BQ88+(1-EXP(-LN(2)/25))/(LN(2)/25)*Calculateur!BL89*Calculateur!BN89*VLOOKUP('Données projet'!$B$11,Paramètres!$A$1:$I$88,3,0)*0.475*44/12</f>
        <v>59.054215143272984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215.18048053158702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6.9000000000000057</v>
      </c>
      <c r="BY89" s="13">
        <f>IF('Données projet'!$A$114&gt;35,BY88+BX89-CG88,IF(A89&lt;'Données projet'!$A$114,$BV$205^A89,IF(A89='Données projet'!$A$114,'Données projet'!$B$114,BY88+BX89-CG88)))</f>
        <v>568.59999999999991</v>
      </c>
      <c r="BZ89" s="14">
        <f>BY89*VLOOKUP('Données projet'!$B$12,Paramètres!$A$1:$I$88,3,0)*VLOOKUP('Données projet'!$B$12,Paramètres!$A$1:$I$88,5,0)</f>
        <v>340.02280000000002</v>
      </c>
      <c r="CA89" s="14">
        <f t="shared" si="93"/>
        <v>79.504657027765873</v>
      </c>
      <c r="CB89" s="22">
        <f t="shared" si="64"/>
        <v>730.67698765669229</v>
      </c>
      <c r="CC89" s="62">
        <f t="shared" si="65"/>
        <v>1024.0103209900255</v>
      </c>
      <c r="CD89" s="62">
        <f ca="1">AVERAGE(OFFSET($CC$3,0,0,'Données projet'!$E$12+1,1))-AVERAGE(OFFSET($H$3,0,0,'Données projet'!$E$12+1,1))</f>
        <v>405.42845699663462</v>
      </c>
      <c r="CE89" s="62">
        <f t="shared" si="94"/>
        <v>292.26503163353146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57.546720989892535</v>
      </c>
      <c r="CL89" s="23">
        <f>EXP(-LN(2)/25)*CL88+(1-EXP(-LN(2)/25))/(LN(2)/25)*Calculateur!CG89*Calculateur!CI89*VLOOKUP('Données projet'!$B$12,Paramètres!$A$1:$I$88,3,0)*0.475*44/12</f>
        <v>21.91385584526175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79.460576835154285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4.7777777777777777</v>
      </c>
      <c r="N90" s="14">
        <f>IF('Données projet'!$A$36&gt;35,N89+M90-V89,IF(A90&lt;'Données projet'!$A$36,$K$205^A90,IF(A90='Données projet'!$A$36,'Données projet'!$B$36,N89+M90-V89)))</f>
        <v>169.66666666666663</v>
      </c>
      <c r="O90" s="14">
        <f>N90*VLOOKUP('Données projet'!$B$9,Paramètres!$A$1:$I$88,3,0)*VLOOKUP('Données projet'!$B$9,Paramètres!$A$1:$I$88,5,0)</f>
        <v>153.51439999999997</v>
      </c>
      <c r="P90" s="14">
        <f t="shared" si="87"/>
        <v>39.376165968400244</v>
      </c>
      <c r="Q90" s="22">
        <f t="shared" si="54"/>
        <v>335.95106906163033</v>
      </c>
      <c r="R90" s="62">
        <f t="shared" si="55"/>
        <v>629.28440239496365</v>
      </c>
      <c r="S90" s="62">
        <f ca="1">AVERAGE(OFFSET($R$3,0,0,'Données projet'!$E$9+1,1))-AVERAGE(OFFSET($H$3,0,0,'Données projet'!$E$9+1,1))</f>
        <v>329.02356155998905</v>
      </c>
      <c r="T90" s="62">
        <f t="shared" si="88"/>
        <v>199.43308683696642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25.948247507880893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25.948247507880893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projet'!$B$10,Paramètres!$A$1:$I$88,3,0)*VLOOKUP('Données projet'!$B$10,Paramètres!$A$1:$I$88,5,0)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160.55473404658039</v>
      </c>
      <c r="AO90" s="62">
        <f t="shared" si="90"/>
        <v>188.70262429536223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44.667013830731385</v>
      </c>
      <c r="AV90" s="23">
        <f>EXP(-LN(2)/25)*AV89+(1-EXP(-LN(2)/25))/(LN(2)/25)*Calculateur!AQ90*Calculateur!AS90*VLOOKUP('Données projet'!$B$10,Paramètres!$A$1:$I$88,3,0)*0.475*44/12</f>
        <v>18.643120855310976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63.31013468604236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4.5474735088646412E-13</v>
      </c>
      <c r="BE90" s="14">
        <f>BD90*VLOOKUP('Données projet'!$B$11,Paramètres!$A$1:$I$88,3,0)*VLOOKUP('Données projet'!$B$11,Paramètres!$A$1:$I$88,5,0)</f>
        <v>2.5420376914553347E-13</v>
      </c>
      <c r="BF90" s="14">
        <f t="shared" si="91"/>
        <v>3.4258699088369875E-12</v>
      </c>
      <c r="BG90" s="22">
        <f t="shared" si="61"/>
        <v>6.4094616558195571E-12</v>
      </c>
      <c r="BH90" s="62">
        <f t="shared" si="62"/>
        <v>293.33333333333974</v>
      </c>
      <c r="BI90" s="62">
        <f ca="1">AVERAGE(OFFSET($BH$3,0,0,'Données projet'!$E$11+1,1))-AVERAGE(OFFSET($H$3,0,0,'Données projet'!$E$11+1,1))</f>
        <v>358.417829688045</v>
      </c>
      <c r="BJ90" s="62">
        <f t="shared" si="92"/>
        <v>394.03759949558713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153.06472455166815</v>
      </c>
      <c r="BQ90" s="23">
        <f>EXP(-LN(2)/25)*BQ89+(1-EXP(-LN(2)/25))/(LN(2)/25)*Calculateur!BL90*Calculateur!BN90*VLOOKUP('Données projet'!$B$11,Paramètres!$A$1:$I$88,3,0)*0.475*44/12</f>
        <v>57.439374524653978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210.50409907632212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6.9000000000000057</v>
      </c>
      <c r="BY90" s="13">
        <f>IF('Données projet'!$A$114&gt;35,BY89+BX90-CG89,IF(A90&lt;'Données projet'!$A$114,$BV$205^A90,IF(A90='Données projet'!$A$114,'Données projet'!$B$114,BY89+BX90-CG89)))</f>
        <v>575.49999999999989</v>
      </c>
      <c r="BZ90" s="14">
        <f>BY90*VLOOKUP('Données projet'!$B$12,Paramètres!$A$1:$I$88,3,0)*VLOOKUP('Données projet'!$B$12,Paramètres!$A$1:$I$88,5,0)</f>
        <v>344.14899999999994</v>
      </c>
      <c r="CA90" s="14">
        <f t="shared" si="93"/>
        <v>80.356550037589301</v>
      </c>
      <c r="CB90" s="22">
        <f t="shared" si="64"/>
        <v>739.34716631546792</v>
      </c>
      <c r="CC90" s="62">
        <f t="shared" si="65"/>
        <v>1032.6804996488013</v>
      </c>
      <c r="CD90" s="62">
        <f ca="1">AVERAGE(OFFSET($CC$3,0,0,'Données projet'!$E$12+1,1))-AVERAGE(OFFSET($H$3,0,0,'Données projet'!$E$12+1,1))</f>
        <v>405.42845699663462</v>
      </c>
      <c r="CE90" s="62">
        <f t="shared" si="94"/>
        <v>292.26503163353146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56.418264891314706</v>
      </c>
      <c r="CL90" s="23">
        <f>EXP(-LN(2)/25)*CL89+(1-EXP(-LN(2)/25))/(LN(2)/25)*Calculateur!CG90*Calculateur!CI90*VLOOKUP('Données projet'!$B$12,Paramètres!$A$1:$I$88,3,0)*0.475*44/12</f>
        <v>21.314620304773474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77.732885196088176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4.7777777777777777</v>
      </c>
      <c r="N91" s="14">
        <f>IF('Données projet'!$A$36&gt;35,N90+M91-V90,IF(A91&lt;'Données projet'!$A$36,$K$205^A91,IF(A91='Données projet'!$A$36,'Données projet'!$B$36,N90+M91-V90)))</f>
        <v>174.4444444444444</v>
      </c>
      <c r="O91" s="14">
        <f>N91*VLOOKUP('Données projet'!$B$9,Paramètres!$A$1:$I$88,3,0)*VLOOKUP('Données projet'!$B$9,Paramètres!$A$1:$I$88,5,0)</f>
        <v>157.83733333333331</v>
      </c>
      <c r="P91" s="14">
        <f t="shared" si="87"/>
        <v>40.35433422511192</v>
      </c>
      <c r="Q91" s="22">
        <f t="shared" si="54"/>
        <v>345.18382099762539</v>
      </c>
      <c r="R91" s="62">
        <f t="shared" si="55"/>
        <v>638.51715433095865</v>
      </c>
      <c r="S91" s="62">
        <f ca="1">AVERAGE(OFFSET($R$3,0,0,'Données projet'!$E$9+1,1))-AVERAGE(OFFSET($H$3,0,0,'Données projet'!$E$9+1,1))</f>
        <v>329.02356155998905</v>
      </c>
      <c r="T91" s="62">
        <f t="shared" si="88"/>
        <v>199.43308683696642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25.439418201119555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25.439418201119555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projet'!$B$10,Paramètres!$A$1:$I$88,3,0)*VLOOKUP('Données projet'!$B$10,Paramètres!$A$1:$I$88,5,0)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160.55473404658039</v>
      </c>
      <c r="AO91" s="62">
        <f t="shared" si="90"/>
        <v>188.70262429536223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43.791120933699041</v>
      </c>
      <c r="AV91" s="23">
        <f>EXP(-LN(2)/25)*AV90+(1-EXP(-LN(2)/25))/(LN(2)/25)*Calculateur!AQ91*Calculateur!AS91*VLOOKUP('Données projet'!$B$10,Paramètres!$A$1:$I$88,3,0)*0.475*44/12</f>
        <v>18.13332373512338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61.924444668822417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4.5474735088646412E-13</v>
      </c>
      <c r="BE91" s="14">
        <f>BD91*VLOOKUP('Données projet'!$B$11,Paramètres!$A$1:$I$88,3,0)*VLOOKUP('Données projet'!$B$11,Paramètres!$A$1:$I$88,5,0)</f>
        <v>2.5420376914553347E-13</v>
      </c>
      <c r="BF91" s="14">
        <f t="shared" si="91"/>
        <v>3.4258699088369875E-12</v>
      </c>
      <c r="BG91" s="22">
        <f t="shared" si="61"/>
        <v>6.4094616558195571E-12</v>
      </c>
      <c r="BH91" s="62">
        <f t="shared" si="62"/>
        <v>293.33333333333974</v>
      </c>
      <c r="BI91" s="62">
        <f ca="1">AVERAGE(OFFSET($BH$3,0,0,'Données projet'!$E$11+1,1))-AVERAGE(OFFSET($H$3,0,0,'Données projet'!$E$11+1,1))</f>
        <v>358.417829688045</v>
      </c>
      <c r="BJ91" s="62">
        <f t="shared" si="92"/>
        <v>394.03759949558713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150.06321866347335</v>
      </c>
      <c r="BQ91" s="23">
        <f>EXP(-LN(2)/25)*BQ90+(1-EXP(-LN(2)/25))/(LN(2)/25)*Calculateur!BL91*Calculateur!BN91*VLOOKUP('Données projet'!$B$11,Paramètres!$A$1:$I$88,3,0)*0.475*44/12</f>
        <v>55.868691807671887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205.93191047114524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6.9000000000000057</v>
      </c>
      <c r="BY91" s="13">
        <f>IF('Données projet'!$A$114&gt;35,BY90+BX91-CG90,IF(A91&lt;'Données projet'!$A$114,$BV$205^A91,IF(A91='Données projet'!$A$114,'Données projet'!$B$114,BY90+BX91-CG90)))</f>
        <v>582.39999999999986</v>
      </c>
      <c r="BZ91" s="14">
        <f>BY91*VLOOKUP('Données projet'!$B$12,Paramètres!$A$1:$I$88,3,0)*VLOOKUP('Données projet'!$B$12,Paramètres!$A$1:$I$88,5,0)</f>
        <v>348.27519999999993</v>
      </c>
      <c r="CA91" s="14">
        <f t="shared" si="93"/>
        <v>81.20725495618683</v>
      </c>
      <c r="CB91" s="22">
        <f t="shared" si="64"/>
        <v>748.0152757153586</v>
      </c>
      <c r="CC91" s="62">
        <f t="shared" si="65"/>
        <v>1041.348609048692</v>
      </c>
      <c r="CD91" s="62">
        <f ca="1">AVERAGE(OFFSET($CC$3,0,0,'Données projet'!$E$12+1,1))-AVERAGE(OFFSET($H$3,0,0,'Données projet'!$E$12+1,1))</f>
        <v>405.42845699663462</v>
      </c>
      <c r="CE91" s="62">
        <f t="shared" si="94"/>
        <v>292.26503163353146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55.311937128539732</v>
      </c>
      <c r="CL91" s="23">
        <f>EXP(-LN(2)/25)*CL90+(1-EXP(-LN(2)/25))/(LN(2)/25)*Calculateur!CG91*Calculateur!CI91*VLOOKUP('Données projet'!$B$12,Paramètres!$A$1:$I$88,3,0)*0.475*44/12</f>
        <v>20.731770891652275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76.043708020192014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4.7777777777777777</v>
      </c>
      <c r="N92" s="14">
        <f>IF('Données projet'!$A$36&gt;35,N91+M92-V91,IF(A92&lt;'Données projet'!$A$36,$K$205^A92,IF(A92='Données projet'!$A$36,'Données projet'!$B$36,N91+M92-V91)))</f>
        <v>179.22222222222217</v>
      </c>
      <c r="O92" s="14">
        <f>N92*VLOOKUP('Données projet'!$B$9,Paramètres!$A$1:$I$88,3,0)*VLOOKUP('Données projet'!$B$9,Paramètres!$A$1:$I$88,5,0)</f>
        <v>162.16026666666662</v>
      </c>
      <c r="P92" s="14">
        <f t="shared" si="87"/>
        <v>41.329388610653048</v>
      </c>
      <c r="Q92" s="22">
        <f t="shared" si="54"/>
        <v>354.41114960799837</v>
      </c>
      <c r="R92" s="62">
        <f t="shared" si="55"/>
        <v>647.74448294133163</v>
      </c>
      <c r="S92" s="62">
        <f ca="1">AVERAGE(OFFSET($R$3,0,0,'Données projet'!$E$9+1,1))-AVERAGE(OFFSET($H$3,0,0,'Données projet'!$E$9+1,1))</f>
        <v>329.02356155998905</v>
      </c>
      <c r="T92" s="62">
        <f t="shared" si="88"/>
        <v>199.43308683696642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24.940566726708575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24.940566726708575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projet'!$B$10,Paramètres!$A$1:$I$88,3,0)*VLOOKUP('Données projet'!$B$10,Paramètres!$A$1:$I$88,5,0)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160.55473404658039</v>
      </c>
      <c r="AO92" s="62">
        <f t="shared" si="90"/>
        <v>188.70262429536223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42.932403762135586</v>
      </c>
      <c r="AV92" s="23">
        <f>EXP(-LN(2)/25)*AV91+(1-EXP(-LN(2)/25))/(LN(2)/25)*Calculateur!AQ92*Calculateur!AS92*VLOOKUP('Données projet'!$B$10,Paramètres!$A$1:$I$88,3,0)*0.475*44/12</f>
        <v>17.637467043996381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60.569870806131966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4.5474735088646412E-13</v>
      </c>
      <c r="BE92" s="14">
        <f>BD92*VLOOKUP('Données projet'!$B$11,Paramètres!$A$1:$I$88,3,0)*VLOOKUP('Données projet'!$B$11,Paramètres!$A$1:$I$88,5,0)</f>
        <v>2.5420376914553347E-13</v>
      </c>
      <c r="BF92" s="14">
        <f t="shared" si="91"/>
        <v>3.4258699088369875E-12</v>
      </c>
      <c r="BG92" s="22">
        <f t="shared" si="61"/>
        <v>6.4094616558195571E-12</v>
      </c>
      <c r="BH92" s="62">
        <f t="shared" si="62"/>
        <v>293.33333333333974</v>
      </c>
      <c r="BI92" s="62">
        <f ca="1">AVERAGE(OFFSET($BH$3,0,0,'Données projet'!$E$11+1,1))-AVERAGE(OFFSET($H$3,0,0,'Données projet'!$E$11+1,1))</f>
        <v>358.417829688045</v>
      </c>
      <c r="BJ92" s="62">
        <f t="shared" si="92"/>
        <v>394.03759949558713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147.12057047500824</v>
      </c>
      <c r="BQ92" s="23">
        <f>EXP(-LN(2)/25)*BQ91+(1-EXP(-LN(2)/25))/(LN(2)/25)*Calculateur!BL92*Calculateur!BN92*VLOOKUP('Données projet'!$B$11,Paramètres!$A$1:$I$88,3,0)*0.475*44/12</f>
        <v>54.34095949218429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201.46152996719252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6.9000000000000057</v>
      </c>
      <c r="BY92" s="13">
        <f>IF('Données projet'!$A$114&gt;35,BY91+BX92-CG91,IF(A92&lt;'Données projet'!$A$114,$BV$205^A92,IF(A92='Données projet'!$A$114,'Données projet'!$B$114,BY91+BX92-CG91)))</f>
        <v>589.29999999999984</v>
      </c>
      <c r="BZ92" s="14">
        <f>BY92*VLOOKUP('Données projet'!$B$12,Paramètres!$A$1:$I$88,3,0)*VLOOKUP('Données projet'!$B$12,Paramètres!$A$1:$I$88,5,0)</f>
        <v>352.40139999999991</v>
      </c>
      <c r="CA92" s="14">
        <f t="shared" si="93"/>
        <v>82.056787487849775</v>
      </c>
      <c r="CB92" s="22">
        <f t="shared" si="64"/>
        <v>756.68134320800482</v>
      </c>
      <c r="CC92" s="62">
        <f t="shared" si="65"/>
        <v>1050.0146765413381</v>
      </c>
      <c r="CD92" s="62">
        <f ca="1">AVERAGE(OFFSET($CC$3,0,0,'Données projet'!$E$12+1,1))-AVERAGE(OFFSET($H$3,0,0,'Données projet'!$E$12+1,1))</f>
        <v>405.42845699663462</v>
      </c>
      <c r="CE92" s="62">
        <f t="shared" si="94"/>
        <v>292.26503163353146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54.227303778399467</v>
      </c>
      <c r="CL92" s="23">
        <f>EXP(-LN(2)/25)*CL91+(1-EXP(-LN(2)/25))/(LN(2)/25)*Calculateur!CG92*Calculateur!CI92*VLOOKUP('Données projet'!$B$12,Paramètres!$A$1:$I$88,3,0)*0.475*44/12</f>
        <v>20.164859526383594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74.392163304783054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184</v>
      </c>
      <c r="L93" s="13">
        <f>VLOOKUP(A93,'Données projet'!$A$35:$I$55,9,0)</f>
        <v>4.7777777777777777</v>
      </c>
      <c r="M93" s="13">
        <f t="array" ref="M93">INDEX(L:L,MIN(IF(ISNUMBER(L93:L289),ROW(L93:L289),"")))</f>
        <v>4.7777777777777777</v>
      </c>
      <c r="N93" s="14">
        <f>IF('Données projet'!$A$36&gt;35,N92+M93-V92,IF(A93&lt;'Données projet'!$A$36,$K$205^A93,IF(A93='Données projet'!$A$36,'Données projet'!$B$36,N92+M93-V92)))</f>
        <v>183.99999999999994</v>
      </c>
      <c r="O93" s="14">
        <f>N93*VLOOKUP('Données projet'!$B$9,Paramètres!$A$1:$I$88,3,0)*VLOOKUP('Données projet'!$B$9,Paramètres!$A$1:$I$88,5,0)</f>
        <v>166.48319999999993</v>
      </c>
      <c r="P93" s="14">
        <f t="shared" si="87"/>
        <v>42.301421676867136</v>
      </c>
      <c r="Q93" s="22">
        <f t="shared" si="54"/>
        <v>363.63321608721009</v>
      </c>
      <c r="R93" s="62">
        <f t="shared" si="55"/>
        <v>656.9665494205434</v>
      </c>
      <c r="S93" s="62">
        <f ca="1">AVERAGE(OFFSET($R$3,0,0,'Données projet'!$E$9+1,1))-AVERAGE(OFFSET($H$3,0,0,'Données projet'!$E$9+1,1))</f>
        <v>329.02356155998905</v>
      </c>
      <c r="T93" s="62">
        <f t="shared" si="88"/>
        <v>199.43308683696642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30</v>
      </c>
      <c r="W93" s="17">
        <f>IF(ISNA(VLOOKUP(A93,'Données projet'!$A$35:$I$55,5,0)),0%,VLOOKUP(A93,'Données projet'!$A$35:$I$55,5,0)*VLOOKUP('Données projet'!$B$9,Paramètres!$A$1:$I$88,7,0))</f>
        <v>0.25800000000000001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32.193274524808373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32.193274524808373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projet'!$B$10,Paramètres!$A$1:$I$88,3,0)*VLOOKUP('Données projet'!$B$10,Paramètres!$A$1:$I$88,5,0)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160.55473404658039</v>
      </c>
      <c r="AO93" s="62">
        <f t="shared" si="90"/>
        <v>188.70262429536223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42.090525510540729</v>
      </c>
      <c r="AV93" s="23">
        <f>EXP(-LN(2)/25)*AV92+(1-EXP(-LN(2)/25))/(LN(2)/25)*Calculateur!AQ93*Calculateur!AS93*VLOOKUP('Données projet'!$B$10,Paramètres!$A$1:$I$88,3,0)*0.475*44/12</f>
        <v>17.15516958016422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59.245695090704949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4.5474735088646412E-13</v>
      </c>
      <c r="BE93" s="14">
        <f>BD93*VLOOKUP('Données projet'!$B$11,Paramètres!$A$1:$I$88,3,0)*VLOOKUP('Données projet'!$B$11,Paramètres!$A$1:$I$88,5,0)</f>
        <v>2.5420376914553347E-13</v>
      </c>
      <c r="BF93" s="14">
        <f t="shared" si="91"/>
        <v>3.4258699088369875E-12</v>
      </c>
      <c r="BG93" s="22">
        <f t="shared" si="61"/>
        <v>6.4094616558195571E-12</v>
      </c>
      <c r="BH93" s="62">
        <f t="shared" si="62"/>
        <v>293.33333333333974</v>
      </c>
      <c r="BI93" s="62">
        <f ca="1">AVERAGE(OFFSET($BH$3,0,0,'Données projet'!$E$11+1,1))-AVERAGE(OFFSET($H$3,0,0,'Données projet'!$E$11+1,1))</f>
        <v>358.417829688045</v>
      </c>
      <c r="BJ93" s="62">
        <f t="shared" si="92"/>
        <v>394.03759949558713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144.23562582268076</v>
      </c>
      <c r="BQ93" s="23">
        <f>EXP(-LN(2)/25)*BQ92+(1-EXP(-LN(2)/25))/(LN(2)/25)*Calculateur!BL93*Calculateur!BN93*VLOOKUP('Données projet'!$B$11,Paramètres!$A$1:$I$88,3,0)*0.475*44/12</f>
        <v>52.85500309720365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197.09062891988441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596.20000000000005</v>
      </c>
      <c r="BW93" s="13">
        <f>VLOOKUP(A93,'Données projet'!$A$113:$I$133,9,0)</f>
        <v>6.9000000000000057</v>
      </c>
      <c r="BX93" s="13">
        <f t="array" ref="BX93">INDEX(BW:BW,MIN(IF(ISNUMBER(BW93:BW289),ROW(BW93:BW289),"")))</f>
        <v>6.9000000000000057</v>
      </c>
      <c r="BY93" s="13">
        <f>IF('Données projet'!$A$114&gt;35,BY92+BX93-CG92,IF(A93&lt;'Données projet'!$A$114,$BV$205^A93,IF(A93='Données projet'!$A$114,'Données projet'!$B$114,BY92+BX93-CG92)))</f>
        <v>596.19999999999982</v>
      </c>
      <c r="BZ93" s="14">
        <f>BY93*VLOOKUP('Données projet'!$B$12,Paramètres!$A$1:$I$88,3,0)*VLOOKUP('Données projet'!$B$12,Paramètres!$A$1:$I$88,5,0)</f>
        <v>356.52759999999995</v>
      </c>
      <c r="CA93" s="14">
        <f t="shared" si="93"/>
        <v>82.905162947947815</v>
      </c>
      <c r="CB93" s="22">
        <f t="shared" si="64"/>
        <v>765.34539546767564</v>
      </c>
      <c r="CC93" s="62">
        <f t="shared" si="65"/>
        <v>1058.6787288010089</v>
      </c>
      <c r="CD93" s="62">
        <f ca="1">AVERAGE(OFFSET($CC$3,0,0,'Données projet'!$E$12+1,1))-AVERAGE(OFFSET($H$3,0,0,'Données projet'!$E$12+1,1))</f>
        <v>405.42845699663462</v>
      </c>
      <c r="CE93" s="62">
        <f t="shared" si="94"/>
        <v>292.26503163353146</v>
      </c>
      <c r="CF93" s="16">
        <f>IF(ISNA(VLOOKUP(A93,'Données projet'!$A$113:$I$133,3,0)),0,VLOOKUP(A93,'Données projet'!$A$113:$I$133,3,0))</f>
        <v>12</v>
      </c>
      <c r="CG93" s="16">
        <f>IF(ISNA(VLOOKUP(A93,'Données projet'!$A$113:$I$133,4,0)),0,VLOOKUP(A93,'Données projet'!$A$113:$I$133,4,0))</f>
        <v>596.20000000000005</v>
      </c>
      <c r="CH93" s="17">
        <f>IF(ISNA(VLOOKUP(A93,'Données projet'!$A$113:$I$133,5,0)),0%,VLOOKUP(A93,'Données projet'!$A$113:$I$133,5,0)*VLOOKUP('Données projet'!$B$12,Paramètres!$A$1:$I$88,7,0))</f>
        <v>0.315</v>
      </c>
      <c r="CI93" s="17">
        <f>IF(ISNA(VLOOKUP(A93,'Données projet'!$A$113:$I$133,6,0)),0%,VLOOKUP(A93,'Données projet'!$A$113:$I$133,6,0)*VLOOKUP('Données projet'!$B$12,Paramètres!$A$1:$I$88,7,0))</f>
        <v>0.13500000000000001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202.14534451279184</v>
      </c>
      <c r="CL93" s="23">
        <f>EXP(-LN(2)/25)*CL92+(1-EXP(-LN(2)/25))/(LN(2)/25)*Calculateur!CG93*Calculateur!CI93*VLOOKUP('Données projet'!$B$12,Paramètres!$A$1:$I$88,3,0)*0.475*44/12</f>
        <v>83.211225465599767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285.35656997839158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4.75</v>
      </c>
      <c r="N94" s="14">
        <f>IF('Données projet'!$A$36&gt;35,N93+M94-V93,IF(A94&lt;'Données projet'!$A$36,$K$205^A94,IF(A94='Données projet'!$A$36,'Données projet'!$B$36,N93+M94-V93)))</f>
        <v>158.74999999999994</v>
      </c>
      <c r="O94" s="14">
        <f>N94*VLOOKUP('Données projet'!$B$9,Paramètres!$A$1:$I$88,3,0)*VLOOKUP('Données projet'!$B$9,Paramètres!$A$1:$I$88,5,0)</f>
        <v>143.63699999999994</v>
      </c>
      <c r="P94" s="14">
        <f t="shared" si="87"/>
        <v>37.128943398953339</v>
      </c>
      <c r="Q94" s="22">
        <f t="shared" si="54"/>
        <v>314.8340180865103</v>
      </c>
      <c r="R94" s="62">
        <f t="shared" si="55"/>
        <v>608.16735141984361</v>
      </c>
      <c r="S94" s="62">
        <f ca="1">AVERAGE(OFFSET($R$3,0,0,'Données projet'!$E$9+1,1))-AVERAGE(OFFSET($H$3,0,0,'Données projet'!$E$9+1,1))</f>
        <v>329.02356155998905</v>
      </c>
      <c r="T94" s="62">
        <f t="shared" si="88"/>
        <v>199.43308683696642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31.56198404733545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31.56198404733545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160.55473404658039</v>
      </c>
      <c r="AO94" s="62">
        <f t="shared" si="90"/>
        <v>188.70262429536223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41.265155977964618</v>
      </c>
      <c r="AV94" s="23">
        <f>EXP(-LN(2)/25)*AV93+(1-EXP(-LN(2)/25))/(LN(2)/25)*Calculateur!AQ94*Calculateur!AS94*VLOOKUP('Données projet'!$B$10,Paramètres!$A$1:$I$88,3,0)*0.475*44/12</f>
        <v>16.686060565843469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57.951216543808087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4.5474735088646412E-13</v>
      </c>
      <c r="BE94" s="14">
        <f>BD94*VLOOKUP('Données projet'!$B$11,Paramètres!$A$1:$I$88,3,0)*VLOOKUP('Données projet'!$B$11,Paramètres!$A$1:$I$88,5,0)</f>
        <v>2.5420376914553347E-13</v>
      </c>
      <c r="BF94" s="14">
        <f t="shared" si="91"/>
        <v>3.4258699088369875E-12</v>
      </c>
      <c r="BG94" s="22">
        <f t="shared" si="61"/>
        <v>6.4094616558195571E-12</v>
      </c>
      <c r="BH94" s="62">
        <f t="shared" si="62"/>
        <v>293.33333333333974</v>
      </c>
      <c r="BI94" s="62">
        <f ca="1">AVERAGE(OFFSET($BH$3,0,0,'Données projet'!$E$11+1,1))-AVERAGE(OFFSET($H$3,0,0,'Données projet'!$E$11+1,1))</f>
        <v>358.417829688045</v>
      </c>
      <c r="BJ94" s="62">
        <f t="shared" si="92"/>
        <v>394.03759949558713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141.40725317534293</v>
      </c>
      <c r="BQ94" s="23">
        <f>EXP(-LN(2)/25)*BQ93+(1-EXP(-LN(2)/25))/(LN(2)/25)*Calculateur!BL94*Calculateur!BN94*VLOOKUP('Données projet'!$B$11,Paramètres!$A$1:$I$88,3,0)*0.475*44/12</f>
        <v>51.409680257986807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192.81693343332972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projet'!$B$12,Paramètres!$A$1:$I$88,3,0)*VLOOKUP('Données projet'!$B$12,Paramètres!$A$1:$I$88,5,0)</f>
        <v>-1.3596945791505279E-13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405.42845699663462</v>
      </c>
      <c r="CE94" s="62">
        <f t="shared" si="94"/>
        <v>292.26503163353146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198.18139760338161</v>
      </c>
      <c r="CL94" s="23">
        <f>EXP(-LN(2)/25)*CL93+(1-EXP(-LN(2)/25))/(LN(2)/25)*Calculateur!CG94*Calculateur!CI94*VLOOKUP('Données projet'!$B$12,Paramètres!$A$1:$I$88,3,0)*0.475*44/12</f>
        <v>80.935810129354778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279.1172077327364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4.75</v>
      </c>
      <c r="N95" s="14">
        <f>IF('Données projet'!$A$36&gt;35,N94+M95-V94,IF(A95&lt;'Données projet'!$A$36,$K$205^A95,IF(A95='Données projet'!$A$36,'Données projet'!$B$36,N94+M95-V94)))</f>
        <v>163.49999999999994</v>
      </c>
      <c r="O95" s="14">
        <f>N95*VLOOKUP('Données projet'!$B$9,Paramètres!$A$1:$I$88,3,0)*VLOOKUP('Données projet'!$B$9,Paramètres!$A$1:$I$88,5,0)</f>
        <v>147.93479999999994</v>
      </c>
      <c r="P95" s="14">
        <f t="shared" si="87"/>
        <v>38.1088835009256</v>
      </c>
      <c r="Q95" s="22">
        <f t="shared" si="54"/>
        <v>324.02608209744534</v>
      </c>
      <c r="R95" s="62">
        <f t="shared" si="55"/>
        <v>617.35941543077865</v>
      </c>
      <c r="S95" s="62">
        <f ca="1">AVERAGE(OFFSET($R$3,0,0,'Données projet'!$E$9+1,1))-AVERAGE(OFFSET($H$3,0,0,'Données projet'!$E$9+1,1))</f>
        <v>329.02356155998905</v>
      </c>
      <c r="T95" s="62">
        <f t="shared" si="88"/>
        <v>199.43308683696642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30.943072791076602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30.943072791076602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160.55473404658039</v>
      </c>
      <c r="AO95" s="62">
        <f t="shared" si="90"/>
        <v>188.70262429536223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40.455971438496618</v>
      </c>
      <c r="AV95" s="23">
        <f>EXP(-LN(2)/25)*AV94+(1-EXP(-LN(2)/25))/(LN(2)/25)*Calculateur!AQ95*Calculateur!AS95*VLOOKUP('Données projet'!$B$10,Paramètres!$A$1:$I$88,3,0)*0.475*44/12</f>
        <v>16.22977936218869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56.685750800685312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4.5474735088646412E-13</v>
      </c>
      <c r="BE95" s="14">
        <f>BD95*VLOOKUP('Données projet'!$B$11,Paramètres!$A$1:$I$88,3,0)*VLOOKUP('Données projet'!$B$11,Paramètres!$A$1:$I$88,5,0)</f>
        <v>2.5420376914553347E-13</v>
      </c>
      <c r="BF95" s="14">
        <f t="shared" si="91"/>
        <v>3.4258699088369875E-12</v>
      </c>
      <c r="BG95" s="22">
        <f t="shared" si="61"/>
        <v>6.4094616558195571E-12</v>
      </c>
      <c r="BH95" s="62">
        <f t="shared" si="62"/>
        <v>293.33333333333974</v>
      </c>
      <c r="BI95" s="62">
        <f ca="1">AVERAGE(OFFSET($BH$3,0,0,'Données projet'!$E$11+1,1))-AVERAGE(OFFSET($H$3,0,0,'Données projet'!$E$11+1,1))</f>
        <v>358.417829688045</v>
      </c>
      <c r="BJ95" s="62">
        <f t="shared" si="92"/>
        <v>394.03759949558713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138.63434319048241</v>
      </c>
      <c r="BQ95" s="23">
        <f>EXP(-LN(2)/25)*BQ94+(1-EXP(-LN(2)/25))/(LN(2)/25)*Calculateur!BL95*Calculateur!BN95*VLOOKUP('Données projet'!$B$11,Paramètres!$A$1:$I$88,3,0)*0.475*44/12</f>
        <v>50.003879847814574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188.63822303829699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projet'!$B$12,Paramètres!$A$1:$I$88,3,0)*VLOOKUP('Données projet'!$B$12,Paramètres!$A$1:$I$88,5,0)</f>
        <v>-1.3596945791505279E-13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405.42845699663462</v>
      </c>
      <c r="CE95" s="62">
        <f t="shared" si="94"/>
        <v>292.26503163353146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194.29518127509604</v>
      </c>
      <c r="CL95" s="23">
        <f>EXP(-LN(2)/25)*CL94+(1-EXP(-LN(2)/25))/(LN(2)/25)*Calculateur!CG95*Calculateur!CI95*VLOOKUP('Données projet'!$B$12,Paramètres!$A$1:$I$88,3,0)*0.475*44/12</f>
        <v>78.722616145138304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273.01779742023433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4.75</v>
      </c>
      <c r="N96" s="14">
        <f>IF('Données projet'!$A$36&gt;35,N95+M96-V95,IF(A96&lt;'Données projet'!$A$36,$K$205^A96,IF(A96='Données projet'!$A$36,'Données projet'!$B$36,N95+M96-V95)))</f>
        <v>168.24999999999994</v>
      </c>
      <c r="O96" s="14">
        <f>N96*VLOOKUP('Données projet'!$B$9,Paramètres!$A$1:$I$88,3,0)*VLOOKUP('Données projet'!$B$9,Paramètres!$A$1:$I$88,5,0)</f>
        <v>152.23259999999996</v>
      </c>
      <c r="P96" s="14">
        <f t="shared" si="87"/>
        <v>39.085514892085854</v>
      </c>
      <c r="Q96" s="22">
        <f t="shared" si="54"/>
        <v>333.21238343704948</v>
      </c>
      <c r="R96" s="62">
        <f t="shared" si="55"/>
        <v>626.5457167703828</v>
      </c>
      <c r="S96" s="62">
        <f ca="1">AVERAGE(OFFSET($R$3,0,0,'Données projet'!$E$9+1,1))-AVERAGE(OFFSET($H$3,0,0,'Données projet'!$E$9+1,1))</f>
        <v>329.02356155998905</v>
      </c>
      <c r="T96" s="62">
        <f t="shared" si="88"/>
        <v>199.43308683696642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30.336298007054399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30.336298007054399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160.55473404658039</v>
      </c>
      <c r="AO96" s="62">
        <f t="shared" si="90"/>
        <v>188.70262429536223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39.662654514293756</v>
      </c>
      <c r="AV96" s="23">
        <f>EXP(-LN(2)/25)*AV95+(1-EXP(-LN(2)/25))/(LN(2)/25)*Calculateur!AQ96*Calculateur!AS96*VLOOKUP('Données projet'!$B$10,Paramètres!$A$1:$I$88,3,0)*0.475*44/12</f>
        <v>15.785975192042638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55.448629706336391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4.5474735088646412E-13</v>
      </c>
      <c r="BE96" s="14">
        <f>BD96*VLOOKUP('Données projet'!$B$11,Paramètres!$A$1:$I$88,3,0)*VLOOKUP('Données projet'!$B$11,Paramètres!$A$1:$I$88,5,0)</f>
        <v>2.5420376914553347E-13</v>
      </c>
      <c r="BF96" s="14">
        <f t="shared" si="91"/>
        <v>3.4258699088369875E-12</v>
      </c>
      <c r="BG96" s="22">
        <f t="shared" si="61"/>
        <v>6.4094616558195571E-12</v>
      </c>
      <c r="BH96" s="62">
        <f t="shared" si="62"/>
        <v>293.33333333333974</v>
      </c>
      <c r="BI96" s="62">
        <f ca="1">AVERAGE(OFFSET($BH$3,0,0,'Données projet'!$E$11+1,1))-AVERAGE(OFFSET($H$3,0,0,'Données projet'!$E$11+1,1))</f>
        <v>358.417829688045</v>
      </c>
      <c r="BJ96" s="62">
        <f t="shared" si="92"/>
        <v>394.03759949558713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135.91580827911693</v>
      </c>
      <c r="BQ96" s="23">
        <f>EXP(-LN(2)/25)*BQ95+(1-EXP(-LN(2)/25))/(LN(2)/25)*Calculateur!BL96*Calculateur!BN96*VLOOKUP('Données projet'!$B$11,Paramètres!$A$1:$I$88,3,0)*0.475*44/12</f>
        <v>48.636521123786331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184.55232940290327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projet'!$B$12,Paramètres!$A$1:$I$88,3,0)*VLOOKUP('Données projet'!$B$12,Paramètres!$A$1:$I$88,5,0)</f>
        <v>-1.3596945791505279E-13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405.42845699663462</v>
      </c>
      <c r="CE96" s="62">
        <f t="shared" si="94"/>
        <v>292.26503163353146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190.48517127865026</v>
      </c>
      <c r="CL96" s="23">
        <f>EXP(-LN(2)/25)*CL95+(1-EXP(-LN(2)/25))/(LN(2)/25)*Calculateur!CG96*Calculateur!CI96*VLOOKUP('Données projet'!$B$12,Paramètres!$A$1:$I$88,3,0)*0.475*44/12</f>
        <v>76.56994206680703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267.0551133454573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4.75</v>
      </c>
      <c r="N97" s="14">
        <f>IF('Données projet'!$A$36&gt;35,N96+M97-V96,IF(A97&lt;'Données projet'!$A$36,$K$205^A97,IF(A97='Données projet'!$A$36,'Données projet'!$B$36,N96+M97-V96)))</f>
        <v>172.99999999999994</v>
      </c>
      <c r="O97" s="14">
        <f>N97*VLOOKUP('Données projet'!$B$9,Paramètres!$A$1:$I$88,3,0)*VLOOKUP('Données projet'!$B$9,Paramètres!$A$1:$I$88,5,0)</f>
        <v>156.53039999999996</v>
      </c>
      <c r="P97" s="14">
        <f t="shared" si="87"/>
        <v>40.058941713182037</v>
      </c>
      <c r="Q97" s="22">
        <f t="shared" si="54"/>
        <v>342.39310348379195</v>
      </c>
      <c r="R97" s="62">
        <f t="shared" si="55"/>
        <v>635.7264368171252</v>
      </c>
      <c r="S97" s="62">
        <f ca="1">AVERAGE(OFFSET($R$3,0,0,'Données projet'!$E$9+1,1))-AVERAGE(OFFSET($H$3,0,0,'Données projet'!$E$9+1,1))</f>
        <v>329.02356155998905</v>
      </c>
      <c r="T97" s="62">
        <f t="shared" si="88"/>
        <v>199.43308683696642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29.741421706450797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29.741421706450797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160.55473404658039</v>
      </c>
      <c r="AO97" s="62">
        <f t="shared" si="90"/>
        <v>188.70262429536223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38.884894051098961</v>
      </c>
      <c r="AV97" s="23">
        <f>EXP(-LN(2)/25)*AV96+(1-EXP(-LN(2)/25))/(LN(2)/25)*Calculateur!AQ97*Calculateur!AS97*VLOOKUP('Données projet'!$B$10,Paramètres!$A$1:$I$88,3,0)*0.475*44/12</f>
        <v>15.354306870267877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54.239200921366837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4.5474735088646412E-13</v>
      </c>
      <c r="BE97" s="14">
        <f>BD97*VLOOKUP('Données projet'!$B$11,Paramètres!$A$1:$I$88,3,0)*VLOOKUP('Données projet'!$B$11,Paramètres!$A$1:$I$88,5,0)</f>
        <v>2.5420376914553347E-13</v>
      </c>
      <c r="BF97" s="14">
        <f t="shared" si="91"/>
        <v>3.4258699088369875E-12</v>
      </c>
      <c r="BG97" s="22">
        <f t="shared" si="61"/>
        <v>6.4094616558195571E-12</v>
      </c>
      <c r="BH97" s="62">
        <f t="shared" si="62"/>
        <v>293.33333333333974</v>
      </c>
      <c r="BI97" s="62">
        <f ca="1">AVERAGE(OFFSET($BH$3,0,0,'Données projet'!$E$11+1,1))-AVERAGE(OFFSET($H$3,0,0,'Données projet'!$E$11+1,1))</f>
        <v>358.417829688045</v>
      </c>
      <c r="BJ97" s="62">
        <f t="shared" si="92"/>
        <v>394.03759949558713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133.25058217922077</v>
      </c>
      <c r="BQ97" s="23">
        <f>EXP(-LN(2)/25)*BQ96+(1-EXP(-LN(2)/25))/(LN(2)/25)*Calculateur!BL97*Calculateur!BN97*VLOOKUP('Données projet'!$B$11,Paramètres!$A$1:$I$88,3,0)*0.475*44/12</f>
        <v>47.306552895972906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180.55713507519368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projet'!$B$12,Paramètres!$A$1:$I$88,3,0)*VLOOKUP('Données projet'!$B$12,Paramètres!$A$1:$I$88,5,0)</f>
        <v>-1.3596945791505279E-13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405.42845699663462</v>
      </c>
      <c r="CE97" s="62">
        <f t="shared" si="94"/>
        <v>292.26503163353146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186.74987325435814</v>
      </c>
      <c r="CL97" s="23">
        <f>EXP(-LN(2)/25)*CL96+(1-EXP(-LN(2)/25))/(LN(2)/25)*Calculateur!CG97*Calculateur!CI97*VLOOKUP('Données projet'!$B$12,Paramètres!$A$1:$I$88,3,0)*0.475*44/12</f>
        <v>74.476132974351941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261.22600622871005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4.75</v>
      </c>
      <c r="N98" s="14">
        <f>IF('Données projet'!$A$36&gt;35,N97+M98-V97,IF(A98&lt;'Données projet'!$A$36,$K$205^A98,IF(A98='Données projet'!$A$36,'Données projet'!$B$36,N97+M98-V97)))</f>
        <v>177.74999999999994</v>
      </c>
      <c r="O98" s="14">
        <f>N98*VLOOKUP('Données projet'!$B$9,Paramètres!$A$1:$I$88,3,0)*VLOOKUP('Données projet'!$B$9,Paramètres!$A$1:$I$88,5,0)</f>
        <v>160.82819999999992</v>
      </c>
      <c r="P98" s="14">
        <f t="shared" si="87"/>
        <v>41.02926206078601</v>
      </c>
      <c r="Q98" s="22">
        <f t="shared" si="54"/>
        <v>351.56841308920212</v>
      </c>
      <c r="R98" s="62">
        <f t="shared" si="55"/>
        <v>644.90174642253544</v>
      </c>
      <c r="S98" s="62">
        <f ca="1">AVERAGE(OFFSET($R$3,0,0,'Données projet'!$E$9+1,1))-AVERAGE(OFFSET($H$3,0,0,'Données projet'!$E$9+1,1))</f>
        <v>329.02356155998905</v>
      </c>
      <c r="T98" s="62">
        <f t="shared" si="88"/>
        <v>199.43308683696642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29.158210567263314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29.158210567263314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160.55473404658039</v>
      </c>
      <c r="AO98" s="62">
        <f t="shared" si="90"/>
        <v>188.70262429536223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38.122384996200381</v>
      </c>
      <c r="AV98" s="23">
        <f>EXP(-LN(2)/25)*AV97+(1-EXP(-LN(2)/25))/(LN(2)/25)*Calculateur!AQ98*Calculateur!AS98*VLOOKUP('Données projet'!$B$10,Paramètres!$A$1:$I$88,3,0)*0.475*44/12</f>
        <v>14.934442541452496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53.056827537652879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4.5474735088646412E-13</v>
      </c>
      <c r="BE98" s="14">
        <f>BD98*VLOOKUP('Données projet'!$B$11,Paramètres!$A$1:$I$88,3,0)*VLOOKUP('Données projet'!$B$11,Paramètres!$A$1:$I$88,5,0)</f>
        <v>2.5420376914553347E-13</v>
      </c>
      <c r="BF98" s="14">
        <f t="shared" si="91"/>
        <v>3.4258699088369875E-12</v>
      </c>
      <c r="BG98" s="22">
        <f t="shared" si="61"/>
        <v>6.4094616558195571E-12</v>
      </c>
      <c r="BH98" s="62">
        <f t="shared" si="62"/>
        <v>293.33333333333974</v>
      </c>
      <c r="BI98" s="62">
        <f ca="1">AVERAGE(OFFSET($BH$3,0,0,'Données projet'!$E$11+1,1))-AVERAGE(OFFSET($H$3,0,0,'Données projet'!$E$11+1,1))</f>
        <v>358.417829688045</v>
      </c>
      <c r="BJ98" s="62">
        <f t="shared" si="92"/>
        <v>394.03759949558713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130.63761953751614</v>
      </c>
      <c r="BQ98" s="23">
        <f>EXP(-LN(2)/25)*BQ97+(1-EXP(-LN(2)/25))/(LN(2)/25)*Calculateur!BL98*Calculateur!BN98*VLOOKUP('Données projet'!$B$11,Paramètres!$A$1:$I$88,3,0)*0.475*44/12</f>
        <v>46.012952719289032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176.65057225680516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projet'!$B$12,Paramètres!$A$1:$I$88,3,0)*VLOOKUP('Données projet'!$B$12,Paramètres!$A$1:$I$88,5,0)</f>
        <v>-1.3596945791505279E-13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405.42845699663462</v>
      </c>
      <c r="CE98" s="62">
        <f t="shared" si="94"/>
        <v>292.26503163353146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183.08782214601555</v>
      </c>
      <c r="CL98" s="23">
        <f>EXP(-LN(2)/25)*CL97+(1-EXP(-LN(2)/25))/(LN(2)/25)*Calculateur!CG98*Calculateur!CI98*VLOOKUP('Données projet'!$B$12,Paramètres!$A$1:$I$88,3,0)*0.475*44/12</f>
        <v>72.439579201638665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255.52740134765423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4.75</v>
      </c>
      <c r="N99" s="14">
        <f>IF('Données projet'!$A$36&gt;35,N98+M99-V98,IF(A99&lt;'Données projet'!$A$36,$K$205^A99,IF(A99='Données projet'!$A$36,'Données projet'!$B$36,N98+M99-V98)))</f>
        <v>182.49999999999994</v>
      </c>
      <c r="O99" s="14">
        <f>N99*VLOOKUP('Données projet'!$B$9,Paramètres!$A$1:$I$88,3,0)*VLOOKUP('Données projet'!$B$9,Paramètres!$A$1:$I$88,5,0)</f>
        <v>165.12599999999995</v>
      </c>
      <c r="P99" s="14">
        <f t="shared" si="87"/>
        <v>41.996568490108949</v>
      </c>
      <c r="Q99" s="22">
        <f t="shared" ref="Q99:Q130" si="107">(O99+P99)*0.475*44/12</f>
        <v>360.73847345360633</v>
      </c>
      <c r="R99" s="62">
        <f t="shared" si="55"/>
        <v>654.07180678693965</v>
      </c>
      <c r="S99" s="62">
        <f ca="1">AVERAGE(OFFSET($R$3,0,0,'Données projet'!$E$9+1,1))-AVERAGE(OFFSET($H$3,0,0,'Données projet'!$E$9+1,1))</f>
        <v>329.02356155998905</v>
      </c>
      <c r="T99" s="62">
        <f t="shared" si="88"/>
        <v>199.43308683696642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28.586435842791627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28.586435842791627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160.55473404658039</v>
      </c>
      <c r="AO99" s="62">
        <f t="shared" si="90"/>
        <v>188.70262429536223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37.37482827878376</v>
      </c>
      <c r="AV99" s="23">
        <f>EXP(-LN(2)/25)*AV98+(1-EXP(-LN(2)/25))/(LN(2)/25)*Calculateur!AQ99*Calculateur!AS99*VLOOKUP('Données projet'!$B$10,Paramètres!$A$1:$I$88,3,0)*0.475*44/12</f>
        <v>14.526059424788277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51.900887703572039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4.5474735088646412E-13</v>
      </c>
      <c r="BE99" s="14">
        <f>BD99*VLOOKUP('Données projet'!$B$11,Paramètres!$A$1:$I$88,3,0)*VLOOKUP('Données projet'!$B$11,Paramètres!$A$1:$I$88,5,0)</f>
        <v>2.5420376914553347E-13</v>
      </c>
      <c r="BF99" s="14">
        <f t="shared" si="91"/>
        <v>3.4258699088369875E-12</v>
      </c>
      <c r="BG99" s="22">
        <f t="shared" si="61"/>
        <v>6.4094616558195571E-12</v>
      </c>
      <c r="BH99" s="62">
        <f t="shared" si="62"/>
        <v>293.33333333333974</v>
      </c>
      <c r="BI99" s="62">
        <f ca="1">AVERAGE(OFFSET($BH$3,0,0,'Données projet'!$E$11+1,1))-AVERAGE(OFFSET($H$3,0,0,'Données projet'!$E$11+1,1))</f>
        <v>358.417829688045</v>
      </c>
      <c r="BJ99" s="62">
        <f t="shared" si="92"/>
        <v>394.03759949558713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128.07589549946553</v>
      </c>
      <c r="BQ99" s="23">
        <f>EXP(-LN(2)/25)*BQ98+(1-EXP(-LN(2)/25))/(LN(2)/25)*Calculateur!BL99*Calculateur!BN99*VLOOKUP('Données projet'!$B$11,Paramètres!$A$1:$I$88,3,0)*0.475*44/12</f>
        <v>44.754726107464052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172.83062160692958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projet'!$B$12,Paramètres!$A$1:$I$88,3,0)*VLOOKUP('Données projet'!$B$12,Paramètres!$A$1:$I$88,5,0)</f>
        <v>-1.3596945791505279E-13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405.42845699663462</v>
      </c>
      <c r="CE99" s="62">
        <f t="shared" si="94"/>
        <v>292.26503163353146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179.49758162627694</v>
      </c>
      <c r="CL99" s="23">
        <f>EXP(-LN(2)/25)*CL98+(1-EXP(-LN(2)/25))/(LN(2)/25)*Calculateur!CG99*Calculateur!CI99*VLOOKUP('Données projet'!$B$12,Paramètres!$A$1:$I$88,3,0)*0.475*44/12</f>
        <v>70.458715098937944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249.95629672521488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4.75</v>
      </c>
      <c r="N100" s="14">
        <f>IF('Données projet'!$A$36&gt;35,N99+M100-V99,IF(A100&lt;'Données projet'!$A$36,$K$205^A100,IF(A100='Données projet'!$A$36,'Données projet'!$B$36,N99+M100-V99)))</f>
        <v>187.24999999999994</v>
      </c>
      <c r="O100" s="14">
        <f>N100*VLOOKUP('Données projet'!$B$9,Paramètres!$A$1:$I$88,3,0)*VLOOKUP('Données projet'!$B$9,Paramètres!$A$1:$I$88,5,0)</f>
        <v>169.42379999999994</v>
      </c>
      <c r="P100" s="14">
        <f t="shared" si="87"/>
        <v>42.960948463994995</v>
      </c>
      <c r="Q100" s="22">
        <f t="shared" si="107"/>
        <v>369.90343690812443</v>
      </c>
      <c r="R100" s="62">
        <f t="shared" si="55"/>
        <v>663.23677024145775</v>
      </c>
      <c r="S100" s="62">
        <f ca="1">AVERAGE(OFFSET($R$3,0,0,'Données projet'!$E$9+1,1))-AVERAGE(OFFSET($H$3,0,0,'Données projet'!$E$9+1,1))</f>
        <v>329.02356155998905</v>
      </c>
      <c r="T100" s="62">
        <f t="shared" si="88"/>
        <v>199.43308683696642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28.025873271918684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28.025873271918684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160.55473404658039</v>
      </c>
      <c r="AO100" s="62">
        <f t="shared" si="90"/>
        <v>188.70262429536223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36.641930692631107</v>
      </c>
      <c r="AV100" s="23">
        <f>EXP(-LN(2)/25)*AV99+(1-EXP(-LN(2)/25))/(LN(2)/25)*Calculateur!AQ100*Calculateur!AS100*VLOOKUP('Données projet'!$B$10,Paramètres!$A$1:$I$88,3,0)*0.475*44/12</f>
        <v>14.128843565925177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50.770774258556287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4.5474735088646412E-13</v>
      </c>
      <c r="BE100" s="14">
        <f>BD100*VLOOKUP('Données projet'!$B$11,Paramètres!$A$1:$I$88,3,0)*VLOOKUP('Données projet'!$B$11,Paramètres!$A$1:$I$88,5,0)</f>
        <v>2.5420376914553347E-13</v>
      </c>
      <c r="BF100" s="14">
        <f t="shared" si="91"/>
        <v>3.4258699088369875E-12</v>
      </c>
      <c r="BG100" s="22">
        <f t="shared" si="61"/>
        <v>6.4094616558195571E-12</v>
      </c>
      <c r="BH100" s="62">
        <f t="shared" si="62"/>
        <v>293.33333333333974</v>
      </c>
      <c r="BI100" s="62">
        <f ca="1">AVERAGE(OFFSET($BH$3,0,0,'Données projet'!$E$11+1,1))-AVERAGE(OFFSET($H$3,0,0,'Données projet'!$E$11+1,1))</f>
        <v>358.417829688045</v>
      </c>
      <c r="BJ100" s="62">
        <f t="shared" si="92"/>
        <v>394.03759949558713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125.5644053073037</v>
      </c>
      <c r="BQ100" s="23">
        <f>EXP(-LN(2)/25)*BQ99+(1-EXP(-LN(2)/25))/(LN(2)/25)*Calculateur!BL100*Calculateur!BN100*VLOOKUP('Données projet'!$B$11,Paramètres!$A$1:$I$88,3,0)*0.475*44/12</f>
        <v>43.530905768506692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169.0953110758104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projet'!$B$12,Paramètres!$A$1:$I$88,3,0)*VLOOKUP('Données projet'!$B$12,Paramètres!$A$1:$I$88,5,0)</f>
        <v>-1.3596945791505279E-13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405.42845699663462</v>
      </c>
      <c r="CE100" s="62">
        <f t="shared" si="94"/>
        <v>292.26503163353146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175.97774353329993</v>
      </c>
      <c r="CL100" s="23">
        <f>EXP(-LN(2)/25)*CL99+(1-EXP(-LN(2)/25))/(LN(2)/25)*Calculateur!CG100*Calculateur!CI100*VLOOKUP('Données projet'!$B$12,Paramètres!$A$1:$I$88,3,0)*0.475*44/12</f>
        <v>68.532017829294688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244.50976136259462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4.75</v>
      </c>
      <c r="N101" s="14">
        <f>IF('Données projet'!$A$36&gt;35,N100+M101-V100,IF(A101&lt;'Données projet'!$A$36,$K$205^A101,IF(A101='Données projet'!$A$36,'Données projet'!$B$36,N100+M101-V100)))</f>
        <v>191.99999999999994</v>
      </c>
      <c r="O101" s="14">
        <f>N101*VLOOKUP('Données projet'!$B$9,Paramètres!$A$1:$I$88,3,0)*VLOOKUP('Données projet'!$B$9,Paramètres!$A$1:$I$88,5,0)</f>
        <v>173.72159999999994</v>
      </c>
      <c r="P101" s="14">
        <f t="shared" si="87"/>
        <v>43.922484755075111</v>
      </c>
      <c r="Q101" s="22">
        <f t="shared" si="107"/>
        <v>379.06344761508899</v>
      </c>
      <c r="R101" s="62">
        <f t="shared" si="55"/>
        <v>672.39678094842225</v>
      </c>
      <c r="S101" s="62">
        <f ca="1">AVERAGE(OFFSET($R$3,0,0,'Données projet'!$E$9+1,1))-AVERAGE(OFFSET($H$3,0,0,'Données projet'!$E$9+1,1))</f>
        <v>329.02356155998905</v>
      </c>
      <c r="T101" s="62">
        <f t="shared" si="88"/>
        <v>199.43308683696642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27.476302991151151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27.476302991151151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160.55473404658039</v>
      </c>
      <c r="AO101" s="62">
        <f t="shared" si="90"/>
        <v>188.70262429536223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35.923404781119515</v>
      </c>
      <c r="AV101" s="23">
        <f>EXP(-LN(2)/25)*AV100+(1-EXP(-LN(2)/25))/(LN(2)/25)*Calculateur!AQ101*Calculateur!AS101*VLOOKUP('Données projet'!$B$10,Paramètres!$A$1:$I$88,3,0)*0.475*44/12</f>
        <v>13.742489595611362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49.665894376730876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4.5474735088646412E-13</v>
      </c>
      <c r="BE101" s="14">
        <f>BD101*VLOOKUP('Données projet'!$B$11,Paramètres!$A$1:$I$88,3,0)*VLOOKUP('Données projet'!$B$11,Paramètres!$A$1:$I$88,5,0)</f>
        <v>2.5420376914553347E-13</v>
      </c>
      <c r="BF101" s="14">
        <f t="shared" si="91"/>
        <v>3.4258699088369875E-12</v>
      </c>
      <c r="BG101" s="22">
        <f t="shared" si="61"/>
        <v>6.4094616558195571E-12</v>
      </c>
      <c r="BH101" s="62">
        <f t="shared" si="62"/>
        <v>293.33333333333974</v>
      </c>
      <c r="BI101" s="62">
        <f ca="1">AVERAGE(OFFSET($BH$3,0,0,'Données projet'!$E$11+1,1))-AVERAGE(OFFSET($H$3,0,0,'Données projet'!$E$11+1,1))</f>
        <v>358.417829688045</v>
      </c>
      <c r="BJ101" s="62">
        <f t="shared" si="92"/>
        <v>394.03759949558713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123.10216390595241</v>
      </c>
      <c r="BQ101" s="23">
        <f>EXP(-LN(2)/25)*BQ100+(1-EXP(-LN(2)/25))/(LN(2)/25)*Calculateur!BL101*Calculateur!BN101*VLOOKUP('Données projet'!$B$11,Paramètres!$A$1:$I$88,3,0)*0.475*44/12</f>
        <v>42.340550861076032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165.44271476702843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projet'!$B$12,Paramètres!$A$1:$I$88,3,0)*VLOOKUP('Données projet'!$B$12,Paramètres!$A$1:$I$88,5,0)</f>
        <v>-1.3596945791505279E-13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405.42845699663462</v>
      </c>
      <c r="CE101" s="62">
        <f t="shared" si="94"/>
        <v>292.26503163353146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172.52692731843695</v>
      </c>
      <c r="CL101" s="23">
        <f>EXP(-LN(2)/25)*CL100+(1-EXP(-LN(2)/25))/(LN(2)/25)*Calculateur!CG101*Calculateur!CI101*VLOOKUP('Données projet'!$B$12,Paramètres!$A$1:$I$88,3,0)*0.475*44/12</f>
        <v>66.658006197810437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239.18493351624738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4.75</v>
      </c>
      <c r="N102" s="14">
        <f>IF('Données projet'!$A$36&gt;35,N101+M102-V101,IF(A102&lt;'Données projet'!$A$36,$K$205^A102,IF(A102='Données projet'!$A$36,'Données projet'!$B$36,N101+M102-V101)))</f>
        <v>196.74999999999994</v>
      </c>
      <c r="O102" s="14">
        <f>N102*VLOOKUP('Données projet'!$B$9,Paramètres!$A$1:$I$88,3,0)*VLOOKUP('Données projet'!$B$9,Paramètres!$A$1:$I$88,5,0)</f>
        <v>178.01939999999993</v>
      </c>
      <c r="P102" s="14">
        <f t="shared" si="87"/>
        <v>44.881255807003228</v>
      </c>
      <c r="Q102" s="22">
        <f t="shared" si="107"/>
        <v>388.21864219719714</v>
      </c>
      <c r="R102" s="62">
        <f t="shared" si="55"/>
        <v>681.5519755305304</v>
      </c>
      <c r="S102" s="62">
        <f ca="1">AVERAGE(OFFSET($R$3,0,0,'Données projet'!$E$9+1,1))-AVERAGE(OFFSET($H$3,0,0,'Données projet'!$E$9+1,1))</f>
        <v>329.02356155998905</v>
      </c>
      <c r="T102" s="62">
        <f t="shared" si="88"/>
        <v>199.43308683696642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26.937509448384699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26.937509448384699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160.55473404658039</v>
      </c>
      <c r="AO102" s="62">
        <f t="shared" si="90"/>
        <v>188.70262429536223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35.218968724475133</v>
      </c>
      <c r="AV102" s="23">
        <f>EXP(-LN(2)/25)*AV101+(1-EXP(-LN(2)/25))/(LN(2)/25)*Calculateur!AQ102*Calculateur!AS102*VLOOKUP('Données projet'!$B$10,Paramètres!$A$1:$I$88,3,0)*0.475*44/12</f>
        <v>13.36670049493325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48.585669219408381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4.5474735088646412E-13</v>
      </c>
      <c r="BE102" s="14">
        <f>BD102*VLOOKUP('Données projet'!$B$11,Paramètres!$A$1:$I$88,3,0)*VLOOKUP('Données projet'!$B$11,Paramètres!$A$1:$I$88,5,0)</f>
        <v>2.5420376914553347E-13</v>
      </c>
      <c r="BF102" s="14">
        <f t="shared" si="91"/>
        <v>3.4258699088369875E-12</v>
      </c>
      <c r="BG102" s="22">
        <f t="shared" si="61"/>
        <v>6.4094616558195571E-12</v>
      </c>
      <c r="BH102" s="62">
        <f t="shared" si="62"/>
        <v>293.33333333333974</v>
      </c>
      <c r="BI102" s="62">
        <f ca="1">AVERAGE(OFFSET($BH$3,0,0,'Données projet'!$E$11+1,1))-AVERAGE(OFFSET($H$3,0,0,'Données projet'!$E$11+1,1))</f>
        <v>358.417829688045</v>
      </c>
      <c r="BJ102" s="62">
        <f t="shared" si="92"/>
        <v>394.03759949558713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120.68820555666265</v>
      </c>
      <c r="BQ102" s="23">
        <f>EXP(-LN(2)/25)*BQ101+(1-EXP(-LN(2)/25))/(LN(2)/25)*Calculateur!BL102*Calculateur!BN102*VLOOKUP('Données projet'!$B$11,Paramètres!$A$1:$I$88,3,0)*0.475*44/12</f>
        <v>41.182746271187106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161.87095182784975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projet'!$B$12,Paramètres!$A$1:$I$88,3,0)*VLOOKUP('Données projet'!$B$12,Paramètres!$A$1:$I$88,5,0)</f>
        <v>-1.3596945791505279E-13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405.42845699663462</v>
      </c>
      <c r="CE102" s="62">
        <f t="shared" si="94"/>
        <v>292.26503163353146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169.14377950475736</v>
      </c>
      <c r="CL102" s="23">
        <f>EXP(-LN(2)/25)*CL101+(1-EXP(-LN(2)/25))/(LN(2)/25)*Calculateur!CG102*Calculateur!CI102*VLOOKUP('Données projet'!$B$12,Paramètres!$A$1:$I$88,3,0)*0.475*44/12</f>
        <v>64.835239512939111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233.97901901769649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4.75</v>
      </c>
      <c r="N103" s="14">
        <f>IF('Données projet'!$A$36&gt;35,N102+M103-V102,IF(A103&lt;'Données projet'!$A$36,$K$205^A103,IF(A103='Données projet'!$A$36,'Données projet'!$B$36,N102+M103-V102)))</f>
        <v>201.49999999999994</v>
      </c>
      <c r="O103" s="14">
        <f>N103*VLOOKUP('Données projet'!$B$9,Paramètres!$A$1:$I$88,3,0)*VLOOKUP('Données projet'!$B$9,Paramètres!$A$1:$I$88,5,0)</f>
        <v>182.31719999999996</v>
      </c>
      <c r="P103" s="14">
        <f t="shared" si="87"/>
        <v>45.83733605982632</v>
      </c>
      <c r="Q103" s="22">
        <f t="shared" si="107"/>
        <v>397.36915030419738</v>
      </c>
      <c r="R103" s="62">
        <f t="shared" si="55"/>
        <v>690.70248363753069</v>
      </c>
      <c r="S103" s="62">
        <f ca="1">AVERAGE(OFFSET($R$3,0,0,'Données projet'!$E$9+1,1))-AVERAGE(OFFSET($H$3,0,0,'Données projet'!$E$9+1,1))</f>
        <v>329.02356155998905</v>
      </c>
      <c r="T103" s="62">
        <f t="shared" si="88"/>
        <v>199.43308683696642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26.409281318360286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26.409281318360286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160.55473404658039</v>
      </c>
      <c r="AO103" s="62">
        <f t="shared" si="90"/>
        <v>188.70262429536223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34.528346229237982</v>
      </c>
      <c r="AV103" s="23">
        <f>EXP(-LN(2)/25)*AV102+(1-EXP(-LN(2)/25))/(LN(2)/25)*Calculateur!AQ103*Calculateur!AS103*VLOOKUP('Données projet'!$B$10,Paramètres!$A$1:$I$88,3,0)*0.475*44/12</f>
        <v>13.001187366975071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47.529533596213057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4.5474735088646412E-13</v>
      </c>
      <c r="BE103" s="14">
        <f>BD103*VLOOKUP('Données projet'!$B$11,Paramètres!$A$1:$I$88,3,0)*VLOOKUP('Données projet'!$B$11,Paramètres!$A$1:$I$88,5,0)</f>
        <v>2.5420376914553347E-13</v>
      </c>
      <c r="BF103" s="14">
        <f t="shared" si="91"/>
        <v>3.4258699088369875E-12</v>
      </c>
      <c r="BG103" s="22">
        <f t="shared" si="61"/>
        <v>6.4094616558195571E-12</v>
      </c>
      <c r="BH103" s="62">
        <f t="shared" si="62"/>
        <v>293.33333333333974</v>
      </c>
      <c r="BI103" s="62">
        <f ca="1">AVERAGE(OFFSET($BH$3,0,0,'Données projet'!$E$11+1,1))-AVERAGE(OFFSET($H$3,0,0,'Données projet'!$E$11+1,1))</f>
        <v>358.417829688045</v>
      </c>
      <c r="BJ103" s="62">
        <f t="shared" si="92"/>
        <v>394.03759949558713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118.32158345823325</v>
      </c>
      <c r="BQ103" s="23">
        <f>EXP(-LN(2)/25)*BQ102+(1-EXP(-LN(2)/25))/(LN(2)/25)*Calculateur!BL103*Calculateur!BN103*VLOOKUP('Données projet'!$B$11,Paramètres!$A$1:$I$88,3,0)*0.475*44/12</f>
        <v>40.056601908694994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158.37818536692825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projet'!$B$12,Paramètres!$A$1:$I$88,3,0)*VLOOKUP('Données projet'!$B$12,Paramètres!$A$1:$I$88,5,0)</f>
        <v>-1.3596945791505279E-13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405.42845699663462</v>
      </c>
      <c r="CE103" s="62">
        <f t="shared" si="94"/>
        <v>292.26503163353146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165.82697315618762</v>
      </c>
      <c r="CL103" s="23">
        <f>EXP(-LN(2)/25)*CL102+(1-EXP(-LN(2)/25))/(LN(2)/25)*Calculateur!CG103*Calculateur!CI103*VLOOKUP('Données projet'!$B$12,Paramètres!$A$1:$I$88,3,0)*0.475*44/12</f>
        <v>63.062316478920728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228.88928963510836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4.75</v>
      </c>
      <c r="N104" s="14">
        <f>IF('Données projet'!$A$36&gt;35,N103+M104-V103,IF(A104&lt;'Données projet'!$A$36,$K$205^A104,IF(A104='Données projet'!$A$36,'Données projet'!$B$36,N103+M104-V103)))</f>
        <v>206.24999999999994</v>
      </c>
      <c r="O104" s="14">
        <f>N104*VLOOKUP('Données projet'!$B$9,Paramètres!$A$1:$I$88,3,0)*VLOOKUP('Données projet'!$B$9,Paramètres!$A$1:$I$88,5,0)</f>
        <v>186.61499999999995</v>
      </c>
      <c r="P104" s="14">
        <f t="shared" si="87"/>
        <v>46.790796243809559</v>
      </c>
      <c r="Q104" s="22">
        <f t="shared" si="107"/>
        <v>406.51509512463485</v>
      </c>
      <c r="R104" s="62">
        <f t="shared" si="55"/>
        <v>699.84842845796811</v>
      </c>
      <c r="S104" s="62">
        <f ca="1">AVERAGE(OFFSET($R$3,0,0,'Données projet'!$E$9+1,1))-AVERAGE(OFFSET($H$3,0,0,'Données projet'!$E$9+1,1))</f>
        <v>329.02356155998905</v>
      </c>
      <c r="T104" s="62">
        <f t="shared" si="88"/>
        <v>199.43308683696642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25.891411419778304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25.891411419778304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160.55473404658039</v>
      </c>
      <c r="AO104" s="62">
        <f t="shared" si="90"/>
        <v>188.70262429536223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33.851266419894301</v>
      </c>
      <c r="AV104" s="23">
        <f>EXP(-LN(2)/25)*AV103+(1-EXP(-LN(2)/25))/(LN(2)/25)*Calculateur!AQ104*Calculateur!AS104*VLOOKUP('Données projet'!$B$10,Paramètres!$A$1:$I$88,3,0)*0.475*44/12</f>
        <v>12.645669214722409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46.496935634616712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4.5474735088646412E-13</v>
      </c>
      <c r="BE104" s="14">
        <f>BD104*VLOOKUP('Données projet'!$B$11,Paramètres!$A$1:$I$88,3,0)*VLOOKUP('Données projet'!$B$11,Paramètres!$A$1:$I$88,5,0)</f>
        <v>2.5420376914553347E-13</v>
      </c>
      <c r="BF104" s="14">
        <f t="shared" si="91"/>
        <v>3.4258699088369875E-12</v>
      </c>
      <c r="BG104" s="22">
        <f t="shared" si="61"/>
        <v>6.4094616558195571E-12</v>
      </c>
      <c r="BH104" s="62">
        <f t="shared" si="62"/>
        <v>293.33333333333974</v>
      </c>
      <c r="BI104" s="62">
        <f ca="1">AVERAGE(OFFSET($BH$3,0,0,'Données projet'!$E$11+1,1))-AVERAGE(OFFSET($H$3,0,0,'Données projet'!$E$11+1,1))</f>
        <v>358.417829688045</v>
      </c>
      <c r="BJ104" s="62">
        <f t="shared" si="92"/>
        <v>394.03759949558713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116.00136937565711</v>
      </c>
      <c r="BQ104" s="23">
        <f>EXP(-LN(2)/25)*BQ103+(1-EXP(-LN(2)/25))/(LN(2)/25)*Calculateur!BL104*Calculateur!BN104*VLOOKUP('Données projet'!$B$11,Paramètres!$A$1:$I$88,3,0)*0.475*44/12</f>
        <v>38.961252023016584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154.96262139867369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projet'!$B$12,Paramètres!$A$1:$I$88,3,0)*VLOOKUP('Données projet'!$B$12,Paramètres!$A$1:$I$88,5,0)</f>
        <v>-1.3596945791505279E-13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405.42845699663462</v>
      </c>
      <c r="CE104" s="62">
        <f t="shared" si="94"/>
        <v>292.26503163353146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162.57520735706123</v>
      </c>
      <c r="CL104" s="23">
        <f>EXP(-LN(2)/25)*CL103+(1-EXP(-LN(2)/25))/(LN(2)/25)*Calculateur!CG104*Calculateur!CI104*VLOOKUP('Données projet'!$B$12,Paramètres!$A$1:$I$88,3,0)*0.475*44/12</f>
        <v>61.337874118501546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223.91308147556276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>
        <f>VLOOKUP(A105,'Données projet'!$A$35:$I$55,2,0)</f>
        <v>211</v>
      </c>
      <c r="L105" s="13">
        <f>VLOOKUP(A105,'Données projet'!$A$35:$I$55,9,0)</f>
        <v>4.75</v>
      </c>
      <c r="M105" s="13">
        <f t="array" ref="M105">INDEX(L:L,MIN(IF(ISNUMBER(L105:L301),ROW(L105:L301),"")))</f>
        <v>4.75</v>
      </c>
      <c r="N105" s="14">
        <f>IF('Données projet'!$A$36&gt;35,N104+M105-V104,IF(A105&lt;'Données projet'!$A$36,$K$205^A105,IF(A105='Données projet'!$A$36,'Données projet'!$B$36,N104+M105-V104)))</f>
        <v>210.99999999999994</v>
      </c>
      <c r="O105" s="14">
        <f>N105*VLOOKUP('Données projet'!$B$9,Paramètres!$A$1:$I$88,3,0)*VLOOKUP('Données projet'!$B$9,Paramètres!$A$1:$I$88,5,0)</f>
        <v>190.91279999999992</v>
      </c>
      <c r="P105" s="14">
        <f t="shared" si="87"/>
        <v>47.741703645431606</v>
      </c>
      <c r="Q105" s="22">
        <f t="shared" si="107"/>
        <v>415.65659384912652</v>
      </c>
      <c r="R105" s="62">
        <f t="shared" si="55"/>
        <v>708.98992718245984</v>
      </c>
      <c r="S105" s="62">
        <f ca="1">AVERAGE(OFFSET($R$3,0,0,'Données projet'!$E$9+1,1))-AVERAGE(OFFSET($H$3,0,0,'Données projet'!$E$9+1,1))</f>
        <v>329.02356155998905</v>
      </c>
      <c r="T105" s="62">
        <f t="shared" si="88"/>
        <v>199.43308683696642</v>
      </c>
      <c r="U105" s="16">
        <f>IF(ISNA(VLOOKUP(A105,'Données projet'!$A$35:$I$55,3,0)),0,VLOOKUP(A105,'Données projet'!$A$35:$I$55,3,0))</f>
        <v>8</v>
      </c>
      <c r="V105" s="16">
        <f>IF(ISNA(VLOOKUP(A105,'Données projet'!$A$35:$I$55,4,0)),0,VLOOKUP(A105,'Données projet'!$A$35:$I$55,4,0))</f>
        <v>41</v>
      </c>
      <c r="W105" s="17">
        <f>IF(ISNA(VLOOKUP(A105,'Données projet'!$A$35:$I$55,5,0)),0%,VLOOKUP(A105,'Données projet'!$A$35:$I$55,5,0)*VLOOKUP('Données projet'!$B$9,Paramètres!$A$1:$I$88,7,0))</f>
        <v>0.25800000000000001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35.964125336506214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35.964125336506214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160.55473404658039</v>
      </c>
      <c r="AO105" s="62">
        <f t="shared" si="90"/>
        <v>188.70262429536223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33.187463732633944</v>
      </c>
      <c r="AV105" s="23">
        <f>EXP(-LN(2)/25)*AV104+(1-EXP(-LN(2)/25))/(LN(2)/25)*Calculateur!AQ105*Calculateur!AS105*VLOOKUP('Données projet'!$B$10,Paramètres!$A$1:$I$88,3,0)*0.475*44/12</f>
        <v>12.299872725038982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45.487336457672924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4.5474735088646412E-13</v>
      </c>
      <c r="BE105" s="14">
        <f>BD105*VLOOKUP('Données projet'!$B$11,Paramètres!$A$1:$I$88,3,0)*VLOOKUP('Données projet'!$B$11,Paramètres!$A$1:$I$88,5,0)</f>
        <v>2.5420376914553347E-13</v>
      </c>
      <c r="BF105" s="14">
        <f t="shared" si="91"/>
        <v>3.4258699088369875E-12</v>
      </c>
      <c r="BG105" s="22">
        <f t="shared" si="61"/>
        <v>6.4094616558195571E-12</v>
      </c>
      <c r="BH105" s="62">
        <f t="shared" si="62"/>
        <v>293.33333333333974</v>
      </c>
      <c r="BI105" s="62">
        <f ca="1">AVERAGE(OFFSET($BH$3,0,0,'Données projet'!$E$11+1,1))-AVERAGE(OFFSET($H$3,0,0,'Données projet'!$E$11+1,1))</f>
        <v>358.417829688045</v>
      </c>
      <c r="BJ105" s="62">
        <f t="shared" si="92"/>
        <v>394.03759949558713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113.72665327604943</v>
      </c>
      <c r="BQ105" s="23">
        <f>EXP(-LN(2)/25)*BQ104+(1-EXP(-LN(2)/25))/(LN(2)/25)*Calculateur!BL105*Calculateur!BN105*VLOOKUP('Données projet'!$B$11,Paramètres!$A$1:$I$88,3,0)*0.475*44/12</f>
        <v>37.895854537563999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151.62250781361342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projet'!$B$12,Paramètres!$A$1:$I$88,3,0)*VLOOKUP('Données projet'!$B$12,Paramètres!$A$1:$I$88,5,0)</f>
        <v>-1.3596945791505279E-13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405.42845699663462</v>
      </c>
      <c r="CE105" s="62">
        <f t="shared" si="94"/>
        <v>292.26503163353146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159.38720670187439</v>
      </c>
      <c r="CL105" s="23">
        <f>EXP(-LN(2)/25)*CL104+(1-EXP(-LN(2)/25))/(LN(2)/25)*Calculateur!CG105*Calculateur!CI105*VLOOKUP('Données projet'!$B$12,Paramètres!$A$1:$I$88,3,0)*0.475*44/12</f>
        <v>59.660586725112509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219.04779342698691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4.583333333333333</v>
      </c>
      <c r="N106" s="14">
        <f>IF('Données projet'!$A$36&gt;35,N105+M106-V105,IF(A106&lt;'Données projet'!$A$36,$K$205^A106,IF(A106='Données projet'!$A$36,'Données projet'!$B$36,N105+M106-V105)))</f>
        <v>174.58333333333329</v>
      </c>
      <c r="O106" s="14">
        <f>N106*VLOOKUP('Données projet'!$B$9,Paramètres!$A$1:$I$88,3,0)*VLOOKUP('Données projet'!$B$9,Paramètres!$A$1:$I$88,5,0)</f>
        <v>157.96299999999994</v>
      </c>
      <c r="P106" s="14">
        <f t="shared" si="87"/>
        <v>40.382722312649626</v>
      </c>
      <c r="Q106" s="22">
        <f t="shared" si="107"/>
        <v>345.45213302786465</v>
      </c>
      <c r="R106" s="62">
        <f t="shared" si="55"/>
        <v>638.7854663611979</v>
      </c>
      <c r="S106" s="62">
        <f ca="1">AVERAGE(OFFSET($R$3,0,0,'Données projet'!$E$9+1,1))-AVERAGE(OFFSET($H$3,0,0,'Données projet'!$E$9+1,1))</f>
        <v>329.02356155998905</v>
      </c>
      <c r="T106" s="62">
        <f t="shared" si="88"/>
        <v>199.43308683696642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35.258890774607785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35.258890774607785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160.55473404658039</v>
      </c>
      <c r="AO106" s="62">
        <f t="shared" si="90"/>
        <v>188.70262429536223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32.536677811191105</v>
      </c>
      <c r="AV106" s="23">
        <f>EXP(-LN(2)/25)*AV105+(1-EXP(-LN(2)/25))/(LN(2)/25)*Calculateur!AQ106*Calculateur!AS106*VLOOKUP('Données projet'!$B$10,Paramètres!$A$1:$I$88,3,0)*0.475*44/12</f>
        <v>11.963532058550596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44.500209869741703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4.5474735088646412E-13</v>
      </c>
      <c r="BE106" s="14">
        <f>BD106*VLOOKUP('Données projet'!$B$11,Paramètres!$A$1:$I$88,3,0)*VLOOKUP('Données projet'!$B$11,Paramètres!$A$1:$I$88,5,0)</f>
        <v>2.5420376914553347E-13</v>
      </c>
      <c r="BF106" s="14">
        <f t="shared" si="91"/>
        <v>3.4258699088369875E-12</v>
      </c>
      <c r="BG106" s="22">
        <f t="shared" si="61"/>
        <v>6.4094616558195571E-12</v>
      </c>
      <c r="BH106" s="62">
        <f t="shared" si="62"/>
        <v>293.33333333333974</v>
      </c>
      <c r="BI106" s="62">
        <f ca="1">AVERAGE(OFFSET($BH$3,0,0,'Données projet'!$E$11+1,1))-AVERAGE(OFFSET($H$3,0,0,'Données projet'!$E$11+1,1))</f>
        <v>358.417829688045</v>
      </c>
      <c r="BJ106" s="62">
        <f t="shared" si="92"/>
        <v>394.03759949558713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111.49654297171524</v>
      </c>
      <c r="BQ106" s="23">
        <f>EXP(-LN(2)/25)*BQ105+(1-EXP(-LN(2)/25))/(LN(2)/25)*Calculateur!BL106*Calculateur!BN106*VLOOKUP('Données projet'!$B$11,Paramètres!$A$1:$I$88,3,0)*0.475*44/12</f>
        <v>36.859590402377933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148.35613337409319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projet'!$B$12,Paramètres!$A$1:$I$88,3,0)*VLOOKUP('Données projet'!$B$12,Paramètres!$A$1:$I$88,5,0)</f>
        <v>-1.3596945791505279E-13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405.42845699663462</v>
      </c>
      <c r="CE106" s="62">
        <f t="shared" si="94"/>
        <v>292.26503163353146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156.26172079504738</v>
      </c>
      <c r="CL106" s="23">
        <f>EXP(-LN(2)/25)*CL105+(1-EXP(-LN(2)/25))/(LN(2)/25)*Calculateur!CG106*Calculateur!CI106*VLOOKUP('Données projet'!$B$12,Paramètres!$A$1:$I$88,3,0)*0.475*44/12</f>
        <v>58.029164843700407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214.2908856387478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4.583333333333333</v>
      </c>
      <c r="N107" s="14">
        <f>IF('Données projet'!$A$36&gt;35,N106+M107-V106,IF(A107&lt;'Données projet'!$A$36,$K$205^A107,IF(A107='Données projet'!$A$36,'Données projet'!$B$36,N106+M107-V106)))</f>
        <v>179.16666666666663</v>
      </c>
      <c r="O107" s="14">
        <f>N107*VLOOKUP('Données projet'!$B$9,Paramètres!$A$1:$I$88,3,0)*VLOOKUP('Données projet'!$B$9,Paramètres!$A$1:$I$88,5,0)</f>
        <v>162.10999999999996</v>
      </c>
      <c r="P107" s="14">
        <f t="shared" si="87"/>
        <v>41.318068304799908</v>
      </c>
      <c r="Q107" s="22">
        <f t="shared" si="107"/>
        <v>354.30388563085972</v>
      </c>
      <c r="R107" s="62">
        <f t="shared" si="55"/>
        <v>647.63721896419304</v>
      </c>
      <c r="S107" s="62">
        <f ca="1">AVERAGE(OFFSET($R$3,0,0,'Données projet'!$E$9+1,1))-AVERAGE(OFFSET($H$3,0,0,'Données projet'!$E$9+1,1))</f>
        <v>329.02356155998905</v>
      </c>
      <c r="T107" s="62">
        <f t="shared" si="88"/>
        <v>199.43308683696642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34.567485432317575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34.567485432317575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160.55473404658039</v>
      </c>
      <c r="AO107" s="62">
        <f t="shared" si="90"/>
        <v>188.70262429536223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31.89865340472754</v>
      </c>
      <c r="AV107" s="23">
        <f>EXP(-LN(2)/25)*AV106+(1-EXP(-LN(2)/25))/(LN(2)/25)*Calculateur!AQ107*Calculateur!AS107*VLOOKUP('Données projet'!$B$10,Paramètres!$A$1:$I$88,3,0)*0.475*44/12</f>
        <v>11.636388645274723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43.535042050002261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4.5474735088646412E-13</v>
      </c>
      <c r="BE107" s="14">
        <f>BD107*VLOOKUP('Données projet'!$B$11,Paramètres!$A$1:$I$88,3,0)*VLOOKUP('Données projet'!$B$11,Paramètres!$A$1:$I$88,5,0)</f>
        <v>2.5420376914553347E-13</v>
      </c>
      <c r="BF107" s="14">
        <f t="shared" si="91"/>
        <v>3.4258699088369875E-12</v>
      </c>
      <c r="BG107" s="22">
        <f t="shared" si="61"/>
        <v>6.4094616558195571E-12</v>
      </c>
      <c r="BH107" s="62">
        <f t="shared" si="62"/>
        <v>293.33333333333974</v>
      </c>
      <c r="BI107" s="62">
        <f ca="1">AVERAGE(OFFSET($BH$3,0,0,'Données projet'!$E$11+1,1))-AVERAGE(OFFSET($H$3,0,0,'Données projet'!$E$11+1,1))</f>
        <v>358.417829688045</v>
      </c>
      <c r="BJ107" s="62">
        <f t="shared" si="92"/>
        <v>394.03759949558713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109.31016377021606</v>
      </c>
      <c r="BQ107" s="23">
        <f>EXP(-LN(2)/25)*BQ106+(1-EXP(-LN(2)/25))/(LN(2)/25)*Calculateur!BL107*Calculateur!BN107*VLOOKUP('Données projet'!$B$11,Paramètres!$A$1:$I$88,3,0)*0.475*44/12</f>
        <v>35.851662964463294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145.16182673467935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projet'!$B$12,Paramètres!$A$1:$I$88,3,0)*VLOOKUP('Données projet'!$B$12,Paramètres!$A$1:$I$88,5,0)</f>
        <v>-1.3596945791505279E-13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405.42845699663462</v>
      </c>
      <c r="CE107" s="62">
        <f t="shared" si="94"/>
        <v>292.26503163353146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153.19752376049507</v>
      </c>
      <c r="CL107" s="23">
        <f>EXP(-LN(2)/25)*CL106+(1-EXP(-LN(2)/25))/(LN(2)/25)*Calculateur!CG107*Calculateur!CI107*VLOOKUP('Données projet'!$B$12,Paramètres!$A$1:$I$88,3,0)*0.475*44/12</f>
        <v>56.442354279428265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209.63987803992333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4.583333333333333</v>
      </c>
      <c r="N108" s="14">
        <f>IF('Données projet'!$A$36&gt;35,N107+M108-V107,IF(A108&lt;'Données projet'!$A$36,$K$205^A108,IF(A108='Données projet'!$A$36,'Données projet'!$B$36,N107+M108-V107)))</f>
        <v>183.74999999999997</v>
      </c>
      <c r="O108" s="14">
        <f>N108*VLOOKUP('Données projet'!$B$9,Paramètres!$A$1:$I$88,3,0)*VLOOKUP('Données projet'!$B$9,Paramètres!$A$1:$I$88,5,0)</f>
        <v>166.25699999999998</v>
      </c>
      <c r="P108" s="14">
        <f t="shared" si="87"/>
        <v>42.250632963064817</v>
      </c>
      <c r="Q108" s="22">
        <f t="shared" si="107"/>
        <v>363.15079407733782</v>
      </c>
      <c r="R108" s="62">
        <f t="shared" si="55"/>
        <v>656.48412741067114</v>
      </c>
      <c r="S108" s="62">
        <f ca="1">AVERAGE(OFFSET($R$3,0,0,'Données projet'!$E$9+1,1))-AVERAGE(OFFSET($H$3,0,0,'Données projet'!$E$9+1,1))</f>
        <v>329.02356155998905</v>
      </c>
      <c r="T108" s="62">
        <f t="shared" si="88"/>
        <v>199.43308683696642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33.889638127074058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33.889638127074058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160.55473404658039</v>
      </c>
      <c r="AO108" s="62">
        <f t="shared" si="90"/>
        <v>188.70262429536223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31.273140267718265</v>
      </c>
      <c r="AV108" s="23">
        <f>EXP(-LN(2)/25)*AV107+(1-EXP(-LN(2)/25))/(LN(2)/25)*Calculateur!AQ108*Calculateur!AS108*VLOOKUP('Données projet'!$B$10,Paramètres!$A$1:$I$88,3,0)*0.475*44/12</f>
        <v>11.318190985838601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42.591331253556866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4.5474735088646412E-13</v>
      </c>
      <c r="BE108" s="14">
        <f>BD108*VLOOKUP('Données projet'!$B$11,Paramètres!$A$1:$I$88,3,0)*VLOOKUP('Données projet'!$B$11,Paramètres!$A$1:$I$88,5,0)</f>
        <v>2.5420376914553347E-13</v>
      </c>
      <c r="BF108" s="14">
        <f t="shared" si="91"/>
        <v>3.4258699088369875E-12</v>
      </c>
      <c r="BG108" s="22">
        <f t="shared" si="61"/>
        <v>6.4094616558195571E-12</v>
      </c>
      <c r="BH108" s="62">
        <f t="shared" si="62"/>
        <v>293.33333333333974</v>
      </c>
      <c r="BI108" s="62">
        <f ca="1">AVERAGE(OFFSET($BH$3,0,0,'Données projet'!$E$11+1,1))-AVERAGE(OFFSET($H$3,0,0,'Données projet'!$E$11+1,1))</f>
        <v>358.417829688045</v>
      </c>
      <c r="BJ108" s="62">
        <f t="shared" si="92"/>
        <v>394.03759949558713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107.16665813129865</v>
      </c>
      <c r="BQ108" s="23">
        <f>EXP(-LN(2)/25)*BQ107+(1-EXP(-LN(2)/25))/(LN(2)/25)*Calculateur!BL108*Calculateur!BN108*VLOOKUP('Données projet'!$B$11,Paramètres!$A$1:$I$88,3,0)*0.475*44/12</f>
        <v>34.871297355343032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142.03795548664169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projet'!$B$12,Paramètres!$A$1:$I$88,3,0)*VLOOKUP('Données projet'!$B$12,Paramètres!$A$1:$I$88,5,0)</f>
        <v>-1.3596945791505279E-13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405.42845699663462</v>
      </c>
      <c r="CE108" s="62">
        <f t="shared" si="94"/>
        <v>292.26503163353146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150.19341376081471</v>
      </c>
      <c r="CL108" s="23">
        <f>EXP(-LN(2)/25)*CL107+(1-EXP(-LN(2)/25))/(LN(2)/25)*Calculateur!CG108*Calculateur!CI108*VLOOKUP('Données projet'!$B$12,Paramètres!$A$1:$I$88,3,0)*0.475*44/12</f>
        <v>54.898935133482887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205.0923488942976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4.583333333333333</v>
      </c>
      <c r="N109" s="14">
        <f>IF('Données projet'!$A$36&gt;35,N108+M109-V108,IF(A109&lt;'Données projet'!$A$36,$K$205^A109,IF(A109='Données projet'!$A$36,'Données projet'!$B$36,N108+M109-V108)))</f>
        <v>188.33333333333331</v>
      </c>
      <c r="O109" s="14">
        <f>N109*VLOOKUP('Données projet'!$B$9,Paramètres!$A$1:$I$88,3,0)*VLOOKUP('Données projet'!$B$9,Paramètres!$A$1:$I$88,5,0)</f>
        <v>170.404</v>
      </c>
      <c r="P109" s="14">
        <f t="shared" si="87"/>
        <v>43.180493642348132</v>
      </c>
      <c r="Q109" s="22">
        <f t="shared" si="107"/>
        <v>371.9929930937563</v>
      </c>
      <c r="R109" s="62">
        <f t="shared" si="55"/>
        <v>665.32632642708961</v>
      </c>
      <c r="S109" s="62">
        <f ca="1">AVERAGE(OFFSET($R$3,0,0,'Données projet'!$E$9+1,1))-AVERAGE(OFFSET($H$3,0,0,'Données projet'!$E$9+1,1))</f>
        <v>329.02356155998905</v>
      </c>
      <c r="T109" s="62">
        <f t="shared" si="88"/>
        <v>199.43308683696642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33.225082994040335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33.225082994040335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160.55473404658039</v>
      </c>
      <c r="AO109" s="62">
        <f t="shared" si="90"/>
        <v>188.70262429536223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30.6598930618004</v>
      </c>
      <c r="AV109" s="23">
        <f>EXP(-LN(2)/25)*AV108+(1-EXP(-LN(2)/25))/(LN(2)/25)*Calculateur!AQ109*Calculateur!AS109*VLOOKUP('Données projet'!$B$10,Paramètres!$A$1:$I$88,3,0)*0.475*44/12</f>
        <v>11.008694458133048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41.668587519933446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4.5474735088646412E-13</v>
      </c>
      <c r="BE109" s="14">
        <f>BD109*VLOOKUP('Données projet'!$B$11,Paramètres!$A$1:$I$88,3,0)*VLOOKUP('Données projet'!$B$11,Paramètres!$A$1:$I$88,5,0)</f>
        <v>2.5420376914553347E-13</v>
      </c>
      <c r="BF109" s="14">
        <f t="shared" si="91"/>
        <v>3.4258699088369875E-12</v>
      </c>
      <c r="BG109" s="22">
        <f t="shared" si="61"/>
        <v>6.4094616558195571E-12</v>
      </c>
      <c r="BH109" s="62">
        <f t="shared" si="62"/>
        <v>293.33333333333974</v>
      </c>
      <c r="BI109" s="62">
        <f ca="1">AVERAGE(OFFSET($BH$3,0,0,'Données projet'!$E$11+1,1))-AVERAGE(OFFSET($H$3,0,0,'Données projet'!$E$11+1,1))</f>
        <v>358.417829688045</v>
      </c>
      <c r="BJ109" s="62">
        <f t="shared" si="92"/>
        <v>394.03759949558713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105.06518533055106</v>
      </c>
      <c r="BQ109" s="23">
        <f>EXP(-LN(2)/25)*BQ108+(1-EXP(-LN(2)/25))/(LN(2)/25)*Calculateur!BL109*Calculateur!BN109*VLOOKUP('Données projet'!$B$11,Paramètres!$A$1:$I$88,3,0)*0.475*44/12</f>
        <v>33.917739895359347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138.98292522591041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projet'!$B$12,Paramètres!$A$1:$I$88,3,0)*VLOOKUP('Données projet'!$B$12,Paramètres!$A$1:$I$88,5,0)</f>
        <v>-1.3596945791505279E-13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405.42845699663462</v>
      </c>
      <c r="CE109" s="62">
        <f t="shared" si="94"/>
        <v>292.26503163353146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147.24821252590189</v>
      </c>
      <c r="CL109" s="23">
        <f>EXP(-LN(2)/25)*CL108+(1-EXP(-LN(2)/25))/(LN(2)/25)*Calculateur!CG109*Calculateur!CI109*VLOOKUP('Données projet'!$B$12,Paramètres!$A$1:$I$88,3,0)*0.475*44/12</f>
        <v>53.397720865248274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200.64593339115015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4.583333333333333</v>
      </c>
      <c r="N110" s="14">
        <f>IF('Données projet'!$A$36&gt;35,N109+M110-V109,IF(A110&lt;'Données projet'!$A$36,$K$205^A110,IF(A110='Données projet'!$A$36,'Données projet'!$B$36,N109+M110-V109)))</f>
        <v>192.91666666666666</v>
      </c>
      <c r="O110" s="14">
        <f>N110*VLOOKUP('Données projet'!$B$9,Paramètres!$A$1:$I$88,3,0)*VLOOKUP('Données projet'!$B$9,Paramètres!$A$1:$I$88,5,0)</f>
        <v>174.55099999999999</v>
      </c>
      <c r="P110" s="14">
        <f t="shared" si="87"/>
        <v>44.107723717819333</v>
      </c>
      <c r="Q110" s="22">
        <f t="shared" si="107"/>
        <v>380.83061047520192</v>
      </c>
      <c r="R110" s="62">
        <f t="shared" si="55"/>
        <v>674.16394380853524</v>
      </c>
      <c r="S110" s="62">
        <f ca="1">AVERAGE(OFFSET($R$3,0,0,'Données projet'!$E$9+1,1))-AVERAGE(OFFSET($H$3,0,0,'Données projet'!$E$9+1,1))</f>
        <v>329.02356155998905</v>
      </c>
      <c r="T110" s="62">
        <f t="shared" si="88"/>
        <v>199.43308683696642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32.573559381826797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32.573559381826797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160.55473404658039</v>
      </c>
      <c r="AO110" s="62">
        <f t="shared" si="90"/>
        <v>188.70262429536223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30.05867125954672</v>
      </c>
      <c r="AV110" s="23">
        <f>EXP(-LN(2)/25)*AV109+(1-EXP(-LN(2)/25))/(LN(2)/25)*Calculateur!AQ110*Calculateur!AS110*VLOOKUP('Données projet'!$B$10,Paramètres!$A$1:$I$88,3,0)*0.475*44/12</f>
        <v>10.707661129253319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40.766332388800038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4.5474735088646412E-13</v>
      </c>
      <c r="BE110" s="14">
        <f>BD110*VLOOKUP('Données projet'!$B$11,Paramètres!$A$1:$I$88,3,0)*VLOOKUP('Données projet'!$B$11,Paramètres!$A$1:$I$88,5,0)</f>
        <v>2.5420376914553347E-13</v>
      </c>
      <c r="BF110" s="14">
        <f t="shared" si="91"/>
        <v>3.4258699088369875E-12</v>
      </c>
      <c r="BG110" s="22">
        <f t="shared" si="61"/>
        <v>6.4094616558195571E-12</v>
      </c>
      <c r="BH110" s="62">
        <f t="shared" si="62"/>
        <v>293.33333333333974</v>
      </c>
      <c r="BI110" s="62">
        <f ca="1">AVERAGE(OFFSET($BH$3,0,0,'Données projet'!$E$11+1,1))-AVERAGE(OFFSET($H$3,0,0,'Données projet'!$E$11+1,1))</f>
        <v>358.417829688045</v>
      </c>
      <c r="BJ110" s="62">
        <f t="shared" si="92"/>
        <v>394.03759949558713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103.00492112965429</v>
      </c>
      <c r="BQ110" s="23">
        <f>EXP(-LN(2)/25)*BQ109+(1-EXP(-LN(2)/25))/(LN(2)/25)*Calculateur!BL110*Calculateur!BN110*VLOOKUP('Données projet'!$B$11,Paramètres!$A$1:$I$88,3,0)*0.475*44/12</f>
        <v>32.990257514264322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135.99517864391862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projet'!$B$12,Paramètres!$A$1:$I$88,3,0)*VLOOKUP('Données projet'!$B$12,Paramètres!$A$1:$I$88,5,0)</f>
        <v>-1.3596945791505279E-13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405.42845699663462</v>
      </c>
      <c r="CE110" s="62">
        <f t="shared" si="94"/>
        <v>292.26503163353146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144.36076489081034</v>
      </c>
      <c r="CL110" s="23">
        <f>EXP(-LN(2)/25)*CL109+(1-EXP(-LN(2)/25))/(LN(2)/25)*Calculateur!CG110*Calculateur!CI110*VLOOKUP('Données projet'!$B$12,Paramètres!$A$1:$I$88,3,0)*0.475*44/12</f>
        <v>51.937557380123963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196.29832227093431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4.583333333333333</v>
      </c>
      <c r="N111" s="14">
        <f>IF('Données projet'!$A$36&gt;35,N110+M111-V110,IF(A111&lt;'Données projet'!$A$36,$K$205^A111,IF(A111='Données projet'!$A$36,'Données projet'!$B$36,N110+M111-V110)))</f>
        <v>197.5</v>
      </c>
      <c r="O111" s="14">
        <f>N111*VLOOKUP('Données projet'!$B$9,Paramètres!$A$1:$I$88,3,0)*VLOOKUP('Données projet'!$B$9,Paramètres!$A$1:$I$88,5,0)</f>
        <v>178.69800000000001</v>
      </c>
      <c r="P111" s="14">
        <f t="shared" si="87"/>
        <v>45.032392879276927</v>
      </c>
      <c r="Q111" s="22">
        <f t="shared" si="107"/>
        <v>389.66376759807395</v>
      </c>
      <c r="R111" s="62">
        <f t="shared" si="55"/>
        <v>682.9971009314072</v>
      </c>
      <c r="S111" s="62">
        <f ca="1">AVERAGE(OFFSET($R$3,0,0,'Données projet'!$E$9+1,1))-AVERAGE(OFFSET($H$3,0,0,'Données projet'!$E$9+1,1))</f>
        <v>329.02356155998905</v>
      </c>
      <c r="T111" s="62">
        <f t="shared" si="88"/>
        <v>199.43308683696642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31.934811750258604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31.934811750258604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160.55473404658039</v>
      </c>
      <c r="AO111" s="62">
        <f t="shared" si="90"/>
        <v>188.70262429536223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29.469239050126149</v>
      </c>
      <c r="AV111" s="23">
        <f>EXP(-LN(2)/25)*AV110+(1-EXP(-LN(2)/25))/(LN(2)/25)*Calculateur!AQ111*Calculateur!AS111*VLOOKUP('Données projet'!$B$10,Paramètres!$A$1:$I$88,3,0)*0.475*44/12</f>
        <v>10.414859572582461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39.884098622708606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4.5474735088646412E-13</v>
      </c>
      <c r="BE111" s="14">
        <f>BD111*VLOOKUP('Données projet'!$B$11,Paramètres!$A$1:$I$88,3,0)*VLOOKUP('Données projet'!$B$11,Paramètres!$A$1:$I$88,5,0)</f>
        <v>2.5420376914553347E-13</v>
      </c>
      <c r="BF111" s="14">
        <f t="shared" si="91"/>
        <v>3.4258699088369875E-12</v>
      </c>
      <c r="BG111" s="22">
        <f t="shared" si="61"/>
        <v>6.4094616558195571E-12</v>
      </c>
      <c r="BH111" s="62">
        <f t="shared" si="62"/>
        <v>293.33333333333974</v>
      </c>
      <c r="BI111" s="62">
        <f ca="1">AVERAGE(OFFSET($BH$3,0,0,'Données projet'!$E$11+1,1))-AVERAGE(OFFSET($H$3,0,0,'Données projet'!$E$11+1,1))</f>
        <v>358.417829688045</v>
      </c>
      <c r="BJ111" s="62">
        <f t="shared" si="92"/>
        <v>394.03759949558713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100.98505745310003</v>
      </c>
      <c r="BQ111" s="23">
        <f>EXP(-LN(2)/25)*BQ110+(1-EXP(-LN(2)/25))/(LN(2)/25)*Calculateur!BL111*Calculateur!BN111*VLOOKUP('Données projet'!$B$11,Paramètres!$A$1:$I$88,3,0)*0.475*44/12</f>
        <v>32.088137187654524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133.07319464075454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projet'!$B$12,Paramètres!$A$1:$I$88,3,0)*VLOOKUP('Données projet'!$B$12,Paramètres!$A$1:$I$88,5,0)</f>
        <v>-1.3596945791505279E-13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405.42845699663462</v>
      </c>
      <c r="CE111" s="62">
        <f t="shared" si="94"/>
        <v>292.26503163353146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141.52993834267377</v>
      </c>
      <c r="CL111" s="23">
        <f>EXP(-LN(2)/25)*CL110+(1-EXP(-LN(2)/25))/(LN(2)/25)*Calculateur!CG111*Calculateur!CI111*VLOOKUP('Données projet'!$B$12,Paramètres!$A$1:$I$88,3,0)*0.475*44/12</f>
        <v>50.517322142287036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192.04726048496082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4.583333333333333</v>
      </c>
      <c r="N112" s="14">
        <f>IF('Données projet'!$A$36&gt;35,N111+M112-V111,IF(A112&lt;'Données projet'!$A$36,$K$205^A112,IF(A112='Données projet'!$A$36,'Données projet'!$B$36,N111+M112-V111)))</f>
        <v>202.08333333333334</v>
      </c>
      <c r="O112" s="14">
        <f>N112*VLOOKUP('Données projet'!$B$9,Paramètres!$A$1:$I$88,3,0)*VLOOKUP('Données projet'!$B$9,Paramètres!$A$1:$I$88,5,0)</f>
        <v>182.845</v>
      </c>
      <c r="P112" s="14">
        <f t="shared" si="87"/>
        <v>45.954567397416497</v>
      </c>
      <c r="Q112" s="22">
        <f t="shared" si="107"/>
        <v>398.49257988383374</v>
      </c>
      <c r="R112" s="62">
        <f t="shared" si="55"/>
        <v>691.825913217167</v>
      </c>
      <c r="S112" s="62">
        <f ca="1">AVERAGE(OFFSET($R$3,0,0,'Données projet'!$E$9+1,1))-AVERAGE(OFFSET($H$3,0,0,'Données projet'!$E$9+1,1))</f>
        <v>329.02356155998905</v>
      </c>
      <c r="T112" s="62">
        <f t="shared" si="88"/>
        <v>199.43308683696642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31.308589570147877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31.308589570147877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160.55473404658039</v>
      </c>
      <c r="AO112" s="62">
        <f t="shared" si="90"/>
        <v>188.70262429536223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28.891365246814164</v>
      </c>
      <c r="AV112" s="23">
        <f>EXP(-LN(2)/25)*AV111+(1-EXP(-LN(2)/25))/(LN(2)/25)*Calculateur!AQ112*Calculateur!AS112*VLOOKUP('Données projet'!$B$10,Paramètres!$A$1:$I$88,3,0)*0.475*44/12</f>
        <v>10.130064689876532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39.021429936690694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4.5474735088646412E-13</v>
      </c>
      <c r="BE112" s="14">
        <f>BD112*VLOOKUP('Données projet'!$B$11,Paramètres!$A$1:$I$88,3,0)*VLOOKUP('Données projet'!$B$11,Paramètres!$A$1:$I$88,5,0)</f>
        <v>2.5420376914553347E-13</v>
      </c>
      <c r="BF112" s="14">
        <f t="shared" si="91"/>
        <v>3.4258699088369875E-12</v>
      </c>
      <c r="BG112" s="22">
        <f t="shared" si="61"/>
        <v>6.4094616558195571E-12</v>
      </c>
      <c r="BH112" s="62">
        <f t="shared" si="62"/>
        <v>293.33333333333974</v>
      </c>
      <c r="BI112" s="62">
        <f ca="1">AVERAGE(OFFSET($BH$3,0,0,'Données projet'!$E$11+1,1))-AVERAGE(OFFSET($H$3,0,0,'Données projet'!$E$11+1,1))</f>
        <v>358.417829688045</v>
      </c>
      <c r="BJ112" s="62">
        <f t="shared" si="92"/>
        <v>394.03759949558713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99.004802071247795</v>
      </c>
      <c r="BQ112" s="23">
        <f>EXP(-LN(2)/25)*BQ111+(1-EXP(-LN(2)/25))/(LN(2)/25)*Calculateur!BL112*Calculateur!BN112*VLOOKUP('Données projet'!$B$11,Paramètres!$A$1:$I$88,3,0)*0.475*44/12</f>
        <v>31.210685388816316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130.21548746006411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projet'!$B$12,Paramètres!$A$1:$I$88,3,0)*VLOOKUP('Données projet'!$B$12,Paramètres!$A$1:$I$88,5,0)</f>
        <v>-1.3596945791505279E-13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405.42845699663462</v>
      </c>
      <c r="CE112" s="62">
        <f t="shared" si="94"/>
        <v>292.26503163353146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138.75462257651247</v>
      </c>
      <c r="CL112" s="23">
        <f>EXP(-LN(2)/25)*CL111+(1-EXP(-LN(2)/25))/(LN(2)/25)*Calculateur!CG112*Calculateur!CI112*VLOOKUP('Données projet'!$B$12,Paramètres!$A$1:$I$88,3,0)*0.475*44/12</f>
        <v>49.135923311715686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187.89054588822816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4.583333333333333</v>
      </c>
      <c r="N113" s="14">
        <f>IF('Données projet'!$A$36&gt;35,N112+M113-V112,IF(A113&lt;'Données projet'!$A$36,$K$205^A113,IF(A113='Données projet'!$A$36,'Données projet'!$B$36,N112+M113-V112)))</f>
        <v>206.66666666666669</v>
      </c>
      <c r="O113" s="14">
        <f>N113*VLOOKUP('Données projet'!$B$9,Paramètres!$A$1:$I$88,3,0)*VLOOKUP('Données projet'!$B$9,Paramètres!$A$1:$I$88,5,0)</f>
        <v>186.99200000000002</v>
      </c>
      <c r="P113" s="14">
        <f t="shared" si="87"/>
        <v>46.87431036526138</v>
      </c>
      <c r="Q113" s="22">
        <f t="shared" si="107"/>
        <v>407.31715721949689</v>
      </c>
      <c r="R113" s="62">
        <f t="shared" si="55"/>
        <v>700.65049055283021</v>
      </c>
      <c r="S113" s="62">
        <f ca="1">AVERAGE(OFFSET($R$3,0,0,'Données projet'!$E$9+1,1))-AVERAGE(OFFSET($H$3,0,0,'Données projet'!$E$9+1,1))</f>
        <v>329.02356155998905</v>
      </c>
      <c r="T113" s="62">
        <f t="shared" si="88"/>
        <v>199.43308683696642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30.694647225031307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30.694647225031307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160.55473404658039</v>
      </c>
      <c r="AO113" s="62">
        <f t="shared" si="90"/>
        <v>188.70262429536223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28.324823196316913</v>
      </c>
      <c r="AV113" s="23">
        <f>EXP(-LN(2)/25)*AV112+(1-EXP(-LN(2)/25))/(LN(2)/25)*Calculateur!AQ113*Calculateur!AS113*VLOOKUP('Données projet'!$B$10,Paramètres!$A$1:$I$88,3,0)*0.475*44/12</f>
        <v>9.8530575382149088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38.177880734531826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4.5474735088646412E-13</v>
      </c>
      <c r="BE113" s="14">
        <f>BD113*VLOOKUP('Données projet'!$B$11,Paramètres!$A$1:$I$88,3,0)*VLOOKUP('Données projet'!$B$11,Paramètres!$A$1:$I$88,5,0)</f>
        <v>2.5420376914553347E-13</v>
      </c>
      <c r="BF113" s="14">
        <f t="shared" si="91"/>
        <v>3.4258699088369875E-12</v>
      </c>
      <c r="BG113" s="22">
        <f t="shared" si="61"/>
        <v>6.4094616558195571E-12</v>
      </c>
      <c r="BH113" s="62">
        <f t="shared" si="62"/>
        <v>293.33333333333974</v>
      </c>
      <c r="BI113" s="62">
        <f ca="1">AVERAGE(OFFSET($BH$3,0,0,'Données projet'!$E$11+1,1))-AVERAGE(OFFSET($H$3,0,0,'Données projet'!$E$11+1,1))</f>
        <v>358.417829688045</v>
      </c>
      <c r="BJ113" s="62">
        <f t="shared" si="92"/>
        <v>394.03759949558713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97.063378289597168</v>
      </c>
      <c r="BQ113" s="23">
        <f>EXP(-LN(2)/25)*BQ112+(1-EXP(-LN(2)/25))/(LN(2)/25)*Calculateur!BL113*Calculateur!BN113*VLOOKUP('Données projet'!$B$11,Paramètres!$A$1:$I$88,3,0)*0.475*44/12</f>
        <v>30.357227555560524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127.4206058451577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projet'!$B$12,Paramètres!$A$1:$I$88,3,0)*VLOOKUP('Données projet'!$B$12,Paramètres!$A$1:$I$88,5,0)</f>
        <v>-1.3596945791505279E-13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405.42845699663462</v>
      </c>
      <c r="CE113" s="62">
        <f t="shared" si="94"/>
        <v>292.26503163353146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136.03372905975013</v>
      </c>
      <c r="CL113" s="23">
        <f>EXP(-LN(2)/25)*CL112+(1-EXP(-LN(2)/25))/(LN(2)/25)*Calculateur!CG113*Calculateur!CI113*VLOOKUP('Données projet'!$B$12,Paramètres!$A$1:$I$88,3,0)*0.475*44/12</f>
        <v>47.792298904810913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183.82602796456104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4.583333333333333</v>
      </c>
      <c r="N114" s="14">
        <f>IF('Données projet'!$A$36&gt;35,N113+M114-V113,IF(A114&lt;'Données projet'!$A$36,$K$205^A114,IF(A114='Données projet'!$A$36,'Données projet'!$B$36,N113+M114-V113)))</f>
        <v>211.25000000000003</v>
      </c>
      <c r="O114" s="14">
        <f>N114*VLOOKUP('Données projet'!$B$9,Paramètres!$A$1:$I$88,3,0)*VLOOKUP('Données projet'!$B$9,Paramètres!$A$1:$I$88,5,0)</f>
        <v>191.13900000000001</v>
      </c>
      <c r="P114" s="14">
        <f t="shared" si="87"/>
        <v>47.791681917572546</v>
      </c>
      <c r="Q114" s="22">
        <f t="shared" si="107"/>
        <v>416.13760433977217</v>
      </c>
      <c r="R114" s="62">
        <f t="shared" si="55"/>
        <v>709.47093767310548</v>
      </c>
      <c r="S114" s="62">
        <f ca="1">AVERAGE(OFFSET($R$3,0,0,'Données projet'!$E$9+1,1))-AVERAGE(OFFSET($H$3,0,0,'Données projet'!$E$9+1,1))</f>
        <v>329.02356155998905</v>
      </c>
      <c r="T114" s="62">
        <f t="shared" si="88"/>
        <v>199.43308683696642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30.092743914834617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30.092743914834617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160.55473404658039</v>
      </c>
      <c r="AO114" s="62">
        <f t="shared" si="90"/>
        <v>188.70262429536223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27.769390689873383</v>
      </c>
      <c r="AV114" s="23">
        <f>EXP(-LN(2)/25)*AV113+(1-EXP(-LN(2)/25))/(LN(2)/25)*Calculateur!AQ114*Calculateur!AS114*VLOOKUP('Données projet'!$B$10,Paramètres!$A$1:$I$88,3,0)*0.475*44/12</f>
        <v>9.5836251616826456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37.35301585155603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4.5474735088646412E-13</v>
      </c>
      <c r="BE114" s="14">
        <f>BD114*VLOOKUP('Données projet'!$B$11,Paramètres!$A$1:$I$88,3,0)*VLOOKUP('Données projet'!$B$11,Paramètres!$A$1:$I$88,5,0)</f>
        <v>2.5420376914553347E-13</v>
      </c>
      <c r="BF114" s="14">
        <f t="shared" si="91"/>
        <v>3.4258699088369875E-12</v>
      </c>
      <c r="BG114" s="22">
        <f t="shared" si="61"/>
        <v>6.4094616558195571E-12</v>
      </c>
      <c r="BH114" s="62">
        <f t="shared" si="62"/>
        <v>293.33333333333974</v>
      </c>
      <c r="BI114" s="62">
        <f ca="1">AVERAGE(OFFSET($BH$3,0,0,'Données projet'!$E$11+1,1))-AVERAGE(OFFSET($H$3,0,0,'Données projet'!$E$11+1,1))</f>
        <v>358.417829688045</v>
      </c>
      <c r="BJ114" s="62">
        <f t="shared" si="92"/>
        <v>394.03759949558713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95.160024644153125</v>
      </c>
      <c r="BQ114" s="23">
        <f>EXP(-LN(2)/25)*BQ113+(1-EXP(-LN(2)/25))/(LN(2)/25)*Calculateur!BL114*Calculateur!BN114*VLOOKUP('Données projet'!$B$11,Paramètres!$A$1:$I$88,3,0)*0.475*44/12</f>
        <v>29.527107571636506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124.68713221578963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projet'!$B$12,Paramètres!$A$1:$I$88,3,0)*VLOOKUP('Données projet'!$B$12,Paramètres!$A$1:$I$88,5,0)</f>
        <v>-1.3596945791505279E-13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405.42845699663462</v>
      </c>
      <c r="CE114" s="62">
        <f t="shared" si="94"/>
        <v>292.26503163353146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133.3661906052703</v>
      </c>
      <c r="CL114" s="23">
        <f>EXP(-LN(2)/25)*CL113+(1-EXP(-LN(2)/25))/(LN(2)/25)*Calculateur!CG114*Calculateur!CI114*VLOOKUP('Données projet'!$B$12,Paramètres!$A$1:$I$88,3,0)*0.475*44/12</f>
        <v>46.485415977971087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179.85160658324139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4.583333333333333</v>
      </c>
      <c r="N115" s="14">
        <f>IF('Données projet'!$A$36&gt;35,N114+M115-V114,IF(A115&lt;'Données projet'!$A$36,$K$205^A115,IF(A115='Données projet'!$A$36,'Données projet'!$B$36,N114+M115-V114)))</f>
        <v>215.83333333333337</v>
      </c>
      <c r="O115" s="14">
        <f>N115*VLOOKUP('Données projet'!$B$9,Paramètres!$A$1:$I$88,3,0)*VLOOKUP('Données projet'!$B$9,Paramètres!$A$1:$I$88,5,0)</f>
        <v>195.28600000000003</v>
      </c>
      <c r="P115" s="14">
        <f t="shared" si="87"/>
        <v>48.70673943067964</v>
      </c>
      <c r="Q115" s="22">
        <f t="shared" si="107"/>
        <v>424.95402117510042</v>
      </c>
      <c r="R115" s="62">
        <f t="shared" si="55"/>
        <v>718.28735450843374</v>
      </c>
      <c r="S115" s="62">
        <f ca="1">AVERAGE(OFFSET($R$3,0,0,'Données projet'!$E$9+1,1))-AVERAGE(OFFSET($H$3,0,0,'Données projet'!$E$9+1,1))</f>
        <v>329.02356155998905</v>
      </c>
      <c r="T115" s="62">
        <f t="shared" si="88"/>
        <v>199.43308683696642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29.502643561426115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29.502643561426115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160.55473404658039</v>
      </c>
      <c r="AO115" s="62">
        <f t="shared" si="90"/>
        <v>188.70262429536223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27.224849876100834</v>
      </c>
      <c r="AV115" s="23">
        <f>EXP(-LN(2)/25)*AV114+(1-EXP(-LN(2)/25))/(LN(2)/25)*Calculateur!AQ115*Calculateur!AS115*VLOOKUP('Données projet'!$B$10,Paramètres!$A$1:$I$88,3,0)*0.475*44/12</f>
        <v>9.3215604276554895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36.546410303756325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4.5474735088646412E-13</v>
      </c>
      <c r="BE115" s="14">
        <f>BD115*VLOOKUP('Données projet'!$B$11,Paramètres!$A$1:$I$88,3,0)*VLOOKUP('Données projet'!$B$11,Paramètres!$A$1:$I$88,5,0)</f>
        <v>2.5420376914553347E-13</v>
      </c>
      <c r="BF115" s="14">
        <f t="shared" si="91"/>
        <v>3.4258699088369875E-12</v>
      </c>
      <c r="BG115" s="22">
        <f t="shared" si="61"/>
        <v>6.4094616558195571E-12</v>
      </c>
      <c r="BH115" s="62">
        <f t="shared" si="62"/>
        <v>293.33333333333974</v>
      </c>
      <c r="BI115" s="62">
        <f ca="1">AVERAGE(OFFSET($BH$3,0,0,'Données projet'!$E$11+1,1))-AVERAGE(OFFSET($H$3,0,0,'Données projet'!$E$11+1,1))</f>
        <v>358.417829688045</v>
      </c>
      <c r="BJ115" s="62">
        <f t="shared" si="92"/>
        <v>394.03759949558713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93.293994602765153</v>
      </c>
      <c r="BQ115" s="23">
        <f>EXP(-LN(2)/25)*BQ114+(1-EXP(-LN(2)/25))/(LN(2)/25)*Calculateur!BL115*Calculateur!BN115*VLOOKUP('Données projet'!$B$11,Paramètres!$A$1:$I$88,3,0)*0.475*44/12</f>
        <v>28.719687262327003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122.01368186509215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projet'!$B$12,Paramètres!$A$1:$I$88,3,0)*VLOOKUP('Données projet'!$B$12,Paramètres!$A$1:$I$88,5,0)</f>
        <v>-1.3596945791505279E-13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405.42845699663462</v>
      </c>
      <c r="CE115" s="62">
        <f t="shared" si="94"/>
        <v>292.26503163353146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130.75096095284505</v>
      </c>
      <c r="CL115" s="23">
        <f>EXP(-LN(2)/25)*CL114+(1-EXP(-LN(2)/25))/(LN(2)/25)*Calculateur!CG115*Calculateur!CI115*VLOOKUP('Données projet'!$B$12,Paramètres!$A$1:$I$88,3,0)*0.475*44/12</f>
        <v>45.214269833491684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175.96523078633675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4.583333333333333</v>
      </c>
      <c r="N116" s="14">
        <f>IF('Données projet'!$A$36&gt;35,N115+M116-V115,IF(A116&lt;'Données projet'!$A$36,$K$205^A116,IF(A116='Données projet'!$A$36,'Données projet'!$B$36,N115+M116-V115)))</f>
        <v>220.41666666666671</v>
      </c>
      <c r="O116" s="14">
        <f>N116*VLOOKUP('Données projet'!$B$9,Paramètres!$A$1:$I$88,3,0)*VLOOKUP('Données projet'!$B$9,Paramètres!$A$1:$I$88,5,0)</f>
        <v>199.43300000000002</v>
      </c>
      <c r="P116" s="14">
        <f t="shared" si="87"/>
        <v>49.619537704859006</v>
      </c>
      <c r="Q116" s="22">
        <f t="shared" si="107"/>
        <v>433.76650316929613</v>
      </c>
      <c r="R116" s="62">
        <f t="shared" si="55"/>
        <v>727.09983650262939</v>
      </c>
      <c r="S116" s="62">
        <f ca="1">AVERAGE(OFFSET($R$3,0,0,'Données projet'!$E$9+1,1))-AVERAGE(OFFSET($H$3,0,0,'Données projet'!$E$9+1,1))</f>
        <v>329.02356155998905</v>
      </c>
      <c r="T116" s="62">
        <f t="shared" si="88"/>
        <v>199.43308683696642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28.924114716022281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28.924114716022281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160.55473404658039</v>
      </c>
      <c r="AO116" s="62">
        <f t="shared" si="90"/>
        <v>188.70262429536223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26.69098717554926</v>
      </c>
      <c r="AV116" s="23">
        <f>EXP(-LN(2)/25)*AV115+(1-EXP(-LN(2)/25))/(LN(2)/25)*Calculateur!AQ116*Calculateur!AS116*VLOOKUP('Données projet'!$B$10,Paramètres!$A$1:$I$88,3,0)*0.475*44/12</f>
        <v>9.0666618675616917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35.757649043110952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4.5474735088646412E-13</v>
      </c>
      <c r="BE116" s="14">
        <f>BD116*VLOOKUP('Données projet'!$B$11,Paramètres!$A$1:$I$88,3,0)*VLOOKUP('Données projet'!$B$11,Paramètres!$A$1:$I$88,5,0)</f>
        <v>2.5420376914553347E-13</v>
      </c>
      <c r="BF116" s="14">
        <f t="shared" si="91"/>
        <v>3.4258699088369875E-12</v>
      </c>
      <c r="BG116" s="22">
        <f t="shared" si="61"/>
        <v>6.4094616558195571E-12</v>
      </c>
      <c r="BH116" s="62">
        <f t="shared" si="62"/>
        <v>293.33333333333974</v>
      </c>
      <c r="BI116" s="62">
        <f ca="1">AVERAGE(OFFSET($BH$3,0,0,'Données projet'!$E$11+1,1))-AVERAGE(OFFSET($H$3,0,0,'Données projet'!$E$11+1,1))</f>
        <v>358.417829688045</v>
      </c>
      <c r="BJ116" s="62">
        <f t="shared" si="92"/>
        <v>394.03759949558713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91.464556272322866</v>
      </c>
      <c r="BQ116" s="23">
        <f>EXP(-LN(2)/25)*BQ115+(1-EXP(-LN(2)/25))/(LN(2)/25)*Calculateur!BL116*Calculateur!BN116*VLOOKUP('Données projet'!$B$11,Paramètres!$A$1:$I$88,3,0)*0.475*44/12</f>
        <v>27.934345903835958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119.39890217615883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projet'!$B$12,Paramètres!$A$1:$I$88,3,0)*VLOOKUP('Données projet'!$B$12,Paramètres!$A$1:$I$88,5,0)</f>
        <v>-1.3596945791505279E-13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405.42845699663462</v>
      </c>
      <c r="CE116" s="62">
        <f t="shared" si="94"/>
        <v>292.26503163353146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128.18701435877125</v>
      </c>
      <c r="CL116" s="23">
        <f>EXP(-LN(2)/25)*CL115+(1-EXP(-LN(2)/25))/(LN(2)/25)*Calculateur!CG116*Calculateur!CI116*VLOOKUP('Données projet'!$B$12,Paramètres!$A$1:$I$88,3,0)*0.475*44/12</f>
        <v>43.97788324717974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172.16489760595098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225</v>
      </c>
      <c r="L117" s="13">
        <f>VLOOKUP(A117,'Données projet'!$A$35:$I$55,9,0)</f>
        <v>4.583333333333333</v>
      </c>
      <c r="M117" s="13">
        <f t="array" ref="M117">INDEX(L:L,MIN(IF(ISNUMBER(L117:L313),ROW(L117:L313),"")))</f>
        <v>4.583333333333333</v>
      </c>
      <c r="N117" s="14">
        <f>IF('Données projet'!$A$36&gt;35,N116+M117-V116,IF(A117&lt;'Données projet'!$A$36,$K$205^A117,IF(A117='Données projet'!$A$36,'Données projet'!$B$36,N116+M117-V116)))</f>
        <v>225.00000000000006</v>
      </c>
      <c r="O117" s="14">
        <f>N117*VLOOKUP('Données projet'!$B$9,Paramètres!$A$1:$I$88,3,0)*VLOOKUP('Données projet'!$B$9,Paramètres!$A$1:$I$88,5,0)</f>
        <v>203.58000000000004</v>
      </c>
      <c r="P117" s="14">
        <f t="shared" si="87"/>
        <v>50.530129131114101</v>
      </c>
      <c r="Q117" s="22">
        <f t="shared" si="107"/>
        <v>442.57514157002379</v>
      </c>
      <c r="R117" s="62">
        <f t="shared" si="55"/>
        <v>735.90847490335705</v>
      </c>
      <c r="S117" s="62">
        <f ca="1">AVERAGE(OFFSET($R$3,0,0,'Données projet'!$E$9+1,1))-AVERAGE(OFFSET($H$3,0,0,'Données projet'!$E$9+1,1))</f>
        <v>329.02356155998905</v>
      </c>
      <c r="T117" s="62">
        <f t="shared" si="88"/>
        <v>199.43308683696642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37</v>
      </c>
      <c r="W117" s="17">
        <f>IF(ISNA(VLOOKUP(A117,'Données projet'!$A$35:$I$55,5,0)),0%,VLOOKUP(A117,'Données projet'!$A$35:$I$55,5,0)*VLOOKUP('Données projet'!$B$9,Paramètres!$A$1:$I$88,7,0))</f>
        <v>0.25800000000000001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37.905122224294956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37.905122224294956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160.55473404658039</v>
      </c>
      <c r="AO117" s="62">
        <f t="shared" si="90"/>
        <v>188.70262429536223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26.16759319693141</v>
      </c>
      <c r="AV117" s="23">
        <f>EXP(-LN(2)/25)*AV116+(1-EXP(-LN(2)/25))/(LN(2)/25)*Calculateur!AQ117*Calculateur!AS117*VLOOKUP('Données projet'!$B$10,Paramètres!$A$1:$I$88,3,0)*0.475*44/12</f>
        <v>8.8187335219981922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34.986326718929604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4.5474735088646412E-13</v>
      </c>
      <c r="BE117" s="14">
        <f>BD117*VLOOKUP('Données projet'!$B$11,Paramètres!$A$1:$I$88,3,0)*VLOOKUP('Données projet'!$B$11,Paramètres!$A$1:$I$88,5,0)</f>
        <v>2.5420376914553347E-13</v>
      </c>
      <c r="BF117" s="14">
        <f t="shared" si="91"/>
        <v>3.4258699088369875E-12</v>
      </c>
      <c r="BG117" s="22">
        <f t="shared" si="61"/>
        <v>6.4094616558195571E-12</v>
      </c>
      <c r="BH117" s="62">
        <f t="shared" si="62"/>
        <v>293.33333333333974</v>
      </c>
      <c r="BI117" s="62">
        <f ca="1">AVERAGE(OFFSET($BH$3,0,0,'Données projet'!$E$11+1,1))-AVERAGE(OFFSET($H$3,0,0,'Données projet'!$E$11+1,1))</f>
        <v>358.417829688045</v>
      </c>
      <c r="BJ117" s="62">
        <f t="shared" si="92"/>
        <v>394.03759949558713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89.670992111693351</v>
      </c>
      <c r="BQ117" s="23">
        <f>EXP(-LN(2)/25)*BQ116+(1-EXP(-LN(2)/25))/(LN(2)/25)*Calculateur!BL117*Calculateur!BN117*VLOOKUP('Données projet'!$B$11,Paramètres!$A$1:$I$88,3,0)*0.475*44/12</f>
        <v>27.170479746092155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116.84147185778551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projet'!$B$12,Paramètres!$A$1:$I$88,3,0)*VLOOKUP('Données projet'!$B$12,Paramètres!$A$1:$I$88,5,0)</f>
        <v>-1.3596945791505279E-13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405.42845699663462</v>
      </c>
      <c r="CE117" s="62">
        <f t="shared" si="94"/>
        <v>292.26503163353146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125.67334519355424</v>
      </c>
      <c r="CL117" s="23">
        <f>EXP(-LN(2)/25)*CL116+(1-EXP(-LN(2)/25))/(LN(2)/25)*Calculateur!CG117*Calculateur!CI117*VLOOKUP('Données projet'!$B$12,Paramètres!$A$1:$I$88,3,0)*0.475*44/12</f>
        <v>42.775305717089246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168.44865091064349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4.666666666666667</v>
      </c>
      <c r="N118" s="14">
        <f>IF('Données projet'!$A$36&gt;35,N117+M118-V117,IF(A118&lt;'Données projet'!$A$36,$K$205^A118,IF(A118='Données projet'!$A$36,'Données projet'!$B$36,N117+M118-V117)))</f>
        <v>192.66666666666671</v>
      </c>
      <c r="O118" s="14">
        <f>N118*VLOOKUP('Données projet'!$B$9,Paramètres!$A$1:$I$88,3,0)*VLOOKUP('Données projet'!$B$9,Paramètres!$A$1:$I$88,5,0)</f>
        <v>174.32480000000004</v>
      </c>
      <c r="P118" s="14">
        <f t="shared" si="87"/>
        <v>44.05721418149696</v>
      </c>
      <c r="Q118" s="22">
        <f t="shared" si="107"/>
        <v>380.34867469944061</v>
      </c>
      <c r="R118" s="62">
        <f t="shared" si="55"/>
        <v>673.68200803277387</v>
      </c>
      <c r="S118" s="62">
        <f ca="1">AVERAGE(OFFSET($R$3,0,0,'Données projet'!$E$9+1,1))-AVERAGE(OFFSET($H$3,0,0,'Données projet'!$E$9+1,1))</f>
        <v>329.02356155998905</v>
      </c>
      <c r="T118" s="62">
        <f t="shared" si="88"/>
        <v>199.43308683696642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37.161825897318195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37.161825897318195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160.55473404658039</v>
      </c>
      <c r="AO118" s="62">
        <f t="shared" si="90"/>
        <v>188.70262429536223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25.654462654995452</v>
      </c>
      <c r="AV118" s="23">
        <f>EXP(-LN(2)/25)*AV117+(1-EXP(-LN(2)/25))/(LN(2)/25)*Calculateur!AQ118*Calculateur!AS118*VLOOKUP('Données projet'!$B$10,Paramètres!$A$1:$I$88,3,0)*0.475*44/12</f>
        <v>8.5775847900821116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34.232047445077562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4.5474735088646412E-13</v>
      </c>
      <c r="BE118" s="14">
        <f>BD118*VLOOKUP('Données projet'!$B$11,Paramètres!$A$1:$I$88,3,0)*VLOOKUP('Données projet'!$B$11,Paramètres!$A$1:$I$88,5,0)</f>
        <v>2.5420376914553347E-13</v>
      </c>
      <c r="BF118" s="14">
        <f t="shared" si="91"/>
        <v>3.4258699088369875E-12</v>
      </c>
      <c r="BG118" s="22">
        <f t="shared" si="61"/>
        <v>6.4094616558195571E-12</v>
      </c>
      <c r="BH118" s="62">
        <f t="shared" si="62"/>
        <v>293.33333333333974</v>
      </c>
      <c r="BI118" s="62">
        <f ca="1">AVERAGE(OFFSET($BH$3,0,0,'Données projet'!$E$11+1,1))-AVERAGE(OFFSET($H$3,0,0,'Données projet'!$E$11+1,1))</f>
        <v>358.417829688045</v>
      </c>
      <c r="BJ118" s="62">
        <f t="shared" si="92"/>
        <v>394.03759949558713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87.912598650287663</v>
      </c>
      <c r="BQ118" s="23">
        <f>EXP(-LN(2)/25)*BQ117+(1-EXP(-LN(2)/25))/(LN(2)/25)*Calculateur!BL118*Calculateur!BN118*VLOOKUP('Données projet'!$B$11,Paramètres!$A$1:$I$88,3,0)*0.475*44/12</f>
        <v>26.427501548601835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114.3401001988895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projet'!$B$12,Paramètres!$A$1:$I$88,3,0)*VLOOKUP('Données projet'!$B$12,Paramètres!$A$1:$I$88,5,0)</f>
        <v>-1.3596945791505279E-13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405.42845699663462</v>
      </c>
      <c r="CE118" s="62">
        <f t="shared" si="94"/>
        <v>292.26503163353146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123.20896754748034</v>
      </c>
      <c r="CL118" s="23">
        <f>EXP(-LN(2)/25)*CL117+(1-EXP(-LN(2)/25))/(LN(2)/25)*Calculateur!CG118*Calculateur!CI118*VLOOKUP('Données projet'!$B$12,Paramètres!$A$1:$I$88,3,0)*0.475*44/12</f>
        <v>41.605612732799877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164.81458028028021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4.666666666666667</v>
      </c>
      <c r="N119" s="14">
        <f>IF('Données projet'!$A$36&gt;35,N118+M119-V118,IF(A119&lt;'Données projet'!$A$36,$K$205^A119,IF(A119='Données projet'!$A$36,'Données projet'!$B$36,N118+M119-V118)))</f>
        <v>197.33333333333337</v>
      </c>
      <c r="O119" s="14">
        <f>N119*VLOOKUP('Données projet'!$B$9,Paramètres!$A$1:$I$88,3,0)*VLOOKUP('Données projet'!$B$9,Paramètres!$A$1:$I$88,5,0)</f>
        <v>178.54720000000003</v>
      </c>
      <c r="P119" s="14">
        <f t="shared" si="87"/>
        <v>44.998812645322751</v>
      </c>
      <c r="Q119" s="22">
        <f t="shared" si="107"/>
        <v>389.34263869060379</v>
      </c>
      <c r="R119" s="62">
        <f t="shared" si="55"/>
        <v>682.67597202393711</v>
      </c>
      <c r="S119" s="62">
        <f ca="1">AVERAGE(OFFSET($R$3,0,0,'Données projet'!$E$9+1,1))-AVERAGE(OFFSET($H$3,0,0,'Données projet'!$E$9+1,1))</f>
        <v>329.02356155998905</v>
      </c>
      <c r="T119" s="62">
        <f t="shared" si="88"/>
        <v>199.43308683696642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36.433105157947452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36.433105157947452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160.55473404658039</v>
      </c>
      <c r="AO119" s="62">
        <f t="shared" si="90"/>
        <v>188.70262429536223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25.151394290008131</v>
      </c>
      <c r="AV119" s="23">
        <f>EXP(-LN(2)/25)*AV118+(1-EXP(-LN(2)/25))/(LN(2)/25)*Calculateur!AQ119*Calculateur!AS119*VLOOKUP('Données projet'!$B$10,Paramètres!$A$1:$I$88,3,0)*0.475*44/12</f>
        <v>8.3430302829217364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33.494424572929866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4.5474735088646412E-13</v>
      </c>
      <c r="BE119" s="14">
        <f>BD119*VLOOKUP('Données projet'!$B$11,Paramètres!$A$1:$I$88,3,0)*VLOOKUP('Données projet'!$B$11,Paramètres!$A$1:$I$88,5,0)</f>
        <v>2.5420376914553347E-13</v>
      </c>
      <c r="BF119" s="14">
        <f t="shared" si="91"/>
        <v>3.4258699088369875E-12</v>
      </c>
      <c r="BG119" s="22">
        <f t="shared" si="61"/>
        <v>6.4094616558195571E-12</v>
      </c>
      <c r="BH119" s="62">
        <f t="shared" si="62"/>
        <v>293.33333333333974</v>
      </c>
      <c r="BI119" s="62">
        <f ca="1">AVERAGE(OFFSET($BH$3,0,0,'Données projet'!$E$11+1,1))-AVERAGE(OFFSET($H$3,0,0,'Données projet'!$E$11+1,1))</f>
        <v>358.417829688045</v>
      </c>
      <c r="BJ119" s="62">
        <f t="shared" si="92"/>
        <v>394.03759949558713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86.188686212146024</v>
      </c>
      <c r="BQ119" s="23">
        <f>EXP(-LN(2)/25)*BQ118+(1-EXP(-LN(2)/25))/(LN(2)/25)*Calculateur!BL119*Calculateur!BN119*VLOOKUP('Données projet'!$B$11,Paramètres!$A$1:$I$88,3,0)*0.475*44/12</f>
        <v>25.704840128993414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111.89352634113943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projet'!$B$12,Paramètres!$A$1:$I$88,3,0)*VLOOKUP('Données projet'!$B$12,Paramètres!$A$1:$I$88,5,0)</f>
        <v>-1.3596945791505279E-13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405.42845699663462</v>
      </c>
      <c r="CE119" s="62">
        <f t="shared" si="94"/>
        <v>292.26503163353146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120.79291484392401</v>
      </c>
      <c r="CL119" s="23">
        <f>EXP(-LN(2)/25)*CL118+(1-EXP(-LN(2)/25))/(LN(2)/25)*Calculateur!CG119*Calculateur!CI119*VLOOKUP('Données projet'!$B$12,Paramètres!$A$1:$I$88,3,0)*0.475*44/12</f>
        <v>40.467905064677382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161.26081990860138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4.666666666666667</v>
      </c>
      <c r="N120" s="14">
        <f>IF('Données projet'!$A$36&gt;35,N119+M120-V119,IF(A120&lt;'Données projet'!$A$36,$K$205^A120,IF(A120='Données projet'!$A$36,'Données projet'!$B$36,N119+M120-V119)))</f>
        <v>202.00000000000003</v>
      </c>
      <c r="O120" s="14">
        <f>N120*VLOOKUP('Données projet'!$B$9,Paramètres!$A$1:$I$88,3,0)*VLOOKUP('Données projet'!$B$9,Paramètres!$A$1:$I$88,5,0)</f>
        <v>182.76960000000003</v>
      </c>
      <c r="P120" s="14">
        <f t="shared" si="87"/>
        <v>45.937822477650357</v>
      </c>
      <c r="Q120" s="22">
        <f t="shared" si="107"/>
        <v>398.33209414857441</v>
      </c>
      <c r="R120" s="62">
        <f t="shared" si="55"/>
        <v>691.66542748190773</v>
      </c>
      <c r="S120" s="62">
        <f ca="1">AVERAGE(OFFSET($R$3,0,0,'Données projet'!$E$9+1,1))-AVERAGE(OFFSET($H$3,0,0,'Données projet'!$E$9+1,1))</f>
        <v>329.02356155998905</v>
      </c>
      <c r="T120" s="62">
        <f t="shared" si="88"/>
        <v>199.43308683696642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35.718674187800005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35.718674187800005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160.55473404658039</v>
      </c>
      <c r="AO120" s="62">
        <f t="shared" si="90"/>
        <v>188.70262429536223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24.658190788816807</v>
      </c>
      <c r="AV120" s="23">
        <f>EXP(-LN(2)/25)*AV119+(1-EXP(-LN(2)/25))/(LN(2)/25)*Calculateur!AQ120*Calculateur!AS120*VLOOKUP('Données projet'!$B$10,Paramètres!$A$1:$I$88,3,0)*0.475*44/12</f>
        <v>8.1148896810943469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32.77308046991115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4.5474735088646412E-13</v>
      </c>
      <c r="BE120" s="14">
        <f>BD120*VLOOKUP('Données projet'!$B$11,Paramètres!$A$1:$I$88,3,0)*VLOOKUP('Données projet'!$B$11,Paramètres!$A$1:$I$88,5,0)</f>
        <v>2.5420376914553347E-13</v>
      </c>
      <c r="BF120" s="14">
        <f t="shared" si="91"/>
        <v>3.4258699088369875E-12</v>
      </c>
      <c r="BG120" s="22">
        <f t="shared" si="61"/>
        <v>6.4094616558195571E-12</v>
      </c>
      <c r="BH120" s="62">
        <f t="shared" si="62"/>
        <v>293.33333333333974</v>
      </c>
      <c r="BI120" s="62">
        <f ca="1">AVERAGE(OFFSET($BH$3,0,0,'Données projet'!$E$11+1,1))-AVERAGE(OFFSET($H$3,0,0,'Données projet'!$E$11+1,1))</f>
        <v>358.417829688045</v>
      </c>
      <c r="BJ120" s="62">
        <f t="shared" si="92"/>
        <v>394.03759949558713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84.498578645433582</v>
      </c>
      <c r="BQ120" s="23">
        <f>EXP(-LN(2)/25)*BQ119+(1-EXP(-LN(2)/25))/(LN(2)/25)*Calculateur!BL120*Calculateur!BN120*VLOOKUP('Données projet'!$B$11,Paramètres!$A$1:$I$88,3,0)*0.475*44/12</f>
        <v>25.001939923907297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109.50051856934088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projet'!$B$12,Paramètres!$A$1:$I$88,3,0)*VLOOKUP('Données projet'!$B$12,Paramètres!$A$1:$I$88,5,0)</f>
        <v>-1.3596945791505279E-13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405.42845699663462</v>
      </c>
      <c r="CE120" s="62">
        <f t="shared" si="94"/>
        <v>292.26503163353146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118.42423946023777</v>
      </c>
      <c r="CL120" s="23">
        <f>EXP(-LN(2)/25)*CL119+(1-EXP(-LN(2)/25))/(LN(2)/25)*Calculateur!CG120*Calculateur!CI120*VLOOKUP('Données projet'!$B$12,Paramètres!$A$1:$I$88,3,0)*0.475*44/12</f>
        <v>39.361308072569145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157.7855475328069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4.666666666666667</v>
      </c>
      <c r="N121" s="14">
        <f>IF('Données projet'!$A$36&gt;35,N120+M121-V120,IF(A121&lt;'Données projet'!$A$36,$K$205^A121,IF(A121='Données projet'!$A$36,'Données projet'!$B$36,N120+M121-V120)))</f>
        <v>206.66666666666669</v>
      </c>
      <c r="O121" s="14">
        <f>N121*VLOOKUP('Données projet'!$B$9,Paramètres!$A$1:$I$88,3,0)*VLOOKUP('Données projet'!$B$9,Paramètres!$A$1:$I$88,5,0)</f>
        <v>186.99200000000002</v>
      </c>
      <c r="P121" s="14">
        <f t="shared" si="87"/>
        <v>46.87431036526138</v>
      </c>
      <c r="Q121" s="22">
        <f t="shared" si="107"/>
        <v>407.31715721949689</v>
      </c>
      <c r="R121" s="62">
        <f t="shared" si="55"/>
        <v>700.65049055283021</v>
      </c>
      <c r="S121" s="62">
        <f ca="1">AVERAGE(OFFSET($R$3,0,0,'Données projet'!$E$9+1,1))-AVERAGE(OFFSET($H$3,0,0,'Données projet'!$E$9+1,1))</f>
        <v>329.02356155998905</v>
      </c>
      <c r="T121" s="62">
        <f t="shared" si="88"/>
        <v>199.43308683696642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35.018252773217291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35.018252773217291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160.55473404658039</v>
      </c>
      <c r="AO121" s="62">
        <f t="shared" si="90"/>
        <v>188.70262429536223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24.174658707459411</v>
      </c>
      <c r="AV121" s="23">
        <f>EXP(-LN(2)/25)*AV120+(1-EXP(-LN(2)/25))/(LN(2)/25)*Calculateur!AQ121*Calculateur!AS121*VLOOKUP('Données projet'!$B$10,Paramètres!$A$1:$I$88,3,0)*0.475*44/12</f>
        <v>7.8929875960213209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32.067646303480728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4.5474735088646412E-13</v>
      </c>
      <c r="BE121" s="14">
        <f>BD121*VLOOKUP('Données projet'!$B$11,Paramètres!$A$1:$I$88,3,0)*VLOOKUP('Données projet'!$B$11,Paramètres!$A$1:$I$88,5,0)</f>
        <v>2.5420376914553347E-13</v>
      </c>
      <c r="BF121" s="14">
        <f t="shared" si="91"/>
        <v>3.4258699088369875E-12</v>
      </c>
      <c r="BG121" s="22">
        <f t="shared" si="61"/>
        <v>6.4094616558195571E-12</v>
      </c>
      <c r="BH121" s="62">
        <f t="shared" si="62"/>
        <v>293.33333333333974</v>
      </c>
      <c r="BI121" s="62">
        <f ca="1">AVERAGE(OFFSET($BH$3,0,0,'Données projet'!$E$11+1,1))-AVERAGE(OFFSET($H$3,0,0,'Données projet'!$E$11+1,1))</f>
        <v>358.417829688045</v>
      </c>
      <c r="BJ121" s="62">
        <f t="shared" si="92"/>
        <v>394.03759949558713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82.841613057240551</v>
      </c>
      <c r="BQ121" s="23">
        <f>EXP(-LN(2)/25)*BQ120+(1-EXP(-LN(2)/25))/(LN(2)/25)*Calculateur!BL121*Calculateur!BN121*VLOOKUP('Données projet'!$B$11,Paramètres!$A$1:$I$88,3,0)*0.475*44/12</f>
        <v>24.318260561893176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107.15987361913372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projet'!$B$12,Paramètres!$A$1:$I$88,3,0)*VLOOKUP('Données projet'!$B$12,Paramètres!$A$1:$I$88,5,0)</f>
        <v>-1.3596945791505279E-13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405.42845699663462</v>
      </c>
      <c r="CE121" s="62">
        <f t="shared" si="94"/>
        <v>292.26503163353146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116.1020123560763</v>
      </c>
      <c r="CL121" s="23">
        <f>EXP(-LN(2)/25)*CL120+(1-EXP(-LN(2)/25))/(LN(2)/25)*Calculateur!CG121*Calculateur!CI121*VLOOKUP('Données projet'!$B$12,Paramètres!$A$1:$I$88,3,0)*0.475*44/12</f>
        <v>38.284971033403508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154.38698338947981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4.666666666666667</v>
      </c>
      <c r="N122" s="14">
        <f>IF('Données projet'!$A$36&gt;35,N121+M122-V121,IF(A122&lt;'Données projet'!$A$36,$K$205^A122,IF(A122='Données projet'!$A$36,'Données projet'!$B$36,N121+M122-V121)))</f>
        <v>211.33333333333334</v>
      </c>
      <c r="O122" s="14">
        <f>N122*VLOOKUP('Données projet'!$B$9,Paramètres!$A$1:$I$88,3,0)*VLOOKUP('Données projet'!$B$9,Paramètres!$A$1:$I$88,5,0)</f>
        <v>191.21439999999998</v>
      </c>
      <c r="P122" s="14">
        <f t="shared" si="87"/>
        <v>47.808339811368604</v>
      </c>
      <c r="Q122" s="22">
        <f t="shared" si="107"/>
        <v>416.29793850480024</v>
      </c>
      <c r="R122" s="62">
        <f t="shared" si="55"/>
        <v>709.63127183813356</v>
      </c>
      <c r="S122" s="62">
        <f ca="1">AVERAGE(OFFSET($R$3,0,0,'Données projet'!$E$9+1,1))-AVERAGE(OFFSET($H$3,0,0,'Données projet'!$E$9+1,1))</f>
        <v>329.02356155998905</v>
      </c>
      <c r="T122" s="62">
        <f t="shared" si="88"/>
        <v>199.43308683696642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34.331566195359663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34.331566195359663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160.55473404658039</v>
      </c>
      <c r="AO122" s="62">
        <f t="shared" si="90"/>
        <v>188.70262429536223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23.700608395291987</v>
      </c>
      <c r="AV122" s="23">
        <f>EXP(-LN(2)/25)*AV121+(1-EXP(-LN(2)/25))/(LN(2)/25)*Calculateur!AQ122*Calculateur!AS122*VLOOKUP('Données projet'!$B$10,Paramètres!$A$1:$I$88,3,0)*0.475*44/12</f>
        <v>7.6771534351339401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31.377761830425925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4.5474735088646412E-13</v>
      </c>
      <c r="BE122" s="14">
        <f>BD122*VLOOKUP('Données projet'!$B$11,Paramètres!$A$1:$I$88,3,0)*VLOOKUP('Données projet'!$B$11,Paramètres!$A$1:$I$88,5,0)</f>
        <v>2.5420376914553347E-13</v>
      </c>
      <c r="BF122" s="14">
        <f t="shared" si="91"/>
        <v>3.4258699088369875E-12</v>
      </c>
      <c r="BG122" s="22">
        <f t="shared" si="61"/>
        <v>6.4094616558195571E-12</v>
      </c>
      <c r="BH122" s="62">
        <f t="shared" si="62"/>
        <v>293.33333333333974</v>
      </c>
      <c r="BI122" s="62">
        <f ca="1">AVERAGE(OFFSET($BH$3,0,0,'Données projet'!$E$11+1,1))-AVERAGE(OFFSET($H$3,0,0,'Données projet'!$E$11+1,1))</f>
        <v>358.417829688045</v>
      </c>
      <c r="BJ122" s="62">
        <f t="shared" si="92"/>
        <v>394.03759949558713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81.217139553582768</v>
      </c>
      <c r="BQ122" s="23">
        <f>EXP(-LN(2)/25)*BQ121+(1-EXP(-LN(2)/25))/(LN(2)/25)*Calculateur!BL122*Calculateur!BN122*VLOOKUP('Données projet'!$B$11,Paramètres!$A$1:$I$88,3,0)*0.475*44/12</f>
        <v>23.653276447986464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104.87041600156923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projet'!$B$12,Paramètres!$A$1:$I$88,3,0)*VLOOKUP('Données projet'!$B$12,Paramètres!$A$1:$I$88,5,0)</f>
        <v>-1.3596945791505279E-13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405.42845699663462</v>
      </c>
      <c r="CE122" s="62">
        <f t="shared" si="94"/>
        <v>292.26503163353146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113.82532270900876</v>
      </c>
      <c r="CL122" s="23">
        <f>EXP(-LN(2)/25)*CL121+(1-EXP(-LN(2)/25))/(LN(2)/25)*Calculateur!CG122*Calculateur!CI122*VLOOKUP('Données projet'!$B$12,Paramètres!$A$1:$I$88,3,0)*0.475*44/12</f>
        <v>37.238066487175963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151.06338919618472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4.666666666666667</v>
      </c>
      <c r="N123" s="14">
        <f>IF('Données projet'!$A$36&gt;35,N122+M123-V122,IF(A123&lt;'Données projet'!$A$36,$K$205^A123,IF(A123='Données projet'!$A$36,'Données projet'!$B$36,N122+M123-V122)))</f>
        <v>216</v>
      </c>
      <c r="O123" s="14">
        <f>N123*VLOOKUP('Données projet'!$B$9,Paramètres!$A$1:$I$88,3,0)*VLOOKUP('Données projet'!$B$9,Paramètres!$A$1:$I$88,5,0)</f>
        <v>195.43679999999998</v>
      </c>
      <c r="P123" s="14">
        <f t="shared" si="87"/>
        <v>48.739971354487849</v>
      </c>
      <c r="Q123" s="22">
        <f t="shared" si="107"/>
        <v>425.27454344239959</v>
      </c>
      <c r="R123" s="62">
        <f t="shared" si="55"/>
        <v>718.60787677573285</v>
      </c>
      <c r="S123" s="62">
        <f ca="1">AVERAGE(OFFSET($R$3,0,0,'Données projet'!$E$9+1,1))-AVERAGE(OFFSET($H$3,0,0,'Données projet'!$E$9+1,1))</f>
        <v>329.02356155998905</v>
      </c>
      <c r="T123" s="62">
        <f t="shared" si="88"/>
        <v>199.43308683696642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33.658345122456367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33.658345122456367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160.55473404658039</v>
      </c>
      <c r="AO123" s="62">
        <f t="shared" si="90"/>
        <v>188.70262429536223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23.235853920604026</v>
      </c>
      <c r="AV123" s="23">
        <f>EXP(-LN(2)/25)*AV122+(1-EXP(-LN(2)/25))/(LN(2)/25)*Calculateur!AQ123*Calculateur!AS123*VLOOKUP('Données projet'!$B$10,Paramètres!$A$1:$I$88,3,0)*0.475*44/12</f>
        <v>7.4672212707262497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30.703075191330274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4.5474735088646412E-13</v>
      </c>
      <c r="BE123" s="14">
        <f>BD123*VLOOKUP('Données projet'!$B$11,Paramètres!$A$1:$I$88,3,0)*VLOOKUP('Données projet'!$B$11,Paramètres!$A$1:$I$88,5,0)</f>
        <v>2.5420376914553347E-13</v>
      </c>
      <c r="BF123" s="14">
        <f t="shared" si="91"/>
        <v>3.4258699088369875E-12</v>
      </c>
      <c r="BG123" s="22">
        <f t="shared" si="61"/>
        <v>6.4094616558195571E-12</v>
      </c>
      <c r="BH123" s="62">
        <f t="shared" si="62"/>
        <v>293.33333333333974</v>
      </c>
      <c r="BI123" s="62">
        <f ca="1">AVERAGE(OFFSET($BH$3,0,0,'Données projet'!$E$11+1,1))-AVERAGE(OFFSET($H$3,0,0,'Données projet'!$E$11+1,1))</f>
        <v>358.417829688045</v>
      </c>
      <c r="BJ123" s="62">
        <f t="shared" si="92"/>
        <v>394.03759949558713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79.624520984500705</v>
      </c>
      <c r="BQ123" s="23">
        <f>EXP(-LN(2)/25)*BQ122+(1-EXP(-LN(2)/25))/(LN(2)/25)*Calculateur!BL123*Calculateur!BN123*VLOOKUP('Données projet'!$B$11,Paramètres!$A$1:$I$88,3,0)*0.475*44/12</f>
        <v>23.006476359644527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102.63099734414523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projet'!$B$12,Paramètres!$A$1:$I$88,3,0)*VLOOKUP('Données projet'!$B$12,Paramètres!$A$1:$I$88,5,0)</f>
        <v>-1.3596945791505279E-13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405.42845699663462</v>
      </c>
      <c r="CE123" s="62">
        <f t="shared" si="94"/>
        <v>292.26503163353146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111.59327755727665</v>
      </c>
      <c r="CL123" s="23">
        <f>EXP(-LN(2)/25)*CL122+(1-EXP(-LN(2)/25))/(LN(2)/25)*Calculateur!CG123*Calculateur!CI123*VLOOKUP('Données projet'!$B$12,Paramètres!$A$1:$I$88,3,0)*0.475*44/12</f>
        <v>36.219789600819325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147.81306715809598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4.666666666666667</v>
      </c>
      <c r="N124" s="14">
        <f>IF('Données projet'!$A$36&gt;35,N123+M124-V123,IF(A124&lt;'Données projet'!$A$36,$K$205^A124,IF(A124='Données projet'!$A$36,'Données projet'!$B$36,N123+M124-V123)))</f>
        <v>220.66666666666666</v>
      </c>
      <c r="O124" s="14">
        <f>N124*VLOOKUP('Données projet'!$B$9,Paramètres!$A$1:$I$88,3,0)*VLOOKUP('Données projet'!$B$9,Paramètres!$A$1:$I$88,5,0)</f>
        <v>199.65919999999997</v>
      </c>
      <c r="P124" s="14">
        <f t="shared" si="87"/>
        <v>49.66926276786149</v>
      </c>
      <c r="Q124" s="22">
        <f t="shared" si="107"/>
        <v>434.24707265402532</v>
      </c>
      <c r="R124" s="62">
        <f t="shared" si="55"/>
        <v>727.58040598735863</v>
      </c>
      <c r="S124" s="62">
        <f ca="1">AVERAGE(OFFSET($R$3,0,0,'Données projet'!$E$9+1,1))-AVERAGE(OFFSET($H$3,0,0,'Données projet'!$E$9+1,1))</f>
        <v>329.02356155998905</v>
      </c>
      <c r="T124" s="62">
        <f t="shared" si="88"/>
        <v>199.43308683696642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32.998325504168399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32.998325504168399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160.55473404658039</v>
      </c>
      <c r="AO124" s="62">
        <f t="shared" si="90"/>
        <v>188.70262429536223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22.780212997692455</v>
      </c>
      <c r="AV124" s="23">
        <f>EXP(-LN(2)/25)*AV123+(1-EXP(-LN(2)/25))/(LN(2)/25)*Calculateur!AQ124*Calculateur!AS124*VLOOKUP('Données projet'!$B$10,Paramètres!$A$1:$I$88,3,0)*0.475*44/12</f>
        <v>7.2630297123941405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30.043242710086595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4.5474735088646412E-13</v>
      </c>
      <c r="BE124" s="14">
        <f>BD124*VLOOKUP('Données projet'!$B$11,Paramètres!$A$1:$I$88,3,0)*VLOOKUP('Données projet'!$B$11,Paramètres!$A$1:$I$88,5,0)</f>
        <v>2.5420376914553347E-13</v>
      </c>
      <c r="BF124" s="14">
        <f t="shared" si="91"/>
        <v>3.4258699088369875E-12</v>
      </c>
      <c r="BG124" s="22">
        <f t="shared" si="61"/>
        <v>6.4094616558195571E-12</v>
      </c>
      <c r="BH124" s="62">
        <f t="shared" si="62"/>
        <v>293.33333333333974</v>
      </c>
      <c r="BI124" s="62">
        <f ca="1">AVERAGE(OFFSET($BH$3,0,0,'Données projet'!$E$11+1,1))-AVERAGE(OFFSET($H$3,0,0,'Données projet'!$E$11+1,1))</f>
        <v>358.417829688045</v>
      </c>
      <c r="BJ124" s="62">
        <f t="shared" si="92"/>
        <v>394.03759949558713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78.063132694156934</v>
      </c>
      <c r="BQ124" s="23">
        <f>EXP(-LN(2)/25)*BQ123+(1-EXP(-LN(2)/25))/(LN(2)/25)*Calculateur!BL124*Calculateur!BN124*VLOOKUP('Données projet'!$B$11,Paramètres!$A$1:$I$88,3,0)*0.475*44/12</f>
        <v>22.377363053732036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100.44049574788897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projet'!$B$12,Paramètres!$A$1:$I$88,3,0)*VLOOKUP('Données projet'!$B$12,Paramètres!$A$1:$I$88,5,0)</f>
        <v>-1.3596945791505279E-13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405.42845699663462</v>
      </c>
      <c r="CE124" s="62">
        <f t="shared" si="94"/>
        <v>292.26503163353146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109.40500144955689</v>
      </c>
      <c r="CL124" s="23">
        <f>EXP(-LN(2)/25)*CL123+(1-EXP(-LN(2)/25))/(LN(2)/25)*Calculateur!CG124*Calculateur!CI124*VLOOKUP('Données projet'!$B$12,Paramètres!$A$1:$I$88,3,0)*0.475*44/12</f>
        <v>35.229357549468965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144.63435899902586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4.666666666666667</v>
      </c>
      <c r="N125" s="14">
        <f>IF('Données projet'!$A$36&gt;35,N124+M125-V124,IF(A125&lt;'Données projet'!$A$36,$K$205^A125,IF(A125='Données projet'!$A$36,'Données projet'!$B$36,N124+M125-V124)))</f>
        <v>225.33333333333331</v>
      </c>
      <c r="O125" s="14">
        <f>N125*VLOOKUP('Données projet'!$B$9,Paramètres!$A$1:$I$88,3,0)*VLOOKUP('Données projet'!$B$9,Paramètres!$A$1:$I$88,5,0)</f>
        <v>203.88159999999996</v>
      </c>
      <c r="P125" s="14">
        <f t="shared" si="87"/>
        <v>50.596269241536007</v>
      </c>
      <c r="Q125" s="22">
        <f t="shared" si="107"/>
        <v>443.21562226234187</v>
      </c>
      <c r="R125" s="62">
        <f t="shared" si="55"/>
        <v>736.54895559567512</v>
      </c>
      <c r="S125" s="62">
        <f ca="1">AVERAGE(OFFSET($R$3,0,0,'Données projet'!$E$9+1,1))-AVERAGE(OFFSET($H$3,0,0,'Données projet'!$E$9+1,1))</f>
        <v>329.02356155998905</v>
      </c>
      <c r="T125" s="62">
        <f t="shared" si="88"/>
        <v>199.43308683696642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32.351248468022838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32.351248468022838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160.55473404658039</v>
      </c>
      <c r="AO125" s="62">
        <f t="shared" si="90"/>
        <v>188.70262429536223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22.33350691536566</v>
      </c>
      <c r="AV125" s="23">
        <f>EXP(-LN(2)/25)*AV124+(1-EXP(-LN(2)/25))/(LN(2)/25)*Calculateur!AQ125*Calculateur!AS125*VLOOKUP('Données projet'!$B$10,Paramètres!$A$1:$I$88,3,0)*0.475*44/12</f>
        <v>7.0644217829625902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29.397928698328251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4.5474735088646412E-13</v>
      </c>
      <c r="BE125" s="14">
        <f>BD125*VLOOKUP('Données projet'!$B$11,Paramètres!$A$1:$I$88,3,0)*VLOOKUP('Données projet'!$B$11,Paramètres!$A$1:$I$88,5,0)</f>
        <v>2.5420376914553347E-13</v>
      </c>
      <c r="BF125" s="14">
        <f t="shared" si="91"/>
        <v>3.4258699088369875E-12</v>
      </c>
      <c r="BG125" s="22">
        <f t="shared" si="61"/>
        <v>6.4094616558195571E-12</v>
      </c>
      <c r="BH125" s="62">
        <f t="shared" si="62"/>
        <v>293.33333333333974</v>
      </c>
      <c r="BI125" s="62">
        <f ca="1">AVERAGE(OFFSET($BH$3,0,0,'Données projet'!$E$11+1,1))-AVERAGE(OFFSET($H$3,0,0,'Données projet'!$E$11+1,1))</f>
        <v>358.417829688045</v>
      </c>
      <c r="BJ125" s="62">
        <f t="shared" si="92"/>
        <v>394.03759949558713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76.532362275833989</v>
      </c>
      <c r="BQ125" s="23">
        <f>EXP(-LN(2)/25)*BQ124+(1-EXP(-LN(2)/25))/(LN(2)/25)*Calculateur!BL125*Calculateur!BN125*VLOOKUP('Données projet'!$B$11,Paramètres!$A$1:$I$88,3,0)*0.475*44/12</f>
        <v>21.765452884253357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98.297815160087339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projet'!$B$12,Paramètres!$A$1:$I$88,3,0)*VLOOKUP('Données projet'!$B$12,Paramètres!$A$1:$I$88,5,0)</f>
        <v>-1.3596945791505279E-13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405.42845699663462</v>
      </c>
      <c r="CE125" s="62">
        <f t="shared" si="94"/>
        <v>292.26503163353146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107.25963610159287</v>
      </c>
      <c r="CL125" s="23">
        <f>EXP(-LN(2)/25)*CL124+(1-EXP(-LN(2)/25))/(LN(2)/25)*Calculateur!CG125*Calculateur!CI125*VLOOKUP('Données projet'!$B$12,Paramètres!$A$1:$I$88,3,0)*0.475*44/12</f>
        <v>34.266008914647337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141.52564501624022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4.666666666666667</v>
      </c>
      <c r="N126" s="14">
        <f>IF('Données projet'!$A$36&gt;35,N125+M126-V125,IF(A126&lt;'Données projet'!$A$36,$K$205^A126,IF(A126='Données projet'!$A$36,'Données projet'!$B$36,N125+M126-V125)))</f>
        <v>229.99999999999997</v>
      </c>
      <c r="O126" s="14">
        <f>N126*VLOOKUP('Données projet'!$B$9,Paramètres!$A$1:$I$88,3,0)*VLOOKUP('Données projet'!$B$9,Paramètres!$A$1:$I$88,5,0)</f>
        <v>208.10399999999998</v>
      </c>
      <c r="P126" s="14">
        <f t="shared" si="87"/>
        <v>51.52104354893045</v>
      </c>
      <c r="Q126" s="22">
        <f t="shared" si="107"/>
        <v>452.18028418105382</v>
      </c>
      <c r="R126" s="62">
        <f t="shared" si="55"/>
        <v>745.51361751438708</v>
      </c>
      <c r="S126" s="62">
        <f ca="1">AVERAGE(OFFSET($R$3,0,0,'Données projet'!$E$9+1,1))-AVERAGE(OFFSET($H$3,0,0,'Données projet'!$E$9+1,1))</f>
        <v>329.02356155998905</v>
      </c>
      <c r="T126" s="62">
        <f t="shared" si="88"/>
        <v>199.43308683696642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31.716860217878072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31.716860217878072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160.55473404658039</v>
      </c>
      <c r="AO126" s="62">
        <f t="shared" si="90"/>
        <v>188.70262429536223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21.895560466849489</v>
      </c>
      <c r="AV126" s="23">
        <f>EXP(-LN(2)/25)*AV125+(1-EXP(-LN(2)/25))/(LN(2)/25)*Calculateur!AQ126*Calculateur!AS126*VLOOKUP('Données projet'!$B$10,Paramètres!$A$1:$I$88,3,0)*0.475*44/12</f>
        <v>6.8712447978056828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28.766805264655172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4.5474735088646412E-13</v>
      </c>
      <c r="BE126" s="14">
        <f>BD126*VLOOKUP('Données projet'!$B$11,Paramètres!$A$1:$I$88,3,0)*VLOOKUP('Données projet'!$B$11,Paramètres!$A$1:$I$88,5,0)</f>
        <v>2.5420376914553347E-13</v>
      </c>
      <c r="BF126" s="14">
        <f t="shared" si="91"/>
        <v>3.4258699088369875E-12</v>
      </c>
      <c r="BG126" s="22">
        <f t="shared" si="61"/>
        <v>6.4094616558195571E-12</v>
      </c>
      <c r="BH126" s="62">
        <f t="shared" si="62"/>
        <v>293.33333333333974</v>
      </c>
      <c r="BI126" s="62">
        <f ca="1">AVERAGE(OFFSET($BH$3,0,0,'Données projet'!$E$11+1,1))-AVERAGE(OFFSET($H$3,0,0,'Données projet'!$E$11+1,1))</f>
        <v>358.417829688045</v>
      </c>
      <c r="BJ126" s="62">
        <f t="shared" si="92"/>
        <v>394.03759949558713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75.03160933173659</v>
      </c>
      <c r="BQ126" s="23">
        <f>EXP(-LN(2)/25)*BQ125+(1-EXP(-LN(2)/25))/(LN(2)/25)*Calculateur!BL126*Calculateur!BN126*VLOOKUP('Données projet'!$B$11,Paramètres!$A$1:$I$88,3,0)*0.475*44/12</f>
        <v>21.170275430538027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96.201884762274616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projet'!$B$12,Paramètres!$A$1:$I$88,3,0)*VLOOKUP('Données projet'!$B$12,Paramètres!$A$1:$I$88,5,0)</f>
        <v>-1.3596945791505279E-13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405.42845699663462</v>
      </c>
      <c r="CE126" s="62">
        <f t="shared" si="94"/>
        <v>292.26503163353146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105.15634005955879</v>
      </c>
      <c r="CL126" s="23">
        <f>EXP(-LN(2)/25)*CL125+(1-EXP(-LN(2)/25))/(LN(2)/25)*Calculateur!CG126*Calculateur!CI126*VLOOKUP('Données projet'!$B$12,Paramètres!$A$1:$I$88,3,0)*0.475*44/12</f>
        <v>33.329003098905211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138.48534315846399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4.666666666666667</v>
      </c>
      <c r="N127" s="14">
        <f>IF('Données projet'!$A$36&gt;35,N126+M127-V126,IF(A127&lt;'Données projet'!$A$36,$K$205^A127,IF(A127='Données projet'!$A$36,'Données projet'!$B$36,N126+M127-V126)))</f>
        <v>234.66666666666663</v>
      </c>
      <c r="O127" s="14">
        <f>N127*VLOOKUP('Données projet'!$B$9,Paramètres!$A$1:$I$88,3,0)*VLOOKUP('Données projet'!$B$9,Paramètres!$A$1:$I$88,5,0)</f>
        <v>212.32639999999995</v>
      </c>
      <c r="P127" s="14">
        <f t="shared" si="87"/>
        <v>52.443636199504745</v>
      </c>
      <c r="Q127" s="22">
        <f t="shared" si="107"/>
        <v>461.141146380804</v>
      </c>
      <c r="R127" s="62">
        <f t="shared" si="55"/>
        <v>754.47447971413726</v>
      </c>
      <c r="S127" s="62">
        <f ca="1">AVERAGE(OFFSET($R$3,0,0,'Données projet'!$E$9+1,1))-AVERAGE(OFFSET($H$3,0,0,'Données projet'!$E$9+1,1))</f>
        <v>329.02356155998905</v>
      </c>
      <c r="T127" s="62">
        <f t="shared" si="88"/>
        <v>199.43308683696642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31.094911934380018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31.094911934380018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160.55473404658039</v>
      </c>
      <c r="AO127" s="62">
        <f t="shared" si="90"/>
        <v>188.70262429536223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21.466201881067761</v>
      </c>
      <c r="AV127" s="23">
        <f>EXP(-LN(2)/25)*AV126+(1-EXP(-LN(2)/25))/(LN(2)/25)*Calculateur!AQ127*Calculateur!AS127*VLOOKUP('Données projet'!$B$10,Paramètres!$A$1:$I$88,3,0)*0.475*44/12</f>
        <v>6.6833502474666266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28.149552128534388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4.5474735088646412E-13</v>
      </c>
      <c r="BE127" s="14">
        <f>BD127*VLOOKUP('Données projet'!$B$11,Paramètres!$A$1:$I$88,3,0)*VLOOKUP('Données projet'!$B$11,Paramètres!$A$1:$I$88,5,0)</f>
        <v>2.5420376914553347E-13</v>
      </c>
      <c r="BF127" s="14">
        <f t="shared" si="91"/>
        <v>3.4258699088369875E-12</v>
      </c>
      <c r="BG127" s="22">
        <f t="shared" si="61"/>
        <v>6.4094616558195571E-12</v>
      </c>
      <c r="BH127" s="62">
        <f t="shared" si="62"/>
        <v>293.33333333333974</v>
      </c>
      <c r="BI127" s="62">
        <f ca="1">AVERAGE(OFFSET($BH$3,0,0,'Données projet'!$E$11+1,1))-AVERAGE(OFFSET($H$3,0,0,'Données projet'!$E$11+1,1))</f>
        <v>358.417829688045</v>
      </c>
      <c r="BJ127" s="62">
        <f t="shared" si="92"/>
        <v>394.03759949558713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73.560285237504033</v>
      </c>
      <c r="BQ127" s="23">
        <f>EXP(-LN(2)/25)*BQ126+(1-EXP(-LN(2)/25))/(LN(2)/25)*Calculateur!BL127*Calculateur!BN127*VLOOKUP('Données projet'!$B$11,Paramètres!$A$1:$I$88,3,0)*0.475*44/12</f>
        <v>20.591373135593564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94.151658373097604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projet'!$B$12,Paramètres!$A$1:$I$88,3,0)*VLOOKUP('Données projet'!$B$12,Paramètres!$A$1:$I$88,5,0)</f>
        <v>-1.3596945791505279E-13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405.42845699663462</v>
      </c>
      <c r="CE127" s="62">
        <f t="shared" si="94"/>
        <v>292.26503163353146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103.09428837002507</v>
      </c>
      <c r="CL127" s="23">
        <f>EXP(-LN(2)/25)*CL126+(1-EXP(-LN(2)/25))/(LN(2)/25)*Calculateur!CG127*Calculateur!CI127*VLOOKUP('Données projet'!$B$12,Paramètres!$A$1:$I$88,3,0)*0.475*44/12</f>
        <v>32.417619756469549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135.51190812649463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4.666666666666667</v>
      </c>
      <c r="N128" s="14">
        <f>IF('Données projet'!$A$36&gt;35,N127+M128-V127,IF(A128&lt;'Données projet'!$A$36,$K$205^A128,IF(A128='Données projet'!$A$36,'Données projet'!$B$36,N127+M128-V127)))</f>
        <v>239.33333333333329</v>
      </c>
      <c r="O128" s="14">
        <f>N128*VLOOKUP('Données projet'!$B$9,Paramètres!$A$1:$I$88,3,0)*VLOOKUP('Données projet'!$B$9,Paramètres!$A$1:$I$88,5,0)</f>
        <v>216.54879999999997</v>
      </c>
      <c r="P128" s="14">
        <f t="shared" si="87"/>
        <v>53.364095578940479</v>
      </c>
      <c r="Q128" s="22">
        <f t="shared" si="107"/>
        <v>470.09829313332119</v>
      </c>
      <c r="R128" s="62">
        <f t="shared" si="55"/>
        <v>763.43162646665451</v>
      </c>
      <c r="S128" s="62">
        <f ca="1">AVERAGE(OFFSET($R$3,0,0,'Données projet'!$E$9+1,1))-AVERAGE(OFFSET($H$3,0,0,'Données projet'!$E$9+1,1))</f>
        <v>329.02356155998905</v>
      </c>
      <c r="T128" s="62">
        <f t="shared" si="88"/>
        <v>199.43308683696642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30.485159677370365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30.485159677370365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160.55473404658039</v>
      </c>
      <c r="AO128" s="62">
        <f t="shared" si="90"/>
        <v>188.70262429536223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21.045262755270333</v>
      </c>
      <c r="AV128" s="23">
        <f>EXP(-LN(2)/25)*AV127+(1-EXP(-LN(2)/25))/(LN(2)/25)*Calculateur!AQ128*Calculateur!AS128*VLOOKUP('Données projet'!$B$10,Paramètres!$A$1:$I$88,3,0)*0.475*44/12</f>
        <v>6.5005936834875371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27.54585643875787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4.5474735088646412E-13</v>
      </c>
      <c r="BE128" s="14">
        <f>BD128*VLOOKUP('Données projet'!$B$11,Paramètres!$A$1:$I$88,3,0)*VLOOKUP('Données projet'!$B$11,Paramètres!$A$1:$I$88,5,0)</f>
        <v>2.5420376914553347E-13</v>
      </c>
      <c r="BF128" s="14">
        <f t="shared" si="91"/>
        <v>3.4258699088369875E-12</v>
      </c>
      <c r="BG128" s="22">
        <f t="shared" si="61"/>
        <v>6.4094616558195571E-12</v>
      </c>
      <c r="BH128" s="62">
        <f t="shared" si="62"/>
        <v>293.33333333333974</v>
      </c>
      <c r="BI128" s="62">
        <f ca="1">AVERAGE(OFFSET($BH$3,0,0,'Données projet'!$E$11+1,1))-AVERAGE(OFFSET($H$3,0,0,'Données projet'!$E$11+1,1))</f>
        <v>358.417829688045</v>
      </c>
      <c r="BJ128" s="62">
        <f t="shared" si="92"/>
        <v>394.03759949558713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72.117812911340295</v>
      </c>
      <c r="BQ128" s="23">
        <f>EXP(-LN(2)/25)*BQ127+(1-EXP(-LN(2)/25))/(LN(2)/25)*Calculateur!BL128*Calculateur!BN128*VLOOKUP('Données projet'!$B$11,Paramètres!$A$1:$I$88,3,0)*0.475*44/12</f>
        <v>20.028300954347507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92.146113865687795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projet'!$B$12,Paramètres!$A$1:$I$88,3,0)*VLOOKUP('Données projet'!$B$12,Paramètres!$A$1:$I$88,5,0)</f>
        <v>-1.3596945791505279E-13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405.42845699663462</v>
      </c>
      <c r="CE128" s="62">
        <f t="shared" si="94"/>
        <v>292.26503163353146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101.07267225639578</v>
      </c>
      <c r="CL128" s="23">
        <f>EXP(-LN(2)/25)*CL127+(1-EXP(-LN(2)/25))/(LN(2)/25)*Calculateur!CG128*Calculateur!CI128*VLOOKUP('Données projet'!$B$12,Paramètres!$A$1:$I$88,3,0)*0.475*44/12</f>
        <v>31.531158239460357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132.60383049585613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>
        <f>VLOOKUP(A129,'Données projet'!$A$35:$I$55,2,0)</f>
        <v>244</v>
      </c>
      <c r="L129" s="13">
        <f>VLOOKUP(A129,'Données projet'!$A$35:$I$55,9,0)</f>
        <v>4.666666666666667</v>
      </c>
      <c r="M129" s="13">
        <f t="array" ref="M129">INDEX(L:L,MIN(IF(ISNUMBER(L129:L325),ROW(L129:L325),"")))</f>
        <v>4.666666666666667</v>
      </c>
      <c r="N129" s="14">
        <f>IF('Données projet'!$A$36&gt;35,N128+M129-V128,IF(A129&lt;'Données projet'!$A$36,$K$205^A129,IF(A129='Données projet'!$A$36,'Données projet'!$B$36,N128+M129-V128)))</f>
        <v>243.99999999999994</v>
      </c>
      <c r="O129" s="14">
        <f>N129*VLOOKUP('Données projet'!$B$9,Paramètres!$A$1:$I$88,3,0)*VLOOKUP('Données projet'!$B$9,Paramètres!$A$1:$I$88,5,0)</f>
        <v>220.77119999999994</v>
      </c>
      <c r="P129" s="14">
        <f t="shared" si="87"/>
        <v>54.28246807807983</v>
      </c>
      <c r="Q129" s="22">
        <f t="shared" si="107"/>
        <v>479.05180523598892</v>
      </c>
      <c r="R129" s="62">
        <f t="shared" si="55"/>
        <v>772.38513856932218</v>
      </c>
      <c r="S129" s="62">
        <f ca="1">AVERAGE(OFFSET($R$3,0,0,'Données projet'!$E$9+1,1))-AVERAGE(OFFSET($H$3,0,0,'Données projet'!$E$9+1,1))</f>
        <v>329.02356155998905</v>
      </c>
      <c r="T129" s="62">
        <f t="shared" si="88"/>
        <v>199.43308683696642</v>
      </c>
      <c r="U129" s="16">
        <f>IF(ISNA(VLOOKUP(A129,'Données projet'!$A$35:$I$55,3,0)),0,VLOOKUP(A129,'Données projet'!$A$35:$I$55,3,0))</f>
        <v>10</v>
      </c>
      <c r="V129" s="16">
        <f>IF(ISNA(VLOOKUP(A129,'Données projet'!$A$35:$I$55,4,0)),0,VLOOKUP(A129,'Données projet'!$A$35:$I$55,4,0))</f>
        <v>39</v>
      </c>
      <c r="W129" s="17">
        <f>IF(ISNA(VLOOKUP(A129,'Données projet'!$A$35:$I$55,5,0)),0%,VLOOKUP(A129,'Données projet'!$A$35:$I$55,5,0)*VLOOKUP('Données projet'!$B$9,Paramètres!$A$1:$I$88,7,0))</f>
        <v>0.25800000000000001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39.951674519385541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39.951674519385541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160.55473404658039</v>
      </c>
      <c r="AO129" s="62">
        <f t="shared" si="90"/>
        <v>188.70262429536223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20.632577988982277</v>
      </c>
      <c r="AV129" s="23">
        <f>EXP(-LN(2)/25)*AV128+(1-EXP(-LN(2)/25))/(LN(2)/25)*Calculateur!AQ129*Calculateur!AS129*VLOOKUP('Données projet'!$B$10,Paramètres!$A$1:$I$88,3,0)*0.475*44/12</f>
        <v>6.3228346073612061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26.955412596343482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4.5474735088646412E-13</v>
      </c>
      <c r="BE129" s="14">
        <f>BD129*VLOOKUP('Données projet'!$B$11,Paramètres!$A$1:$I$88,3,0)*VLOOKUP('Données projet'!$B$11,Paramètres!$A$1:$I$88,5,0)</f>
        <v>2.5420376914553347E-13</v>
      </c>
      <c r="BF129" s="14">
        <f t="shared" si="91"/>
        <v>3.4258699088369875E-12</v>
      </c>
      <c r="BG129" s="22">
        <f t="shared" si="61"/>
        <v>6.4094616558195571E-12</v>
      </c>
      <c r="BH129" s="62">
        <f t="shared" si="62"/>
        <v>293.33333333333974</v>
      </c>
      <c r="BI129" s="62">
        <f ca="1">AVERAGE(OFFSET($BH$3,0,0,'Données projet'!$E$11+1,1))-AVERAGE(OFFSET($H$3,0,0,'Données projet'!$E$11+1,1))</f>
        <v>358.417829688045</v>
      </c>
      <c r="BJ129" s="62">
        <f t="shared" si="92"/>
        <v>394.03759949558713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70.70362658767138</v>
      </c>
      <c r="BQ129" s="23">
        <f>EXP(-LN(2)/25)*BQ128+(1-EXP(-LN(2)/25))/(LN(2)/25)*Calculateur!BL129*Calculateur!BN129*VLOOKUP('Données projet'!$B$11,Paramètres!$A$1:$I$88,3,0)*0.475*44/12</f>
        <v>19.480626011508303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90.184252599179686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projet'!$B$12,Paramètres!$A$1:$I$88,3,0)*VLOOKUP('Données projet'!$B$12,Paramètres!$A$1:$I$88,5,0)</f>
        <v>-1.3596945791505279E-13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405.42845699663462</v>
      </c>
      <c r="CE129" s="62">
        <f t="shared" si="94"/>
        <v>292.26503163353146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99.090698801690678</v>
      </c>
      <c r="CL129" s="23">
        <f>EXP(-LN(2)/25)*CL128+(1-EXP(-LN(2)/25))/(LN(2)/25)*Calculateur!CG129*Calculateur!CI129*VLOOKUP('Données projet'!$B$12,Paramètres!$A$1:$I$88,3,0)*0.475*44/12</f>
        <v>30.668937059250766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129.75963586094144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4.75</v>
      </c>
      <c r="N130" s="14">
        <f>IF('Données projet'!$A$36&gt;35,N129+M130-V129,IF(A130&lt;'Données projet'!$A$36,$K$205^A130,IF(A130='Données projet'!$A$36,'Données projet'!$B$36,N129+M130-V129)))</f>
        <v>209.74999999999994</v>
      </c>
      <c r="O130" s="14">
        <f>N130*VLOOKUP('Données projet'!$B$9,Paramètres!$A$1:$I$88,3,0)*VLOOKUP('Données projet'!$B$9,Paramètres!$A$1:$I$88,5,0)</f>
        <v>189.78179999999995</v>
      </c>
      <c r="P130" s="14">
        <f t="shared" si="87"/>
        <v>47.49170870356766</v>
      </c>
      <c r="Q130" s="22">
        <f t="shared" si="107"/>
        <v>413.25136099204695</v>
      </c>
      <c r="R130" s="62">
        <f t="shared" si="55"/>
        <v>706.58469432538027</v>
      </c>
      <c r="S130" s="62">
        <f ca="1">AVERAGE(OFFSET($R$3,0,0,'Données projet'!$E$9+1,1))-AVERAGE(OFFSET($H$3,0,0,'Données projet'!$E$9+1,1))</f>
        <v>329.02356155998905</v>
      </c>
      <c r="T130" s="62">
        <f t="shared" si="88"/>
        <v>199.43308683696642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39.168246550175695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39.168246550175695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160.55473404658039</v>
      </c>
      <c r="AO130" s="62">
        <f t="shared" si="90"/>
        <v>188.70262429536223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20.227985719248277</v>
      </c>
      <c r="AV130" s="23">
        <f>EXP(-LN(2)/25)*AV129+(1-EXP(-LN(2)/25))/(LN(2)/25)*Calculateur!AQ130*Calculateur!AS130*VLOOKUP('Données projet'!$B$10,Paramètres!$A$1:$I$88,3,0)*0.475*44/12</f>
        <v>6.1499363625194929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26.377922081767771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4.5474735088646412E-13</v>
      </c>
      <c r="BE130" s="14">
        <f>BD130*VLOOKUP('Données projet'!$B$11,Paramètres!$A$1:$I$88,3,0)*VLOOKUP('Données projet'!$B$11,Paramètres!$A$1:$I$88,5,0)</f>
        <v>2.5420376914553347E-13</v>
      </c>
      <c r="BF130" s="14">
        <f t="shared" si="91"/>
        <v>3.4258699088369875E-12</v>
      </c>
      <c r="BG130" s="22">
        <f t="shared" si="61"/>
        <v>6.4094616558195571E-12</v>
      </c>
      <c r="BH130" s="62">
        <f t="shared" si="62"/>
        <v>293.33333333333974</v>
      </c>
      <c r="BI130" s="62">
        <f ca="1">AVERAGE(OFFSET($BH$3,0,0,'Données projet'!$E$11+1,1))-AVERAGE(OFFSET($H$3,0,0,'Données projet'!$E$11+1,1))</f>
        <v>358.417829688045</v>
      </c>
      <c r="BJ130" s="62">
        <f t="shared" si="92"/>
        <v>394.03759949558713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69.31717159524112</v>
      </c>
      <c r="BQ130" s="23">
        <f>EXP(-LN(2)/25)*BQ129+(1-EXP(-LN(2)/25))/(LN(2)/25)*Calculateur!BL130*Calculateur!BN130*VLOOKUP('Données projet'!$B$11,Paramètres!$A$1:$I$88,3,0)*0.475*44/12</f>
        <v>18.94792726878201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88.26509886402313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projet'!$B$12,Paramètres!$A$1:$I$88,3,0)*VLOOKUP('Données projet'!$B$12,Paramètres!$A$1:$I$88,5,0)</f>
        <v>-1.3596945791505279E-13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405.42845699663462</v>
      </c>
      <c r="CE130" s="62">
        <f t="shared" si="94"/>
        <v>292.26503163353146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97.147590637547907</v>
      </c>
      <c r="CL130" s="23">
        <f>EXP(-LN(2)/25)*CL129+(1-EXP(-LN(2)/25))/(LN(2)/25)*Calculateur!CG130*Calculateur!CI130*VLOOKUP('Données projet'!$B$12,Paramètres!$A$1:$I$88,3,0)*0.475*44/12</f>
        <v>29.830293362556247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126.97788400010415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4.75</v>
      </c>
      <c r="N131" s="14">
        <f>IF('Données projet'!$A$36&gt;35,N130+M131-V130,IF(A131&lt;'Données projet'!$A$36,$K$205^A131,IF(A131='Données projet'!$A$36,'Données projet'!$B$36,N130+M131-V130)))</f>
        <v>214.49999999999994</v>
      </c>
      <c r="O131" s="14">
        <f>N131*VLOOKUP('Données projet'!$B$9,Paramètres!$A$1:$I$88,3,0)*VLOOKUP('Données projet'!$B$9,Paramètres!$A$1:$I$88,5,0)</f>
        <v>194.07959999999994</v>
      </c>
      <c r="P131" s="14">
        <f t="shared" si="87"/>
        <v>48.440776285484404</v>
      </c>
      <c r="Q131" s="22">
        <f t="shared" ref="Q131:Q153" si="108">(O131+P131)*0.475*44/12</f>
        <v>422.3896553638852</v>
      </c>
      <c r="R131" s="62">
        <f t="shared" ref="R131:R194" si="109">Q131+(I131+J131)*44/12</f>
        <v>715.72298869721851</v>
      </c>
      <c r="S131" s="62">
        <f ca="1">AVERAGE(OFFSET($R$3,0,0,'Données projet'!$E$9+1,1))-AVERAGE(OFFSET($H$3,0,0,'Données projet'!$E$9+1,1))</f>
        <v>329.02356155998905</v>
      </c>
      <c r="T131" s="62">
        <f t="shared" si="88"/>
        <v>199.43308683696642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38.400181125598174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38.400181125598174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160.55473404658039</v>
      </c>
      <c r="AO131" s="62">
        <f t="shared" si="90"/>
        <v>188.70262429536223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19.831327257146846</v>
      </c>
      <c r="AV131" s="23">
        <f>EXP(-LN(2)/25)*AV130+(1-EXP(-LN(2)/25))/(LN(2)/25)*Calculateur!AQ131*Calculateur!AS131*VLOOKUP('Données projet'!$B$10,Paramètres!$A$1:$I$88,3,0)*0.475*44/12</f>
        <v>5.9817660292752999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25.813093286422145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4.5474735088646412E-13</v>
      </c>
      <c r="BE131" s="14">
        <f>BD131*VLOOKUP('Données projet'!$B$11,Paramètres!$A$1:$I$88,3,0)*VLOOKUP('Données projet'!$B$11,Paramètres!$A$1:$I$88,5,0)</f>
        <v>2.5420376914553347E-13</v>
      </c>
      <c r="BF131" s="14">
        <f t="shared" si="91"/>
        <v>3.4258699088369875E-12</v>
      </c>
      <c r="BG131" s="22">
        <f t="shared" si="61"/>
        <v>6.4094616558195571E-12</v>
      </c>
      <c r="BH131" s="62">
        <f t="shared" si="62"/>
        <v>293.33333333333974</v>
      </c>
      <c r="BI131" s="62">
        <f ca="1">AVERAGE(OFFSET($BH$3,0,0,'Données projet'!$E$11+1,1))-AVERAGE(OFFSET($H$3,0,0,'Données projet'!$E$11+1,1))</f>
        <v>358.417829688045</v>
      </c>
      <c r="BJ131" s="62">
        <f t="shared" si="92"/>
        <v>394.03759949558713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67.95790413955838</v>
      </c>
      <c r="BQ131" s="23">
        <f>EXP(-LN(2)/25)*BQ130+(1-EXP(-LN(2)/25))/(LN(2)/25)*Calculateur!BL131*Calculateur!BN131*VLOOKUP('Données projet'!$B$11,Paramètres!$A$1:$I$88,3,0)*0.475*44/12</f>
        <v>18.429795201188977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86.387699340747361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projet'!$B$12,Paramètres!$A$1:$I$88,3,0)*VLOOKUP('Données projet'!$B$12,Paramètres!$A$1:$I$88,5,0)</f>
        <v>-1.3596945791505279E-13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405.42845699663462</v>
      </c>
      <c r="CE131" s="62">
        <f t="shared" si="94"/>
        <v>292.26503163353146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95.242585639325014</v>
      </c>
      <c r="CL131" s="23">
        <f>EXP(-LN(2)/25)*CL130+(1-EXP(-LN(2)/25))/(LN(2)/25)*Calculateur!CG131*Calculateur!CI131*VLOOKUP('Données projet'!$B$12,Paramètres!$A$1:$I$88,3,0)*0.475*44/12</f>
        <v>29.014582421850196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124.25716806117521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4.75</v>
      </c>
      <c r="N132" s="14">
        <f>IF('Données projet'!$A$36&gt;35,N131+M132-V131,IF(A132&lt;'Données projet'!$A$36,$K$205^A132,IF(A132='Données projet'!$A$36,'Données projet'!$B$36,N131+M132-V131)))</f>
        <v>219.24999999999994</v>
      </c>
      <c r="O132" s="14">
        <f>N132*VLOOKUP('Données projet'!$B$9,Paramètres!$A$1:$I$88,3,0)*VLOOKUP('Données projet'!$B$9,Paramètres!$A$1:$I$88,5,0)</f>
        <v>198.37739999999994</v>
      </c>
      <c r="P132" s="14">
        <f t="shared" si="87"/>
        <v>49.387400468650156</v>
      </c>
      <c r="Q132" s="22">
        <f t="shared" si="108"/>
        <v>431.52369414956564</v>
      </c>
      <c r="R132" s="62">
        <f t="shared" si="109"/>
        <v>724.85702748289896</v>
      </c>
      <c r="S132" s="62">
        <f ca="1">AVERAGE(OFFSET($R$3,0,0,'Données projet'!$E$9+1,1))-AVERAGE(OFFSET($H$3,0,0,'Données projet'!$E$9+1,1))</f>
        <v>329.02356155998905</v>
      </c>
      <c r="T132" s="62">
        <f t="shared" si="88"/>
        <v>199.43308683696642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37.647176995522969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37.647176995522969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160.55473404658039</v>
      </c>
      <c r="AO132" s="62">
        <f t="shared" si="90"/>
        <v>188.70262429536223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19.442447025549452</v>
      </c>
      <c r="AV132" s="23">
        <f>EXP(-LN(2)/25)*AV131+(1-EXP(-LN(2)/25))/(LN(2)/25)*Calculateur!AQ132*Calculateur!AS132*VLOOKUP('Données projet'!$B$10,Paramètres!$A$1:$I$88,3,0)*0.475*44/12</f>
        <v>5.8181943226373631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25.260641348186816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4.5474735088646412E-13</v>
      </c>
      <c r="BE132" s="14">
        <f>BD132*VLOOKUP('Données projet'!$B$11,Paramètres!$A$1:$I$88,3,0)*VLOOKUP('Données projet'!$B$11,Paramètres!$A$1:$I$88,5,0)</f>
        <v>2.5420376914553347E-13</v>
      </c>
      <c r="BF132" s="14">
        <f t="shared" si="91"/>
        <v>3.4258699088369875E-12</v>
      </c>
      <c r="BG132" s="22">
        <f t="shared" ref="BG132:BG153" si="115">(BE132+BF132)*0.475*44/12</f>
        <v>6.4094616558195571E-12</v>
      </c>
      <c r="BH132" s="62">
        <f t="shared" ref="BH132:BH195" si="116">BG132+(AY132+AZ132)*44/12</f>
        <v>293.33333333333974</v>
      </c>
      <c r="BI132" s="62">
        <f ca="1">AVERAGE(OFFSET($BH$3,0,0,'Données projet'!$E$11+1,1))-AVERAGE(OFFSET($H$3,0,0,'Données projet'!$E$11+1,1))</f>
        <v>358.417829688045</v>
      </c>
      <c r="BJ132" s="62">
        <f t="shared" si="92"/>
        <v>394.03759949558713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66.6252910896103</v>
      </c>
      <c r="BQ132" s="23">
        <f>EXP(-LN(2)/25)*BQ131+(1-EXP(-LN(2)/25))/(LN(2)/25)*Calculateur!BL132*Calculateur!BN132*VLOOKUP('Données projet'!$B$11,Paramètres!$A$1:$I$88,3,0)*0.475*44/12</f>
        <v>17.925831482231658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84.551122571841958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projet'!$B$12,Paramètres!$A$1:$I$88,3,0)*VLOOKUP('Données projet'!$B$12,Paramètres!$A$1:$I$88,5,0)</f>
        <v>-1.3596945791505279E-13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405.42845699663462</v>
      </c>
      <c r="CE132" s="62">
        <f t="shared" si="94"/>
        <v>292.26503163353146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93.374936627178954</v>
      </c>
      <c r="CL132" s="23">
        <f>EXP(-LN(2)/25)*CL131+(1-EXP(-LN(2)/25))/(LN(2)/25)*Calculateur!CG132*Calculateur!CI132*VLOOKUP('Données projet'!$B$12,Paramètres!$A$1:$I$88,3,0)*0.475*44/12</f>
        <v>28.221177139714126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121.59611376689308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4.75</v>
      </c>
      <c r="N133" s="14">
        <f>IF('Données projet'!$A$36&gt;35,N132+M133-V132,IF(A133&lt;'Données projet'!$A$36,$K$205^A133,IF(A133='Données projet'!$A$36,'Données projet'!$B$36,N132+M133-V132)))</f>
        <v>223.99999999999994</v>
      </c>
      <c r="O133" s="14">
        <f>N133*VLOOKUP('Données projet'!$B$9,Paramètres!$A$1:$I$88,3,0)*VLOOKUP('Données projet'!$B$9,Paramètres!$A$1:$I$88,5,0)</f>
        <v>202.67519999999993</v>
      </c>
      <c r="P133" s="14">
        <f t="shared" ref="P133:P196" si="141">EXP(-1.0587+0.8836*LN(O133)+0.284)</f>
        <v>50.33164028531364</v>
      </c>
      <c r="Q133" s="22">
        <f t="shared" si="108"/>
        <v>440.65358016358778</v>
      </c>
      <c r="R133" s="62">
        <f t="shared" si="109"/>
        <v>733.98691349692103</v>
      </c>
      <c r="S133" s="62">
        <f ca="1">AVERAGE(OFFSET($R$3,0,0,'Données projet'!$E$9+1,1))-AVERAGE(OFFSET($H$3,0,0,'Données projet'!$E$9+1,1))</f>
        <v>329.02356155998905</v>
      </c>
      <c r="T133" s="62">
        <f t="shared" ref="T133:T196" si="142">$T$3</f>
        <v>199.43308683696642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36.908938817151373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36.908938817151373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160.55473404658039</v>
      </c>
      <c r="AO133" s="62">
        <f t="shared" ref="AO133:AO196" si="144">$AO$3</f>
        <v>188.70262429536223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19.061192498100162</v>
      </c>
      <c r="AV133" s="23">
        <f>EXP(-LN(2)/25)*AV132+(1-EXP(-LN(2)/25))/(LN(2)/25)*Calculateur!AQ133*Calculateur!AS133*VLOOKUP('Données projet'!$B$10,Paramètres!$A$1:$I$88,3,0)*0.475*44/12</f>
        <v>5.6590954929193025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24.720287991019465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4.5474735088646412E-13</v>
      </c>
      <c r="BE133" s="14">
        <f>BD133*VLOOKUP('Données projet'!$B$11,Paramètres!$A$1:$I$88,3,0)*VLOOKUP('Données projet'!$B$11,Paramètres!$A$1:$I$88,5,0)</f>
        <v>2.5420376914553347E-13</v>
      </c>
      <c r="BF133" s="14">
        <f t="shared" ref="BF133:BF153" si="145">EXP(-1.0587+0.8836*LN(BE133)+0.284)</f>
        <v>3.4258699088369875E-12</v>
      </c>
      <c r="BG133" s="22">
        <f t="shared" si="115"/>
        <v>6.4094616558195571E-12</v>
      </c>
      <c r="BH133" s="62">
        <f t="shared" si="116"/>
        <v>293.33333333333974</v>
      </c>
      <c r="BI133" s="62">
        <f ca="1">AVERAGE(OFFSET($BH$3,0,0,'Données projet'!$E$11+1,1))-AVERAGE(OFFSET($H$3,0,0,'Données projet'!$E$11+1,1))</f>
        <v>358.417829688045</v>
      </c>
      <c r="BJ133" s="62">
        <f t="shared" ref="BJ133:BJ196" si="146">$BJ$3</f>
        <v>394.03759949558713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65.318809768758001</v>
      </c>
      <c r="BQ133" s="23">
        <f>EXP(-LN(2)/25)*BQ132+(1-EXP(-LN(2)/25))/(LN(2)/25)*Calculateur!BL133*Calculateur!BN133*VLOOKUP('Données projet'!$B$11,Paramètres!$A$1:$I$88,3,0)*0.475*44/12</f>
        <v>17.435648677671526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82.754458446429524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projet'!$B$12,Paramètres!$A$1:$I$88,3,0)*VLOOKUP('Données projet'!$B$12,Paramètres!$A$1:$I$88,5,0)</f>
        <v>-1.3596945791505279E-13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405.42845699663462</v>
      </c>
      <c r="CE133" s="62">
        <f t="shared" ref="CE133:CE196" si="148">$CE$3</f>
        <v>292.26503163353146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91.543911073007664</v>
      </c>
      <c r="CL133" s="23">
        <f>EXP(-LN(2)/25)*CL132+(1-EXP(-LN(2)/25))/(LN(2)/25)*Calculateur!CG133*Calculateur!CI133*VLOOKUP('Données projet'!$B$12,Paramètres!$A$1:$I$88,3,0)*0.475*44/12</f>
        <v>27.449467566741436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118.9933786397491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4.75</v>
      </c>
      <c r="N134" s="14">
        <f>IF('Données projet'!$A$36&gt;35,N133+M134-V133,IF(A134&lt;'Données projet'!$A$36,$K$205^A134,IF(A134='Données projet'!$A$36,'Données projet'!$B$36,N133+M134-V133)))</f>
        <v>228.74999999999994</v>
      </c>
      <c r="O134" s="14">
        <f>N134*VLOOKUP('Données projet'!$B$9,Paramètres!$A$1:$I$88,3,0)*VLOOKUP('Données projet'!$B$9,Paramètres!$A$1:$I$88,5,0)</f>
        <v>206.97299999999993</v>
      </c>
      <c r="P134" s="14">
        <f t="shared" si="141"/>
        <v>51.273552121085558</v>
      </c>
      <c r="Q134" s="22">
        <f t="shared" si="108"/>
        <v>449.77941161089052</v>
      </c>
      <c r="R134" s="62">
        <f t="shared" si="109"/>
        <v>743.11274494422378</v>
      </c>
      <c r="S134" s="62">
        <f ca="1">AVERAGE(OFFSET($R$3,0,0,'Données projet'!$E$9+1,1))-AVERAGE(OFFSET($H$3,0,0,'Données projet'!$E$9+1,1))</f>
        <v>329.02356155998905</v>
      </c>
      <c r="T134" s="62">
        <f t="shared" si="142"/>
        <v>199.43308683696642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36.185177039176814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36.185177039176814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160.55473404658039</v>
      </c>
      <c r="AO134" s="62">
        <f t="shared" si="144"/>
        <v>188.70262429536223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18.687414139391851</v>
      </c>
      <c r="AV134" s="23">
        <f>EXP(-LN(2)/25)*AV133+(1-EXP(-LN(2)/25))/(LN(2)/25)*Calculateur!AQ134*Calculateur!AS134*VLOOKUP('Données projet'!$B$10,Paramètres!$A$1:$I$88,3,0)*0.475*44/12</f>
        <v>5.5043472290665258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24.191761368458376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4.5474735088646412E-13</v>
      </c>
      <c r="BE134" s="14">
        <f>BD134*VLOOKUP('Données projet'!$B$11,Paramètres!$A$1:$I$88,3,0)*VLOOKUP('Données projet'!$B$11,Paramètres!$A$1:$I$88,5,0)</f>
        <v>2.5420376914553347E-13</v>
      </c>
      <c r="BF134" s="14">
        <f t="shared" si="145"/>
        <v>3.4258699088369875E-12</v>
      </c>
      <c r="BG134" s="22">
        <f t="shared" si="115"/>
        <v>6.4094616558195571E-12</v>
      </c>
      <c r="BH134" s="62">
        <f t="shared" si="116"/>
        <v>293.33333333333974</v>
      </c>
      <c r="BI134" s="62">
        <f ca="1">AVERAGE(OFFSET($BH$3,0,0,'Données projet'!$E$11+1,1))-AVERAGE(OFFSET($H$3,0,0,'Données projet'!$E$11+1,1))</f>
        <v>358.417829688045</v>
      </c>
      <c r="BJ134" s="62">
        <f t="shared" si="146"/>
        <v>394.03759949558713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64.037947749732695</v>
      </c>
      <c r="BQ134" s="23">
        <f>EXP(-LN(2)/25)*BQ133+(1-EXP(-LN(2)/25))/(LN(2)/25)*Calculateur!BL134*Calculateur!BN134*VLOOKUP('Données projet'!$B$11,Paramètres!$A$1:$I$88,3,0)*0.475*44/12</f>
        <v>16.958869947679684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80.996817697412382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projet'!$B$12,Paramètres!$A$1:$I$88,3,0)*VLOOKUP('Données projet'!$B$12,Paramètres!$A$1:$I$88,5,0)</f>
        <v>-1.3596945791505279E-13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405.42845699663462</v>
      </c>
      <c r="CE134" s="62">
        <f t="shared" si="148"/>
        <v>292.26503163353146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89.74879081313837</v>
      </c>
      <c r="CL134" s="23">
        <f>EXP(-LN(2)/25)*CL133+(1-EXP(-LN(2)/25))/(LN(2)/25)*Calculateur!CG134*Calculateur!CI134*VLOOKUP('Données projet'!$B$12,Paramètres!$A$1:$I$88,3,0)*0.475*44/12</f>
        <v>26.69886043262413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116.4476512457625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4.75</v>
      </c>
      <c r="N135" s="14">
        <f>IF('Données projet'!$A$36&gt;35,N134+M135-V134,IF(A135&lt;'Données projet'!$A$36,$K$205^A135,IF(A135='Données projet'!$A$36,'Données projet'!$B$36,N134+M135-V134)))</f>
        <v>233.49999999999994</v>
      </c>
      <c r="O135" s="14">
        <f>N135*VLOOKUP('Données projet'!$B$9,Paramètres!$A$1:$I$88,3,0)*VLOOKUP('Données projet'!$B$9,Paramètres!$A$1:$I$88,5,0)</f>
        <v>211.27079999999992</v>
      </c>
      <c r="P135" s="14">
        <f t="shared" si="141"/>
        <v>52.213189886050465</v>
      </c>
      <c r="Q135" s="22">
        <f t="shared" si="108"/>
        <v>458.90128238487108</v>
      </c>
      <c r="R135" s="62">
        <f t="shared" si="109"/>
        <v>752.2346157182044</v>
      </c>
      <c r="S135" s="62">
        <f ca="1">AVERAGE(OFFSET($R$3,0,0,'Données projet'!$E$9+1,1))-AVERAGE(OFFSET($H$3,0,0,'Données projet'!$E$9+1,1))</f>
        <v>329.02356155998905</v>
      </c>
      <c r="T135" s="62">
        <f t="shared" si="142"/>
        <v>199.43308683696642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35.475607788217239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35.475607788217239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160.55473404658039</v>
      </c>
      <c r="AO135" s="62">
        <f t="shared" si="144"/>
        <v>188.70262429536223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18.320965346315525</v>
      </c>
      <c r="AV135" s="23">
        <f>EXP(-LN(2)/25)*AV134+(1-EXP(-LN(2)/25))/(LN(2)/25)*Calculateur!AQ135*Calculateur!AS135*VLOOKUP('Données projet'!$B$10,Paramètres!$A$1:$I$88,3,0)*0.475*44/12</f>
        <v>5.3538305646266613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23.674795910942187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4.5474735088646412E-13</v>
      </c>
      <c r="BE135" s="14">
        <f>BD135*VLOOKUP('Données projet'!$B$11,Paramètres!$A$1:$I$88,3,0)*VLOOKUP('Données projet'!$B$11,Paramètres!$A$1:$I$88,5,0)</f>
        <v>2.5420376914553347E-13</v>
      </c>
      <c r="BF135" s="14">
        <f t="shared" si="145"/>
        <v>3.4258699088369875E-12</v>
      </c>
      <c r="BG135" s="22">
        <f t="shared" si="115"/>
        <v>6.4094616558195571E-12</v>
      </c>
      <c r="BH135" s="62">
        <f t="shared" si="116"/>
        <v>293.33333333333974</v>
      </c>
      <c r="BI135" s="62">
        <f ca="1">AVERAGE(OFFSET($BH$3,0,0,'Données projet'!$E$11+1,1))-AVERAGE(OFFSET($H$3,0,0,'Données projet'!$E$11+1,1))</f>
        <v>358.417829688045</v>
      </c>
      <c r="BJ135" s="62">
        <f t="shared" si="146"/>
        <v>394.03759949558713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62.78220265365178</v>
      </c>
      <c r="BQ135" s="23">
        <f>EXP(-LN(2)/25)*BQ134+(1-EXP(-LN(2)/25))/(LN(2)/25)*Calculateur!BL135*Calculateur!BN135*VLOOKUP('Données projet'!$B$11,Paramètres!$A$1:$I$88,3,0)*0.475*44/12</f>
        <v>16.495128757132171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79.277331410783944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projet'!$B$12,Paramètres!$A$1:$I$88,3,0)*VLOOKUP('Données projet'!$B$12,Paramètres!$A$1:$I$88,5,0)</f>
        <v>-1.3596945791505279E-13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405.42845699663462</v>
      </c>
      <c r="CE135" s="62">
        <f t="shared" si="148"/>
        <v>292.26503163353146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87.988871766649865</v>
      </c>
      <c r="CL135" s="23">
        <f>EXP(-LN(2)/25)*CL134+(1-EXP(-LN(2)/25))/(LN(2)/25)*Calculateur!CG135*Calculateur!CI135*VLOOKUP('Données projet'!$B$12,Paramètres!$A$1:$I$88,3,0)*0.475*44/12</f>
        <v>25.968778690061974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113.95765045671183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4.75</v>
      </c>
      <c r="N136" s="14">
        <f>IF('Données projet'!$A$36&gt;35,N135+M136-V135,IF(A136&lt;'Données projet'!$A$36,$K$205^A136,IF(A136='Données projet'!$A$36,'Données projet'!$B$36,N135+M136-V135)))</f>
        <v>238.24999999999994</v>
      </c>
      <c r="O136" s="14">
        <f>N136*VLOOKUP('Données projet'!$B$9,Paramètres!$A$1:$I$88,3,0)*VLOOKUP('Données projet'!$B$9,Paramètres!$A$1:$I$88,5,0)</f>
        <v>215.56859999999992</v>
      </c>
      <c r="P136" s="14">
        <f t="shared" si="141"/>
        <v>53.150605171562269</v>
      </c>
      <c r="Q136" s="22">
        <f t="shared" si="108"/>
        <v>468.01928234047074</v>
      </c>
      <c r="R136" s="62">
        <f t="shared" si="109"/>
        <v>761.35261567380405</v>
      </c>
      <c r="S136" s="62">
        <f ca="1">AVERAGE(OFFSET($R$3,0,0,'Données projet'!$E$9+1,1))-AVERAGE(OFFSET($H$3,0,0,'Données projet'!$E$9+1,1))</f>
        <v>329.02356155998905</v>
      </c>
      <c r="T136" s="62">
        <f t="shared" si="142"/>
        <v>199.43308683696642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34.779952757474476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34.779952757474476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160.55473404658039</v>
      </c>
      <c r="AO136" s="62">
        <f t="shared" si="144"/>
        <v>188.70262429536223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17.961702390559729</v>
      </c>
      <c r="AV136" s="23">
        <f>EXP(-LN(2)/25)*AV135+(1-EXP(-LN(2)/25))/(LN(2)/25)*Calculateur!AQ136*Calculateur!AS136*VLOOKUP('Données projet'!$B$10,Paramètres!$A$1:$I$88,3,0)*0.475*44/12</f>
        <v>5.2074297862912324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23.169132176850962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4.5474735088646412E-13</v>
      </c>
      <c r="BE136" s="14">
        <f>BD136*VLOOKUP('Données projet'!$B$11,Paramètres!$A$1:$I$88,3,0)*VLOOKUP('Données projet'!$B$11,Paramètres!$A$1:$I$88,5,0)</f>
        <v>2.5420376914553347E-13</v>
      </c>
      <c r="BF136" s="14">
        <f t="shared" si="145"/>
        <v>3.4258699088369875E-12</v>
      </c>
      <c r="BG136" s="22">
        <f t="shared" si="115"/>
        <v>6.4094616558195571E-12</v>
      </c>
      <c r="BH136" s="62">
        <f t="shared" si="116"/>
        <v>293.33333333333974</v>
      </c>
      <c r="BI136" s="62">
        <f ca="1">AVERAGE(OFFSET($BH$3,0,0,'Données projet'!$E$11+1,1))-AVERAGE(OFFSET($H$3,0,0,'Données projet'!$E$11+1,1))</f>
        <v>358.417829688045</v>
      </c>
      <c r="BJ136" s="62">
        <f t="shared" si="146"/>
        <v>394.03759949558713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61.551081952976133</v>
      </c>
      <c r="BQ136" s="23">
        <f>EXP(-LN(2)/25)*BQ135+(1-EXP(-LN(2)/25))/(LN(2)/25)*Calculateur!BL136*Calculateur!BN136*VLOOKUP('Données projet'!$B$11,Paramètres!$A$1:$I$88,3,0)*0.475*44/12</f>
        <v>16.044068593827269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77.59515054680341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projet'!$B$12,Paramètres!$A$1:$I$88,3,0)*VLOOKUP('Données projet'!$B$12,Paramètres!$A$1:$I$88,5,0)</f>
        <v>-1.3596945791505279E-13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405.42845699663462</v>
      </c>
      <c r="CE136" s="62">
        <f t="shared" si="148"/>
        <v>292.26503163353146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86.263463659218374</v>
      </c>
      <c r="CL136" s="23">
        <f>EXP(-LN(2)/25)*CL135+(1-EXP(-LN(2)/25))/(LN(2)/25)*Calculateur!CG136*Calculateur!CI136*VLOOKUP('Données projet'!$B$12,Paramètres!$A$1:$I$88,3,0)*0.475*44/12</f>
        <v>25.258661071143511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111.52212473036188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4.75</v>
      </c>
      <c r="N137" s="14">
        <f>IF('Données projet'!$A$36&gt;35,N136+M137-V136,IF(A137&lt;'Données projet'!$A$36,$K$205^A137,IF(A137='Données projet'!$A$36,'Données projet'!$B$36,N136+M137-V136)))</f>
        <v>242.99999999999994</v>
      </c>
      <c r="O137" s="14">
        <f>N137*VLOOKUP('Données projet'!$B$9,Paramètres!$A$1:$I$88,3,0)*VLOOKUP('Données projet'!$B$9,Paramètres!$A$1:$I$88,5,0)</f>
        <v>219.86639999999997</v>
      </c>
      <c r="P137" s="14">
        <f t="shared" si="141"/>
        <v>54.085847394182416</v>
      </c>
      <c r="Q137" s="22">
        <f t="shared" si="108"/>
        <v>477.13349754486762</v>
      </c>
      <c r="R137" s="62">
        <f t="shared" si="109"/>
        <v>770.46683087820088</v>
      </c>
      <c r="S137" s="62">
        <f ca="1">AVERAGE(OFFSET($R$3,0,0,'Données projet'!$E$9+1,1))-AVERAGE(OFFSET($H$3,0,0,'Données projet'!$E$9+1,1))</f>
        <v>329.02356155998905</v>
      </c>
      <c r="T137" s="62">
        <f t="shared" si="142"/>
        <v>199.43308683696642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34.097939097576905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34.097939097576905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160.55473404658039</v>
      </c>
      <c r="AO137" s="62">
        <f t="shared" si="144"/>
        <v>188.70262429536223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17.609484362237541</v>
      </c>
      <c r="AV137" s="23">
        <f>EXP(-LN(2)/25)*AV136+(1-EXP(-LN(2)/25))/(LN(2)/25)*Calculateur!AQ137*Calculateur!AS137*VLOOKUP('Données projet'!$B$10,Paramètres!$A$1:$I$88,3,0)*0.475*44/12</f>
        <v>5.0650323449382677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22.674516707175808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4.5474735088646412E-13</v>
      </c>
      <c r="BE137" s="14">
        <f>BD137*VLOOKUP('Données projet'!$B$11,Paramètres!$A$1:$I$88,3,0)*VLOOKUP('Données projet'!$B$11,Paramètres!$A$1:$I$88,5,0)</f>
        <v>2.5420376914553347E-13</v>
      </c>
      <c r="BF137" s="14">
        <f t="shared" si="145"/>
        <v>3.4258699088369875E-12</v>
      </c>
      <c r="BG137" s="22">
        <f t="shared" si="115"/>
        <v>6.4094616558195571E-12</v>
      </c>
      <c r="BH137" s="62">
        <f t="shared" si="116"/>
        <v>293.33333333333974</v>
      </c>
      <c r="BI137" s="62">
        <f ca="1">AVERAGE(OFFSET($BH$3,0,0,'Données projet'!$E$11+1,1))-AVERAGE(OFFSET($H$3,0,0,'Données projet'!$E$11+1,1))</f>
        <v>358.417829688045</v>
      </c>
      <c r="BJ137" s="62">
        <f t="shared" si="146"/>
        <v>394.03759949558713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60.344102778331255</v>
      </c>
      <c r="BQ137" s="23">
        <f>EXP(-LN(2)/25)*BQ136+(1-EXP(-LN(2)/25))/(LN(2)/25)*Calculateur!BL137*Calculateur!BN137*VLOOKUP('Données projet'!$B$11,Paramètres!$A$1:$I$88,3,0)*0.475*44/12</f>
        <v>15.605342694408165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75.949445472739427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projet'!$B$12,Paramètres!$A$1:$I$88,3,0)*VLOOKUP('Données projet'!$B$12,Paramètres!$A$1:$I$88,5,0)</f>
        <v>-1.3596945791505279E-13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405.42845699663462</v>
      </c>
      <c r="CE137" s="62">
        <f t="shared" si="148"/>
        <v>292.26503163353146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84.571889752378581</v>
      </c>
      <c r="CL137" s="23">
        <f>EXP(-LN(2)/25)*CL136+(1-EXP(-LN(2)/25))/(LN(2)/25)*Calculateur!CG137*Calculateur!CI137*VLOOKUP('Données projet'!$B$12,Paramètres!$A$1:$I$88,3,0)*0.475*44/12</f>
        <v>24.567961655857836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109.13985140823641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4.75</v>
      </c>
      <c r="N138" s="14">
        <f>IF('Données projet'!$A$36&gt;35,N137+M138-V137,IF(A138&lt;'Données projet'!$A$36,$K$205^A138,IF(A138='Données projet'!$A$36,'Données projet'!$B$36,N137+M138-V137)))</f>
        <v>247.74999999999994</v>
      </c>
      <c r="O138" s="14">
        <f>N138*VLOOKUP('Données projet'!$B$9,Paramètres!$A$1:$I$88,3,0)*VLOOKUP('Données projet'!$B$9,Paramètres!$A$1:$I$88,5,0)</f>
        <v>224.16419999999997</v>
      </c>
      <c r="P138" s="14">
        <f t="shared" si="141"/>
        <v>55.018963928045224</v>
      </c>
      <c r="Q138" s="22">
        <f t="shared" si="108"/>
        <v>486.24401050801202</v>
      </c>
      <c r="R138" s="62">
        <f t="shared" si="109"/>
        <v>779.57734384134528</v>
      </c>
      <c r="S138" s="62">
        <f ca="1">AVERAGE(OFFSET($R$3,0,0,'Données projet'!$E$9+1,1))-AVERAGE(OFFSET($H$3,0,0,'Données projet'!$E$9+1,1))</f>
        <v>329.02356155998905</v>
      </c>
      <c r="T138" s="62">
        <f t="shared" si="142"/>
        <v>199.43308683696642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33.429299309562673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33.429299309562673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160.55473404658039</v>
      </c>
      <c r="AO138" s="62">
        <f t="shared" si="144"/>
        <v>188.70262429536223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17.264173114618966</v>
      </c>
      <c r="AV138" s="23">
        <f>EXP(-LN(2)/25)*AV137+(1-EXP(-LN(2)/25))/(LN(2)/25)*Calculateur!AQ138*Calculateur!AS138*VLOOKUP('Données projet'!$B$10,Paramètres!$A$1:$I$88,3,0)*0.475*44/12</f>
        <v>4.9265287691074562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22.190701883726422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4.5474735088646412E-13</v>
      </c>
      <c r="BE138" s="14">
        <f>BD138*VLOOKUP('Données projet'!$B$11,Paramètres!$A$1:$I$88,3,0)*VLOOKUP('Données projet'!$B$11,Paramètres!$A$1:$I$88,5,0)</f>
        <v>2.5420376914553347E-13</v>
      </c>
      <c r="BF138" s="14">
        <f t="shared" si="145"/>
        <v>3.4258699088369875E-12</v>
      </c>
      <c r="BG138" s="22">
        <f t="shared" si="115"/>
        <v>6.4094616558195571E-12</v>
      </c>
      <c r="BH138" s="62">
        <f t="shared" si="116"/>
        <v>293.33333333333974</v>
      </c>
      <c r="BI138" s="62">
        <f ca="1">AVERAGE(OFFSET($BH$3,0,0,'Données projet'!$E$11+1,1))-AVERAGE(OFFSET($H$3,0,0,'Données projet'!$E$11+1,1))</f>
        <v>358.417829688045</v>
      </c>
      <c r="BJ138" s="62">
        <f t="shared" si="146"/>
        <v>394.03759949558713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59.160791729116553</v>
      </c>
      <c r="BQ138" s="23">
        <f>EXP(-LN(2)/25)*BQ137+(1-EXP(-LN(2)/25))/(LN(2)/25)*Calculateur!BL138*Calculateur!BN138*VLOOKUP('Données projet'!$B$11,Paramètres!$A$1:$I$88,3,0)*0.475*44/12</f>
        <v>15.178613777780267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74.339405506896824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projet'!$B$12,Paramètres!$A$1:$I$88,3,0)*VLOOKUP('Données projet'!$B$12,Paramètres!$A$1:$I$88,5,0)</f>
        <v>-1.3596945791505279E-13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405.42845699663462</v>
      </c>
      <c r="CE138" s="62">
        <f t="shared" si="148"/>
        <v>292.26503163353146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82.91348657809371</v>
      </c>
      <c r="CL138" s="23">
        <f>EXP(-LN(2)/25)*CL137+(1-EXP(-LN(2)/25))/(LN(2)/25)*Calculateur!CG138*Calculateur!CI138*VLOOKUP('Données projet'!$B$12,Paramètres!$A$1:$I$88,3,0)*0.475*44/12</f>
        <v>23.896149452405449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106.80963603049916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4.75</v>
      </c>
      <c r="N139" s="14">
        <f>IF('Données projet'!$A$36&gt;35,N138+M139-V138,IF(A139&lt;'Données projet'!$A$36,$K$205^A139,IF(A139='Données projet'!$A$36,'Données projet'!$B$36,N138+M139-V138)))</f>
        <v>252.49999999999994</v>
      </c>
      <c r="O139" s="14">
        <f>N139*VLOOKUP('Données projet'!$B$9,Paramètres!$A$1:$I$88,3,0)*VLOOKUP('Données projet'!$B$9,Paramètres!$A$1:$I$88,5,0)</f>
        <v>228.46199999999993</v>
      </c>
      <c r="P139" s="14">
        <f t="shared" si="141"/>
        <v>55.950000226785384</v>
      </c>
      <c r="Q139" s="22">
        <f t="shared" si="108"/>
        <v>495.35090039498436</v>
      </c>
      <c r="R139" s="62">
        <f t="shared" si="109"/>
        <v>788.68423372831762</v>
      </c>
      <c r="S139" s="62">
        <f ca="1">AVERAGE(OFFSET($R$3,0,0,'Données projet'!$E$9+1,1))-AVERAGE(OFFSET($H$3,0,0,'Données projet'!$E$9+1,1))</f>
        <v>329.02356155998905</v>
      </c>
      <c r="T139" s="62">
        <f t="shared" si="142"/>
        <v>199.43308683696642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32.773771139961397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32.773771139961397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160.55473404658039</v>
      </c>
      <c r="AO139" s="62">
        <f t="shared" si="144"/>
        <v>188.70262429536223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16.925633209947126</v>
      </c>
      <c r="AV139" s="23">
        <f>EXP(-LN(2)/25)*AV138+(1-EXP(-LN(2)/25))/(LN(2)/25)*Calculateur!AQ139*Calculateur!AS139*VLOOKUP('Données projet'!$B$10,Paramètres!$A$1:$I$88,3,0)*0.475*44/12</f>
        <v>4.7918125808413246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21.71744579078845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4.5474735088646412E-13</v>
      </c>
      <c r="BE139" s="14">
        <f>BD139*VLOOKUP('Données projet'!$B$11,Paramètres!$A$1:$I$88,3,0)*VLOOKUP('Données projet'!$B$11,Paramètres!$A$1:$I$88,5,0)</f>
        <v>2.5420376914553347E-13</v>
      </c>
      <c r="BF139" s="14">
        <f t="shared" si="145"/>
        <v>3.4258699088369875E-12</v>
      </c>
      <c r="BG139" s="22">
        <f t="shared" si="115"/>
        <v>6.4094616558195571E-12</v>
      </c>
      <c r="BH139" s="62">
        <f t="shared" si="116"/>
        <v>293.33333333333974</v>
      </c>
      <c r="BI139" s="62">
        <f ca="1">AVERAGE(OFFSET($BH$3,0,0,'Données projet'!$E$11+1,1))-AVERAGE(OFFSET($H$3,0,0,'Données projet'!$E$11+1,1))</f>
        <v>358.417829688045</v>
      </c>
      <c r="BJ139" s="62">
        <f t="shared" si="146"/>
        <v>394.03759949558713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58.000684687828482</v>
      </c>
      <c r="BQ139" s="23">
        <f>EXP(-LN(2)/25)*BQ138+(1-EXP(-LN(2)/25))/(LN(2)/25)*Calculateur!BL139*Calculateur!BN139*VLOOKUP('Données projet'!$B$11,Paramètres!$A$1:$I$88,3,0)*0.475*44/12</f>
        <v>14.763553785818258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72.764238473646742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projet'!$B$12,Paramètres!$A$1:$I$88,3,0)*VLOOKUP('Données projet'!$B$12,Paramètres!$A$1:$I$88,5,0)</f>
        <v>-1.3596945791505279E-13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405.42845699663462</v>
      </c>
      <c r="CE139" s="62">
        <f t="shared" si="148"/>
        <v>292.26503163353146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81.287603678530516</v>
      </c>
      <c r="CL139" s="23">
        <f>EXP(-LN(2)/25)*CL138+(1-EXP(-LN(2)/25))/(LN(2)/25)*Calculateur!CG139*Calculateur!CI139*VLOOKUP('Données projet'!$B$12,Paramètres!$A$1:$I$88,3,0)*0.475*44/12</f>
        <v>23.242707988985536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104.53031166751606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4.75</v>
      </c>
      <c r="N140" s="14">
        <f>IF('Données projet'!$A$36&gt;35,N139+M140-V139,IF(A140&lt;'Données projet'!$A$36,$K$205^A140,IF(A140='Données projet'!$A$36,'Données projet'!$B$36,N139+M140-V139)))</f>
        <v>257.24999999999994</v>
      </c>
      <c r="O140" s="14">
        <f>N140*VLOOKUP('Données projet'!$B$9,Paramètres!$A$1:$I$88,3,0)*VLOOKUP('Données projet'!$B$9,Paramètres!$A$1:$I$88,5,0)</f>
        <v>232.75979999999993</v>
      </c>
      <c r="P140" s="14">
        <f t="shared" si="141"/>
        <v>56.878999936031242</v>
      </c>
      <c r="Q140" s="22">
        <f t="shared" si="108"/>
        <v>504.45424322192093</v>
      </c>
      <c r="R140" s="62">
        <f t="shared" si="109"/>
        <v>797.78757655525419</v>
      </c>
      <c r="S140" s="62">
        <f ca="1">AVERAGE(OFFSET($R$3,0,0,'Données projet'!$E$9+1,1))-AVERAGE(OFFSET($H$3,0,0,'Données projet'!$E$9+1,1))</f>
        <v>329.02356155998905</v>
      </c>
      <c r="T140" s="62">
        <f t="shared" si="142"/>
        <v>199.43308683696642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32.131097477933295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32.131097477933295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160.55473404658039</v>
      </c>
      <c r="AO140" s="62">
        <f t="shared" si="144"/>
        <v>188.70262429536223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16.593731866316947</v>
      </c>
      <c r="AV140" s="23">
        <f>EXP(-LN(2)/25)*AV139+(1-EXP(-LN(2)/25))/(LN(2)/25)*Calculateur!AQ140*Calculateur!AS140*VLOOKUP('Données projet'!$B$10,Paramètres!$A$1:$I$88,3,0)*0.475*44/12</f>
        <v>4.6607802138277465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21.254512080144693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4.5474735088646412E-13</v>
      </c>
      <c r="BE140" s="14">
        <f>BD140*VLOOKUP('Données projet'!$B$11,Paramètres!$A$1:$I$88,3,0)*VLOOKUP('Données projet'!$B$11,Paramètres!$A$1:$I$88,5,0)</f>
        <v>2.5420376914553347E-13</v>
      </c>
      <c r="BF140" s="14">
        <f t="shared" si="145"/>
        <v>3.4258699088369875E-12</v>
      </c>
      <c r="BG140" s="22">
        <f t="shared" si="115"/>
        <v>6.4094616558195571E-12</v>
      </c>
      <c r="BH140" s="62">
        <f t="shared" si="116"/>
        <v>293.33333333333974</v>
      </c>
      <c r="BI140" s="62">
        <f ca="1">AVERAGE(OFFSET($BH$3,0,0,'Données projet'!$E$11+1,1))-AVERAGE(OFFSET($H$3,0,0,'Données projet'!$E$11+1,1))</f>
        <v>358.417829688045</v>
      </c>
      <c r="BJ140" s="62">
        <f t="shared" si="146"/>
        <v>394.03759949558713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56.863326638024645</v>
      </c>
      <c r="BQ140" s="23">
        <f>EXP(-LN(2)/25)*BQ139+(1-EXP(-LN(2)/25))/(LN(2)/25)*Calculateur!BL140*Calculateur!BN140*VLOOKUP('Données projet'!$B$11,Paramètres!$A$1:$I$88,3,0)*0.475*44/12</f>
        <v>14.359843631163507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71.223170269188159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projet'!$B$12,Paramètres!$A$1:$I$88,3,0)*VLOOKUP('Données projet'!$B$12,Paramètres!$A$1:$I$88,5,0)</f>
        <v>-1.3596945791505279E-13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405.42845699663462</v>
      </c>
      <c r="CE140" s="62">
        <f t="shared" si="148"/>
        <v>292.26503163353146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79.69360335093711</v>
      </c>
      <c r="CL140" s="23">
        <f>EXP(-LN(2)/25)*CL139+(1-EXP(-LN(2)/25))/(LN(2)/25)*Calculateur!CG140*Calculateur!CI140*VLOOKUP('Données projet'!$B$12,Paramètres!$A$1:$I$88,3,0)*0.475*44/12</f>
        <v>22.607134916745835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102.30073826768295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>
        <f>VLOOKUP(A141,'Données projet'!$A$35:$I$55,2,0)</f>
        <v>262</v>
      </c>
      <c r="L141" s="13">
        <f>VLOOKUP(A141,'Données projet'!$A$35:$I$55,9,0)</f>
        <v>4.75</v>
      </c>
      <c r="M141" s="13">
        <f t="array" ref="M141">INDEX(L:L,MIN(IF(ISNUMBER(L141:L337),ROW(L141:L337),"")))</f>
        <v>4.75</v>
      </c>
      <c r="N141" s="14">
        <f>IF('Données projet'!$A$36&gt;35,N140+M141-V140,IF(A141&lt;'Données projet'!$A$36,$K$205^A141,IF(A141='Données projet'!$A$36,'Données projet'!$B$36,N140+M141-V140)))</f>
        <v>261.99999999999994</v>
      </c>
      <c r="O141" s="14">
        <f>N141*VLOOKUP('Données projet'!$B$9,Paramètres!$A$1:$I$88,3,0)*VLOOKUP('Données projet'!$B$9,Paramètres!$A$1:$I$88,5,0)</f>
        <v>237.05759999999992</v>
      </c>
      <c r="P141" s="14">
        <f t="shared" si="141"/>
        <v>57.806004997354641</v>
      </c>
      <c r="Q141" s="22">
        <f t="shared" si="108"/>
        <v>513.5541120370591</v>
      </c>
      <c r="R141" s="62">
        <f t="shared" si="109"/>
        <v>806.88744537039247</v>
      </c>
      <c r="S141" s="62">
        <f ca="1">AVERAGE(OFFSET($R$3,0,0,'Données projet'!$E$9+1,1))-AVERAGE(OFFSET($H$3,0,0,'Données projet'!$E$9+1,1))</f>
        <v>329.02356155998905</v>
      </c>
      <c r="T141" s="62">
        <f t="shared" si="142"/>
        <v>199.43308683696642</v>
      </c>
      <c r="U141" s="16">
        <f>IF(ISNA(VLOOKUP(A141,'Données projet'!$A$35:$I$55,3,0)),0,VLOOKUP(A141,'Données projet'!$A$35:$I$55,3,0))</f>
        <v>11</v>
      </c>
      <c r="V141" s="16">
        <f>IF(ISNA(VLOOKUP(A141,'Données projet'!$A$35:$I$55,4,0)),0,VLOOKUP(A141,'Données projet'!$A$35:$I$55,4,0))</f>
        <v>39</v>
      </c>
      <c r="W141" s="17">
        <f>IF(ISNA(VLOOKUP(A141,'Données projet'!$A$35:$I$55,5,0)),0%,VLOOKUP(A141,'Données projet'!$A$35:$I$55,5,0)*VLOOKUP('Données projet'!$B$9,Paramètres!$A$1:$I$88,7,0))</f>
        <v>0.25800000000000001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41.565336483602358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41.565336483602358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160.55473404658039</v>
      </c>
      <c r="AO141" s="62">
        <f t="shared" si="144"/>
        <v>188.70262429536223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16.268338905595527</v>
      </c>
      <c r="AV141" s="23">
        <f>EXP(-LN(2)/25)*AV140+(1-EXP(-LN(2)/25))/(LN(2)/25)*Calculateur!AQ141*Calculateur!AS141*VLOOKUP('Données projet'!$B$10,Paramètres!$A$1:$I$88,3,0)*0.475*44/12</f>
        <v>4.5333309337808476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20.801669839376373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4.5474735088646412E-13</v>
      </c>
      <c r="BE141" s="14">
        <f>BD141*VLOOKUP('Données projet'!$B$11,Paramètres!$A$1:$I$88,3,0)*VLOOKUP('Données projet'!$B$11,Paramètres!$A$1:$I$88,5,0)</f>
        <v>2.5420376914553347E-13</v>
      </c>
      <c r="BF141" s="14">
        <f t="shared" si="145"/>
        <v>3.4258699088369875E-12</v>
      </c>
      <c r="BG141" s="22">
        <f t="shared" si="115"/>
        <v>6.4094616558195571E-12</v>
      </c>
      <c r="BH141" s="62">
        <f t="shared" si="116"/>
        <v>293.33333333333974</v>
      </c>
      <c r="BI141" s="62">
        <f ca="1">AVERAGE(OFFSET($BH$3,0,0,'Données projet'!$E$11+1,1))-AVERAGE(OFFSET($H$3,0,0,'Données projet'!$E$11+1,1))</f>
        <v>358.417829688045</v>
      </c>
      <c r="BJ141" s="62">
        <f t="shared" si="146"/>
        <v>394.03759949558713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55.748271485857551</v>
      </c>
      <c r="BQ141" s="23">
        <f>EXP(-LN(2)/25)*BQ140+(1-EXP(-LN(2)/25))/(LN(2)/25)*Calculateur!BL141*Calculateur!BN141*VLOOKUP('Données projet'!$B$11,Paramètres!$A$1:$I$88,3,0)*0.475*44/12</f>
        <v>13.967172951917984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69.715444437775531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projet'!$B$12,Paramètres!$A$1:$I$88,3,0)*VLOOKUP('Données projet'!$B$12,Paramètres!$A$1:$I$88,5,0)</f>
        <v>-1.3596945791505279E-13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405.42845699663462</v>
      </c>
      <c r="CE141" s="62">
        <f t="shared" si="148"/>
        <v>292.26503163353146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78.130860397523605</v>
      </c>
      <c r="CL141" s="23">
        <f>EXP(-LN(2)/25)*CL140+(1-EXP(-LN(2)/25))/(LN(2)/25)*Calculateur!CG141*Calculateur!CI141*VLOOKUP('Données projet'!$B$12,Paramètres!$A$1:$I$88,3,0)*0.475*44/12</f>
        <v>21.988941623589863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100.11980202111347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4.8666666666666663</v>
      </c>
      <c r="N142" s="14">
        <f>IF('Données projet'!$A$36&gt;35,N141+M142-V141,IF(A142&lt;'Données projet'!$A$36,$K$205^A142,IF(A142='Données projet'!$A$36,'Données projet'!$B$36,N141+M142-V141)))</f>
        <v>227.86666666666662</v>
      </c>
      <c r="O142" s="14">
        <f>N142*VLOOKUP('Données projet'!$B$9,Paramètres!$A$1:$I$88,3,0)*VLOOKUP('Données projet'!$B$9,Paramètres!$A$1:$I$88,5,0)</f>
        <v>206.17375999999996</v>
      </c>
      <c r="P142" s="14">
        <f t="shared" si="141"/>
        <v>51.098563276577117</v>
      </c>
      <c r="Q142" s="22">
        <f t="shared" si="108"/>
        <v>448.08262970670506</v>
      </c>
      <c r="R142" s="62">
        <f t="shared" si="109"/>
        <v>741.41596304003838</v>
      </c>
      <c r="S142" s="62">
        <f ca="1">AVERAGE(OFFSET($R$3,0,0,'Données projet'!$E$9+1,1))-AVERAGE(OFFSET($H$3,0,0,'Données projet'!$E$9+1,1))</f>
        <v>329.02356155998905</v>
      </c>
      <c r="T142" s="62">
        <f t="shared" si="142"/>
        <v>199.43308683696642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40.750265587510832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40.750265587510832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160.55473404658039</v>
      </c>
      <c r="AO142" s="62">
        <f t="shared" si="144"/>
        <v>188.70262429536223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15.949326702363745</v>
      </c>
      <c r="AV142" s="23">
        <f>EXP(-LN(2)/25)*AV141+(1-EXP(-LN(2)/25))/(LN(2)/25)*Calculateur!AQ142*Calculateur!AS142*VLOOKUP('Données projet'!$B$10,Paramètres!$A$1:$I$88,3,0)*0.475*44/12</f>
        <v>4.4093667609990979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20.358693463362844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4.5474735088646412E-13</v>
      </c>
      <c r="BE142" s="14">
        <f>BD142*VLOOKUP('Données projet'!$B$11,Paramètres!$A$1:$I$88,3,0)*VLOOKUP('Données projet'!$B$11,Paramètres!$A$1:$I$88,5,0)</f>
        <v>2.5420376914553347E-13</v>
      </c>
      <c r="BF142" s="14">
        <f t="shared" si="145"/>
        <v>3.4258699088369875E-12</v>
      </c>
      <c r="BG142" s="22">
        <f t="shared" si="115"/>
        <v>6.4094616558195571E-12</v>
      </c>
      <c r="BH142" s="62">
        <f t="shared" si="116"/>
        <v>293.33333333333974</v>
      </c>
      <c r="BI142" s="62">
        <f ca="1">AVERAGE(OFFSET($BH$3,0,0,'Données projet'!$E$11+1,1))-AVERAGE(OFFSET($H$3,0,0,'Données projet'!$E$11+1,1))</f>
        <v>358.417829688045</v>
      </c>
      <c r="BJ142" s="62">
        <f t="shared" si="146"/>
        <v>394.03759949558713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54.655081885107961</v>
      </c>
      <c r="BQ142" s="23">
        <f>EXP(-LN(2)/25)*BQ141+(1-EXP(-LN(2)/25))/(LN(2)/25)*Calculateur!BL142*Calculateur!BN142*VLOOKUP('Données projet'!$B$11,Paramètres!$A$1:$I$88,3,0)*0.475*44/12</f>
        <v>13.585239873046083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68.240321758154039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projet'!$B$12,Paramètres!$A$1:$I$88,3,0)*VLOOKUP('Données projet'!$B$12,Paramètres!$A$1:$I$88,5,0)</f>
        <v>-1.3596945791505279E-13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405.42845699663462</v>
      </c>
      <c r="CE142" s="62">
        <f t="shared" si="148"/>
        <v>292.26503163353146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76.598761880247451</v>
      </c>
      <c r="CL142" s="23">
        <f>EXP(-LN(2)/25)*CL141+(1-EXP(-LN(2)/25))/(LN(2)/25)*Calculateur!CG142*Calculateur!CI142*VLOOKUP('Données projet'!$B$12,Paramètres!$A$1:$I$88,3,0)*0.475*44/12</f>
        <v>21.387652858544616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97.986414738792064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4.8666666666666663</v>
      </c>
      <c r="N143" s="14">
        <f>IF('Données projet'!$A$36&gt;35,N142+M143-V142,IF(A143&lt;'Données projet'!$A$36,$K$205^A143,IF(A143='Données projet'!$A$36,'Données projet'!$B$36,N142+M143-V142)))</f>
        <v>232.73333333333329</v>
      </c>
      <c r="O143" s="14">
        <f>N143*VLOOKUP('Données projet'!$B$9,Paramètres!$A$1:$I$88,3,0)*VLOOKUP('Données projet'!$B$9,Paramètres!$A$1:$I$88,5,0)</f>
        <v>210.57711999999995</v>
      </c>
      <c r="P143" s="14">
        <f t="shared" si="141"/>
        <v>52.061680787565415</v>
      </c>
      <c r="Q143" s="22">
        <f t="shared" si="108"/>
        <v>457.42924470500958</v>
      </c>
      <c r="R143" s="62">
        <f t="shared" si="109"/>
        <v>750.76257803834289</v>
      </c>
      <c r="S143" s="62">
        <f ca="1">AVERAGE(OFFSET($R$3,0,0,'Données projet'!$E$9+1,1))-AVERAGE(OFFSET($H$3,0,0,'Données projet'!$E$9+1,1))</f>
        <v>329.02356155998905</v>
      </c>
      <c r="T143" s="62">
        <f t="shared" si="142"/>
        <v>199.43308683696642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39.951177734547507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39.951177734547507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160.55473404658039</v>
      </c>
      <c r="AO143" s="62">
        <f t="shared" si="144"/>
        <v>188.70262429536223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15.636570133859108</v>
      </c>
      <c r="AV143" s="23">
        <f>EXP(-LN(2)/25)*AV142+(1-EXP(-LN(2)/25))/(LN(2)/25)*Calculateur!AQ143*Calculateur!AS143*VLOOKUP('Données projet'!$B$10,Paramètres!$A$1:$I$88,3,0)*0.475*44/12</f>
        <v>4.2887923950410576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19.925362528900166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4.5474735088646412E-13</v>
      </c>
      <c r="BE143" s="14">
        <f>BD143*VLOOKUP('Données projet'!$B$11,Paramètres!$A$1:$I$88,3,0)*VLOOKUP('Données projet'!$B$11,Paramètres!$A$1:$I$88,5,0)</f>
        <v>2.5420376914553347E-13</v>
      </c>
      <c r="BF143" s="14">
        <f t="shared" si="145"/>
        <v>3.4258699088369875E-12</v>
      </c>
      <c r="BG143" s="22">
        <f t="shared" si="115"/>
        <v>6.4094616558195571E-12</v>
      </c>
      <c r="BH143" s="62">
        <f t="shared" si="116"/>
        <v>293.33333333333974</v>
      </c>
      <c r="BI143" s="62">
        <f ca="1">AVERAGE(OFFSET($BH$3,0,0,'Données projet'!$E$11+1,1))-AVERAGE(OFFSET($H$3,0,0,'Données projet'!$E$11+1,1))</f>
        <v>358.417829688045</v>
      </c>
      <c r="BJ143" s="62">
        <f t="shared" si="146"/>
        <v>394.03759949558713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53.583329065649259</v>
      </c>
      <c r="BQ143" s="23">
        <f>EXP(-LN(2)/25)*BQ142+(1-EXP(-LN(2)/25))/(LN(2)/25)*Calculateur!BL143*Calculateur!BN143*VLOOKUP('Données projet'!$B$11,Paramètres!$A$1:$I$88,3,0)*0.475*44/12</f>
        <v>13.213750774300923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66.797079839950186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projet'!$B$12,Paramètres!$A$1:$I$88,3,0)*VLOOKUP('Données projet'!$B$12,Paramètres!$A$1:$I$88,5,0)</f>
        <v>-1.3596945791505279E-13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405.42845699663462</v>
      </c>
      <c r="CE143" s="62">
        <f t="shared" si="148"/>
        <v>292.26503163353146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75.096706880407268</v>
      </c>
      <c r="CL143" s="23">
        <f>EXP(-LN(2)/25)*CL142+(1-EXP(-LN(2)/25))/(LN(2)/25)*Calculateur!CG143*Calculateur!CI143*VLOOKUP('Données projet'!$B$12,Paramètres!$A$1:$I$88,3,0)*0.475*44/12</f>
        <v>20.802806366399931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95.899513246807203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4.8666666666666663</v>
      </c>
      <c r="N144" s="14">
        <f>IF('Données projet'!$A$36&gt;35,N143+M144-V143,IF(A144&lt;'Données projet'!$A$36,$K$205^A144,IF(A144='Données projet'!$A$36,'Données projet'!$B$36,N143+M144-V143)))</f>
        <v>237.59999999999997</v>
      </c>
      <c r="O144" s="14">
        <f>N144*VLOOKUP('Données projet'!$B$9,Paramètres!$A$1:$I$88,3,0)*VLOOKUP('Données projet'!$B$9,Paramètres!$A$1:$I$88,5,0)</f>
        <v>214.98047999999994</v>
      </c>
      <c r="P144" s="14">
        <f t="shared" si="141"/>
        <v>53.022456711590607</v>
      </c>
      <c r="Q144" s="22">
        <f t="shared" si="108"/>
        <v>466.77178143935356</v>
      </c>
      <c r="R144" s="62">
        <f t="shared" si="109"/>
        <v>760.10511477268687</v>
      </c>
      <c r="S144" s="62">
        <f ca="1">AVERAGE(OFFSET($R$3,0,0,'Données projet'!$E$9+1,1))-AVERAGE(OFFSET($H$3,0,0,'Données projet'!$E$9+1,1))</f>
        <v>329.02356155998905</v>
      </c>
      <c r="T144" s="62">
        <f t="shared" si="142"/>
        <v>199.43308683696642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39.167759506985327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39.167759506985327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160.55473404658039</v>
      </c>
      <c r="AO144" s="62">
        <f t="shared" si="144"/>
        <v>188.70262429536223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15.329946530900175</v>
      </c>
      <c r="AV144" s="23">
        <f>EXP(-LN(2)/25)*AV143+(1-EXP(-LN(2)/25))/(LN(2)/25)*Calculateur!AQ144*Calculateur!AS144*VLOOKUP('Données projet'!$B$10,Paramètres!$A$1:$I$88,3,0)*0.475*44/12</f>
        <v>4.17151514146087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19.501461672361046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4.5474735088646412E-13</v>
      </c>
      <c r="BE144" s="14">
        <f>BD144*VLOOKUP('Données projet'!$B$11,Paramètres!$A$1:$I$88,3,0)*VLOOKUP('Données projet'!$B$11,Paramètres!$A$1:$I$88,5,0)</f>
        <v>2.5420376914553347E-13</v>
      </c>
      <c r="BF144" s="14">
        <f t="shared" si="145"/>
        <v>3.4258699088369875E-12</v>
      </c>
      <c r="BG144" s="22">
        <f t="shared" si="115"/>
        <v>6.4094616558195571E-12</v>
      </c>
      <c r="BH144" s="62">
        <f t="shared" si="116"/>
        <v>293.33333333333974</v>
      </c>
      <c r="BI144" s="62">
        <f ca="1">AVERAGE(OFFSET($BH$3,0,0,'Données projet'!$E$11+1,1))-AVERAGE(OFFSET($H$3,0,0,'Données projet'!$E$11+1,1))</f>
        <v>358.417829688045</v>
      </c>
      <c r="BJ144" s="62">
        <f t="shared" si="146"/>
        <v>394.03759949558713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52.532592665275466</v>
      </c>
      <c r="BQ144" s="23">
        <f>EXP(-LN(2)/25)*BQ143+(1-EXP(-LN(2)/25))/(LN(2)/25)*Calculateur!BL144*Calculateur!BN144*VLOOKUP('Données projet'!$B$11,Paramètres!$A$1:$I$88,3,0)*0.475*44/12</f>
        <v>12.852420064496712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65.385012729772171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projet'!$B$12,Paramètres!$A$1:$I$88,3,0)*VLOOKUP('Données projet'!$B$12,Paramètres!$A$1:$I$88,5,0)</f>
        <v>-1.3596945791505279E-13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405.42845699663462</v>
      </c>
      <c r="CE144" s="62">
        <f t="shared" si="148"/>
        <v>292.26503163353146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73.62410626295086</v>
      </c>
      <c r="CL144" s="23">
        <f>EXP(-LN(2)/25)*CL143+(1-EXP(-LN(2)/25))/(LN(2)/25)*Calculateur!CG144*Calculateur!CI144*VLOOKUP('Données projet'!$B$12,Paramètres!$A$1:$I$88,3,0)*0.475*44/12</f>
        <v>20.233952532338684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93.858058795289537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4.8666666666666663</v>
      </c>
      <c r="N145" s="14">
        <f>IF('Données projet'!$A$36&gt;35,N144+M145-V144,IF(A145&lt;'Données projet'!$A$36,$K$205^A145,IF(A145='Données projet'!$A$36,'Données projet'!$B$36,N144+M145-V144)))</f>
        <v>242.46666666666664</v>
      </c>
      <c r="O145" s="14">
        <f>N145*VLOOKUP('Données projet'!$B$9,Paramètres!$A$1:$I$88,3,0)*VLOOKUP('Données projet'!$B$9,Paramètres!$A$1:$I$88,5,0)</f>
        <v>219.38383999999994</v>
      </c>
      <c r="P145" s="14">
        <f t="shared" si="141"/>
        <v>53.980944536975116</v>
      </c>
      <c r="Q145" s="22">
        <f t="shared" si="108"/>
        <v>476.11033306856484</v>
      </c>
      <c r="R145" s="62">
        <f t="shared" si="109"/>
        <v>769.4436664018981</v>
      </c>
      <c r="S145" s="62">
        <f ca="1">AVERAGE(OFFSET($R$3,0,0,'Données projet'!$E$9+1,1))-AVERAGE(OFFSET($H$3,0,0,'Données projet'!$E$9+1,1))</f>
        <v>329.02356155998905</v>
      </c>
      <c r="T145" s="62">
        <f t="shared" si="142"/>
        <v>199.43308683696642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38.399703633027706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38.399703633027706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160.55473404658039</v>
      </c>
      <c r="AO145" s="62">
        <f t="shared" si="144"/>
        <v>188.70262429536223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15.029335629773337</v>
      </c>
      <c r="AV145" s="23">
        <f>EXP(-LN(2)/25)*AV144+(1-EXP(-LN(2)/25))/(LN(2)/25)*Calculateur!AQ145*Calculateur!AS145*VLOOKUP('Données projet'!$B$10,Paramètres!$A$1:$I$88,3,0)*0.475*44/12</f>
        <v>4.0574448405471752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19.086780470320512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4.5474735088646412E-13</v>
      </c>
      <c r="BE145" s="14">
        <f>BD145*VLOOKUP('Données projet'!$B$11,Paramètres!$A$1:$I$88,3,0)*VLOOKUP('Données projet'!$B$11,Paramètres!$A$1:$I$88,5,0)</f>
        <v>2.5420376914553347E-13</v>
      </c>
      <c r="BF145" s="14">
        <f t="shared" si="145"/>
        <v>3.4258699088369875E-12</v>
      </c>
      <c r="BG145" s="22">
        <f t="shared" si="115"/>
        <v>6.4094616558195571E-12</v>
      </c>
      <c r="BH145" s="62">
        <f t="shared" si="116"/>
        <v>293.33333333333974</v>
      </c>
      <c r="BI145" s="62">
        <f ca="1">AVERAGE(OFFSET($BH$3,0,0,'Données projet'!$E$11+1,1))-AVERAGE(OFFSET($H$3,0,0,'Données projet'!$E$11+1,1))</f>
        <v>358.417829688045</v>
      </c>
      <c r="BJ145" s="62">
        <f t="shared" si="146"/>
        <v>394.03759949558713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51.502460564827082</v>
      </c>
      <c r="BQ145" s="23">
        <f>EXP(-LN(2)/25)*BQ144+(1-EXP(-LN(2)/25))/(LN(2)/25)*Calculateur!BL145*Calculateur!BN145*VLOOKUP('Données projet'!$B$11,Paramètres!$A$1:$I$88,3,0)*0.475*44/12</f>
        <v>12.500969961953654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64.003430526780733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projet'!$B$12,Paramètres!$A$1:$I$88,3,0)*VLOOKUP('Données projet'!$B$12,Paramètres!$A$1:$I$88,5,0)</f>
        <v>-1.3596945791505279E-13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405.42845699663462</v>
      </c>
      <c r="CE145" s="62">
        <f t="shared" si="148"/>
        <v>292.26503163353146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72.180382445405087</v>
      </c>
      <c r="CL145" s="23">
        <f>EXP(-LN(2)/25)*CL144+(1-EXP(-LN(2)/25))/(LN(2)/25)*Calculateur!CG145*Calculateur!CI145*VLOOKUP('Données projet'!$B$12,Paramètres!$A$1:$I$88,3,0)*0.475*44/12</f>
        <v>19.680654036284565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91.861036481689652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4.8666666666666663</v>
      </c>
      <c r="N146" s="14">
        <f>IF('Données projet'!$A$36&gt;35,N145+M146-V145,IF(A146&lt;'Données projet'!$A$36,$K$205^A146,IF(A146='Données projet'!$A$36,'Données projet'!$B$36,N145+M146-V145)))</f>
        <v>247.33333333333331</v>
      </c>
      <c r="O146" s="14">
        <f>N146*VLOOKUP('Données projet'!$B$9,Paramètres!$A$1:$I$88,3,0)*VLOOKUP('Données projet'!$B$9,Paramètres!$A$1:$I$88,5,0)</f>
        <v>223.78719999999998</v>
      </c>
      <c r="P146" s="14">
        <f t="shared" si="141"/>
        <v>54.937195482089855</v>
      </c>
      <c r="Q146" s="22">
        <f t="shared" si="108"/>
        <v>485.44498879797311</v>
      </c>
      <c r="R146" s="62">
        <f t="shared" si="109"/>
        <v>778.77832213130637</v>
      </c>
      <c r="S146" s="62">
        <f ca="1">AVERAGE(OFFSET($R$3,0,0,'Données projet'!$E$9+1,1))-AVERAGE(OFFSET($H$3,0,0,'Données projet'!$E$9+1,1))</f>
        <v>329.02356155998905</v>
      </c>
      <c r="T146" s="62">
        <f t="shared" si="142"/>
        <v>199.43308683696642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37.646708866290567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37.646708866290567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160.55473404658039</v>
      </c>
      <c r="AO146" s="62">
        <f t="shared" si="144"/>
        <v>188.70262429536223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14.734619525063051</v>
      </c>
      <c r="AV146" s="23">
        <f>EXP(-LN(2)/25)*AV145+(1-EXP(-LN(2)/25))/(LN(2)/25)*Calculateur!AQ146*Calculateur!AS146*VLOOKUP('Données projet'!$B$10,Paramètres!$A$1:$I$88,3,0)*0.475*44/12</f>
        <v>3.9464937980106618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18.681113323073713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4.5474735088646412E-13</v>
      </c>
      <c r="BE146" s="14">
        <f>BD146*VLOOKUP('Données projet'!$B$11,Paramètres!$A$1:$I$88,3,0)*VLOOKUP('Données projet'!$B$11,Paramètres!$A$1:$I$88,5,0)</f>
        <v>2.5420376914553347E-13</v>
      </c>
      <c r="BF146" s="14">
        <f t="shared" si="145"/>
        <v>3.4258699088369875E-12</v>
      </c>
      <c r="BG146" s="22">
        <f t="shared" si="115"/>
        <v>6.4094616558195571E-12</v>
      </c>
      <c r="BH146" s="62">
        <f t="shared" si="116"/>
        <v>293.33333333333974</v>
      </c>
      <c r="BI146" s="62">
        <f ca="1">AVERAGE(OFFSET($BH$3,0,0,'Données projet'!$E$11+1,1))-AVERAGE(OFFSET($H$3,0,0,'Données projet'!$E$11+1,1))</f>
        <v>358.417829688045</v>
      </c>
      <c r="BJ146" s="62">
        <f t="shared" si="146"/>
        <v>394.03759949558713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50.492528726549949</v>
      </c>
      <c r="BQ146" s="23">
        <f>EXP(-LN(2)/25)*BQ145+(1-EXP(-LN(2)/25))/(LN(2)/25)*Calculateur!BL146*Calculateur!BN146*VLOOKUP('Données projet'!$B$11,Paramètres!$A$1:$I$88,3,0)*0.475*44/12</f>
        <v>12.159130280946593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62.651659007496541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projet'!$B$12,Paramètres!$A$1:$I$88,3,0)*VLOOKUP('Données projet'!$B$12,Paramètres!$A$1:$I$88,5,0)</f>
        <v>-1.3596945791505279E-13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405.42845699663462</v>
      </c>
      <c r="CE146" s="62">
        <f t="shared" si="148"/>
        <v>292.26503163353146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70.764969171336816</v>
      </c>
      <c r="CL146" s="23">
        <f>EXP(-LN(2)/25)*CL145+(1-EXP(-LN(2)/25))/(LN(2)/25)*Calculateur!CG146*Calculateur!CI146*VLOOKUP('Données projet'!$B$12,Paramètres!$A$1:$I$88,3,0)*0.475*44/12</f>
        <v>19.14248551670175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89.90745468803857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4.8666666666666663</v>
      </c>
      <c r="N147" s="14">
        <f>IF('Données projet'!$A$36&gt;35,N146+M147-V146,IF(A147&lt;'Données projet'!$A$36,$K$205^A147,IF(A147='Données projet'!$A$36,'Données projet'!$B$36,N146+M147-V146)))</f>
        <v>252.2</v>
      </c>
      <c r="O147" s="14">
        <f>N147*VLOOKUP('Données projet'!$B$9,Paramètres!$A$1:$I$88,3,0)*VLOOKUP('Données projet'!$B$9,Paramètres!$A$1:$I$88,5,0)</f>
        <v>228.19055999999998</v>
      </c>
      <c r="P147" s="14">
        <f t="shared" si="141"/>
        <v>55.891258634424609</v>
      </c>
      <c r="Q147" s="22">
        <f t="shared" si="108"/>
        <v>494.77583412162284</v>
      </c>
      <c r="R147" s="62">
        <f t="shared" si="109"/>
        <v>788.10916745495615</v>
      </c>
      <c r="S147" s="62">
        <f ca="1">AVERAGE(OFFSET($R$3,0,0,'Données projet'!$E$9+1,1))-AVERAGE(OFFSET($H$3,0,0,'Données projet'!$E$9+1,1))</f>
        <v>329.02356155998905</v>
      </c>
      <c r="T147" s="62">
        <f t="shared" si="142"/>
        <v>199.43308683696642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36.908479867647685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36.908479867647685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160.55473404658039</v>
      </c>
      <c r="AO147" s="62">
        <f t="shared" si="144"/>
        <v>188.70262429536223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14.445682623407059</v>
      </c>
      <c r="AV147" s="23">
        <f>EXP(-LN(2)/25)*AV146+(1-EXP(-LN(2)/25))/(LN(2)/25)*Calculateur!AQ147*Calculateur!AS147*VLOOKUP('Données projet'!$B$10,Paramètres!$A$1:$I$88,3,0)*0.475*44/12</f>
        <v>3.8385767175669714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18.284259340974032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4.5474735088646412E-13</v>
      </c>
      <c r="BE147" s="14">
        <f>BD147*VLOOKUP('Données projet'!$B$11,Paramètres!$A$1:$I$88,3,0)*VLOOKUP('Données projet'!$B$11,Paramètres!$A$1:$I$88,5,0)</f>
        <v>2.5420376914553347E-13</v>
      </c>
      <c r="BF147" s="14">
        <f t="shared" si="145"/>
        <v>3.4258699088369875E-12</v>
      </c>
      <c r="BG147" s="22">
        <f t="shared" si="115"/>
        <v>6.4094616558195571E-12</v>
      </c>
      <c r="BH147" s="62">
        <f t="shared" si="116"/>
        <v>293.33333333333974</v>
      </c>
      <c r="BI147" s="62">
        <f ca="1">AVERAGE(OFFSET($BH$3,0,0,'Données projet'!$E$11+1,1))-AVERAGE(OFFSET($H$3,0,0,'Données projet'!$E$11+1,1))</f>
        <v>358.417829688045</v>
      </c>
      <c r="BJ147" s="62">
        <f t="shared" si="146"/>
        <v>394.03759949558713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49.502401035623834</v>
      </c>
      <c r="BQ147" s="23">
        <f>EXP(-LN(2)/25)*BQ146+(1-EXP(-LN(2)/25))/(LN(2)/25)*Calculateur!BL147*Calculateur!BN147*VLOOKUP('Données projet'!$B$11,Paramètres!$A$1:$I$88,3,0)*0.475*44/12</f>
        <v>11.826638223993237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61.329039259617069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projet'!$B$12,Paramètres!$A$1:$I$88,3,0)*VLOOKUP('Données projet'!$B$12,Paramètres!$A$1:$I$88,5,0)</f>
        <v>-1.3596945791505279E-13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405.42845699663462</v>
      </c>
      <c r="CE147" s="62">
        <f t="shared" si="148"/>
        <v>292.26503163353146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69.377311288256166</v>
      </c>
      <c r="CL147" s="23">
        <f>EXP(-LN(2)/25)*CL146+(1-EXP(-LN(2)/25))/(LN(2)/25)*Calculateur!CG147*Calculateur!CI147*VLOOKUP('Données projet'!$B$12,Paramètres!$A$1:$I$88,3,0)*0.475*44/12</f>
        <v>18.619033243587978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87.996344531844144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4.8666666666666663</v>
      </c>
      <c r="N148" s="14">
        <f>IF('Données projet'!$A$36&gt;35,N147+M148-V147,IF(A148&lt;'Données projet'!$A$36,$K$205^A148,IF(A148='Données projet'!$A$36,'Données projet'!$B$36,N147+M148-V147)))</f>
        <v>257.06666666666666</v>
      </c>
      <c r="O148" s="14">
        <f>N148*VLOOKUP('Données projet'!$B$9,Paramètres!$A$1:$I$88,3,0)*VLOOKUP('Données projet'!$B$9,Paramètres!$A$1:$I$88,5,0)</f>
        <v>232.59391999999997</v>
      </c>
      <c r="P148" s="14">
        <f t="shared" si="141"/>
        <v>56.843181078619992</v>
      </c>
      <c r="Q148" s="22">
        <f t="shared" si="108"/>
        <v>504.10295104526307</v>
      </c>
      <c r="R148" s="62">
        <f t="shared" si="109"/>
        <v>797.43628437859638</v>
      </c>
      <c r="S148" s="62">
        <f ca="1">AVERAGE(OFFSET($R$3,0,0,'Données projet'!$E$9+1,1))-AVERAGE(OFFSET($H$3,0,0,'Données projet'!$E$9+1,1))</f>
        <v>329.02356155998905</v>
      </c>
      <c r="T148" s="62">
        <f t="shared" si="142"/>
        <v>199.43308683696642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36.184727089392965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36.184727089392965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160.55473404658039</v>
      </c>
      <c r="AO148" s="62">
        <f t="shared" si="144"/>
        <v>188.70262429536223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14.162411598158434</v>
      </c>
      <c r="AV148" s="23">
        <f>EXP(-LN(2)/25)*AV147+(1-EXP(-LN(2)/25))/(LN(2)/25)*Calculateur!AQ148*Calculateur!AS148*VLOOKUP('Données projet'!$B$10,Paramètres!$A$1:$I$88,3,0)*0.475*44/12</f>
        <v>3.7336106353631262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17.89602223352156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4.5474735088646412E-13</v>
      </c>
      <c r="BE148" s="14">
        <f>BD148*VLOOKUP('Données projet'!$B$11,Paramètres!$A$1:$I$88,3,0)*VLOOKUP('Données projet'!$B$11,Paramètres!$A$1:$I$88,5,0)</f>
        <v>2.5420376914553347E-13</v>
      </c>
      <c r="BF148" s="14">
        <f t="shared" si="145"/>
        <v>3.4258699088369875E-12</v>
      </c>
      <c r="BG148" s="22">
        <f t="shared" si="115"/>
        <v>6.4094616558195571E-12</v>
      </c>
      <c r="BH148" s="62">
        <f t="shared" si="116"/>
        <v>293.33333333333974</v>
      </c>
      <c r="BI148" s="62">
        <f ca="1">AVERAGE(OFFSET($BH$3,0,0,'Données projet'!$E$11+1,1))-AVERAGE(OFFSET($H$3,0,0,'Données projet'!$E$11+1,1))</f>
        <v>358.417829688045</v>
      </c>
      <c r="BJ148" s="62">
        <f t="shared" si="146"/>
        <v>394.03759949558713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48.53168914479852</v>
      </c>
      <c r="BQ148" s="23">
        <f>EXP(-LN(2)/25)*BQ147+(1-EXP(-LN(2)/25))/(LN(2)/25)*Calculateur!BL148*Calculateur!BN148*VLOOKUP('Données projet'!$B$11,Paramètres!$A$1:$I$88,3,0)*0.475*44/12</f>
        <v>11.503238179822269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60.034927324620789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projet'!$B$12,Paramètres!$A$1:$I$88,3,0)*VLOOKUP('Données projet'!$B$12,Paramètres!$A$1:$I$88,5,0)</f>
        <v>-1.3596945791505279E-13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405.42845699663462</v>
      </c>
      <c r="CE148" s="62">
        <f t="shared" si="148"/>
        <v>292.26503163353146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68.016864529874994</v>
      </c>
      <c r="CL148" s="23">
        <f>EXP(-LN(2)/25)*CL147+(1-EXP(-LN(2)/25))/(LN(2)/25)*Calculateur!CG148*Calculateur!CI148*VLOOKUP('Données projet'!$B$12,Paramètres!$A$1:$I$88,3,0)*0.475*44/12</f>
        <v>18.109894800409663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86.126759330284656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4.8666666666666663</v>
      </c>
      <c r="N149" s="14">
        <f>IF('Données projet'!$A$36&gt;35,N148+M149-V148,IF(A149&lt;'Données projet'!$A$36,$K$205^A149,IF(A149='Données projet'!$A$36,'Données projet'!$B$36,N148+M149-V148)))</f>
        <v>261.93333333333334</v>
      </c>
      <c r="O149" s="14">
        <f>N149*VLOOKUP('Données projet'!$B$9,Paramètres!$A$1:$I$88,3,0)*VLOOKUP('Données projet'!$B$9,Paramètres!$A$1:$I$88,5,0)</f>
        <v>236.99728000000002</v>
      </c>
      <c r="P149" s="14">
        <f t="shared" si="141"/>
        <v>57.793008014530116</v>
      </c>
      <c r="Q149" s="22">
        <f t="shared" si="108"/>
        <v>513.42641829197328</v>
      </c>
      <c r="R149" s="62">
        <f t="shared" si="109"/>
        <v>806.75975162530654</v>
      </c>
      <c r="S149" s="62">
        <f ca="1">AVERAGE(OFFSET($R$3,0,0,'Données projet'!$E$9+1,1))-AVERAGE(OFFSET($H$3,0,0,'Données projet'!$E$9+1,1))</f>
        <v>329.02356155998905</v>
      </c>
      <c r="T149" s="62">
        <f t="shared" si="142"/>
        <v>199.43308683696642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35.475166661674209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35.475166661674209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160.55473404658039</v>
      </c>
      <c r="AO149" s="62">
        <f t="shared" si="144"/>
        <v>188.70262429536223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13.884695344936668</v>
      </c>
      <c r="AV149" s="23">
        <f>EXP(-LN(2)/25)*AV148+(1-EXP(-LN(2)/25))/(LN(2)/25)*Calculateur!AQ149*Calculateur!AS149*VLOOKUP('Données projet'!$B$10,Paramètres!$A$1:$I$88,3,0)*0.475*44/12</f>
        <v>3.6315148561970716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17.516210201133738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4.5474735088646412E-13</v>
      </c>
      <c r="BE149" s="14">
        <f>BD149*VLOOKUP('Données projet'!$B$11,Paramètres!$A$1:$I$88,3,0)*VLOOKUP('Données projet'!$B$11,Paramètres!$A$1:$I$88,5,0)</f>
        <v>2.5420376914553347E-13</v>
      </c>
      <c r="BF149" s="14">
        <f t="shared" si="145"/>
        <v>3.4258699088369875E-12</v>
      </c>
      <c r="BG149" s="22">
        <f t="shared" si="115"/>
        <v>6.4094616558195571E-12</v>
      </c>
      <c r="BH149" s="62">
        <f t="shared" si="116"/>
        <v>293.33333333333974</v>
      </c>
      <c r="BI149" s="62">
        <f ca="1">AVERAGE(OFFSET($BH$3,0,0,'Données projet'!$E$11+1,1))-AVERAGE(OFFSET($H$3,0,0,'Données projet'!$E$11+1,1))</f>
        <v>358.417829688045</v>
      </c>
      <c r="BJ149" s="62">
        <f t="shared" si="146"/>
        <v>394.03759949558713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47.580012322076506</v>
      </c>
      <c r="BQ149" s="23">
        <f>EXP(-LN(2)/25)*BQ148+(1-EXP(-LN(2)/25))/(LN(2)/25)*Calculateur!BL149*Calculateur!BN149*VLOOKUP('Données projet'!$B$11,Paramètres!$A$1:$I$88,3,0)*0.475*44/12</f>
        <v>11.188681526866024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58.768693848942533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projet'!$B$12,Paramètres!$A$1:$I$88,3,0)*VLOOKUP('Données projet'!$B$12,Paramètres!$A$1:$I$88,5,0)</f>
        <v>-1.3596945791505279E-13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405.42845699663462</v>
      </c>
      <c r="CE149" s="62">
        <f t="shared" si="148"/>
        <v>292.26503163353146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66.683095302635081</v>
      </c>
      <c r="CL149" s="23">
        <f>EXP(-LN(2)/25)*CL148+(1-EXP(-LN(2)/25))/(LN(2)/25)*Calculateur!CG149*Calculateur!CI149*VLOOKUP('Données projet'!$B$12,Paramètres!$A$1:$I$88,3,0)*0.475*44/12</f>
        <v>17.614678774734482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84.297774077369567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4.8666666666666663</v>
      </c>
      <c r="N150" s="14">
        <f>IF('Données projet'!$A$36&gt;35,N149+M150-V149,IF(A150&lt;'Données projet'!$A$36,$K$205^A150,IF(A150='Données projet'!$A$36,'Données projet'!$B$36,N149+M150-V149)))</f>
        <v>266.8</v>
      </c>
      <c r="O150" s="14">
        <f>N150*VLOOKUP('Données projet'!$B$9,Paramètres!$A$1:$I$88,3,0)*VLOOKUP('Données projet'!$B$9,Paramètres!$A$1:$I$88,5,0)</f>
        <v>241.40064000000001</v>
      </c>
      <c r="P150" s="14">
        <f t="shared" si="141"/>
        <v>58.740782866262748</v>
      </c>
      <c r="Q150" s="22">
        <f t="shared" si="108"/>
        <v>522.74631149207426</v>
      </c>
      <c r="R150" s="62">
        <f t="shared" si="109"/>
        <v>816.07964482540751</v>
      </c>
      <c r="S150" s="62">
        <f ca="1">AVERAGE(OFFSET($R$3,0,0,'Données projet'!$E$9+1,1))-AVERAGE(OFFSET($H$3,0,0,'Données projet'!$E$9+1,1))</f>
        <v>329.02356155998905</v>
      </c>
      <c r="T150" s="62">
        <f t="shared" si="142"/>
        <v>199.43308683696642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34.779520281153893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34.779520281153893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160.55473404658039</v>
      </c>
      <c r="AO150" s="62">
        <f t="shared" si="144"/>
        <v>188.70262429536223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13.612424938050394</v>
      </c>
      <c r="AV150" s="23">
        <f>EXP(-LN(2)/25)*AV149+(1-EXP(-LN(2)/25))/(LN(2)/25)*Calculateur!AQ150*Calculateur!AS150*VLOOKUP('Données projet'!$B$10,Paramètres!$A$1:$I$88,3,0)*0.475*44/12</f>
        <v>3.5322108914812964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17.144635829531691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4.5474735088646412E-13</v>
      </c>
      <c r="BE150" s="14">
        <f>BD150*VLOOKUP('Données projet'!$B$11,Paramètres!$A$1:$I$88,3,0)*VLOOKUP('Données projet'!$B$11,Paramètres!$A$1:$I$88,5,0)</f>
        <v>2.5420376914553347E-13</v>
      </c>
      <c r="BF150" s="14">
        <f t="shared" si="145"/>
        <v>3.4258699088369875E-12</v>
      </c>
      <c r="BG150" s="22">
        <f t="shared" si="115"/>
        <v>6.4094616558195571E-12</v>
      </c>
      <c r="BH150" s="62">
        <f t="shared" si="116"/>
        <v>293.33333333333974</v>
      </c>
      <c r="BI150" s="62">
        <f ca="1">AVERAGE(OFFSET($BH$3,0,0,'Données projet'!$E$11+1,1))-AVERAGE(OFFSET($H$3,0,0,'Données projet'!$E$11+1,1))</f>
        <v>358.417829688045</v>
      </c>
      <c r="BJ150" s="62">
        <f t="shared" si="146"/>
        <v>394.03759949558713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46.64699730138252</v>
      </c>
      <c r="BQ150" s="23">
        <f>EXP(-LN(2)/25)*BQ149+(1-EXP(-LN(2)/25))/(LN(2)/25)*Calculateur!BL150*Calculateur!BN150*VLOOKUP('Données projet'!$B$11,Paramètres!$A$1:$I$88,3,0)*0.475*44/12</f>
        <v>10.882726442126684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57.529723743509201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projet'!$B$12,Paramètres!$A$1:$I$88,3,0)*VLOOKUP('Données projet'!$B$12,Paramètres!$A$1:$I$88,5,0)</f>
        <v>-1.3596945791505279E-13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405.42845699663462</v>
      </c>
      <c r="CE150" s="62">
        <f t="shared" si="148"/>
        <v>292.26503163353146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65.375480476422453</v>
      </c>
      <c r="CL150" s="23">
        <f>EXP(-LN(2)/25)*CL149+(1-EXP(-LN(2)/25))/(LN(2)/25)*Calculateur!CG150*Calculateur!CI150*VLOOKUP('Données projet'!$B$12,Paramètres!$A$1:$I$88,3,0)*0.475*44/12</f>
        <v>17.133004457323668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82.508484933746118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4.8666666666666663</v>
      </c>
      <c r="N151" s="14">
        <f>IF('Données projet'!$A$36&gt;35,N150+M151-V150,IF(A151&lt;'Données projet'!$A$36,$K$205^A151,IF(A151='Données projet'!$A$36,'Données projet'!$B$36,N150+M151-V150)))</f>
        <v>271.66666666666669</v>
      </c>
      <c r="O151" s="14">
        <f>N151*VLOOKUP('Données projet'!$B$9,Paramètres!$A$1:$I$88,3,0)*VLOOKUP('Données projet'!$B$9,Paramètres!$A$1:$I$88,5,0)</f>
        <v>245.804</v>
      </c>
      <c r="P151" s="14">
        <f t="shared" si="141"/>
        <v>59.686547383038381</v>
      </c>
      <c r="Q151" s="22">
        <f t="shared" si="108"/>
        <v>532.06270335879185</v>
      </c>
      <c r="R151" s="62">
        <f t="shared" si="109"/>
        <v>825.39603669212511</v>
      </c>
      <c r="S151" s="62">
        <f ca="1">AVERAGE(OFFSET($R$3,0,0,'Données projet'!$E$9+1,1))-AVERAGE(OFFSET($H$3,0,0,'Données projet'!$E$9+1,1))</f>
        <v>329.02356155998905</v>
      </c>
      <c r="T151" s="62">
        <f t="shared" si="142"/>
        <v>199.43308683696642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34.097515101853183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34.097515101853183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160.55473404658039</v>
      </c>
      <c r="AO151" s="62">
        <f t="shared" si="144"/>
        <v>188.70262429536223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13.345493587774609</v>
      </c>
      <c r="AV151" s="23">
        <f>EXP(-LN(2)/25)*AV150+(1-EXP(-LN(2)/25))/(LN(2)/25)*Calculateur!AQ151*Calculateur!AS151*VLOOKUP('Données projet'!$B$10,Paramètres!$A$1:$I$88,3,0)*0.475*44/12</f>
        <v>3.4356223989028427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16.781115986677452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4.5474735088646412E-13</v>
      </c>
      <c r="BE151" s="14">
        <f>BD151*VLOOKUP('Données projet'!$B$11,Paramètres!$A$1:$I$88,3,0)*VLOOKUP('Données projet'!$B$11,Paramètres!$A$1:$I$88,5,0)</f>
        <v>2.5420376914553347E-13</v>
      </c>
      <c r="BF151" s="14">
        <f t="shared" si="145"/>
        <v>3.4258699088369875E-12</v>
      </c>
      <c r="BG151" s="22">
        <f t="shared" si="115"/>
        <v>6.4094616558195571E-12</v>
      </c>
      <c r="BH151" s="62">
        <f t="shared" si="116"/>
        <v>293.33333333333974</v>
      </c>
      <c r="BI151" s="62">
        <f ca="1">AVERAGE(OFFSET($BH$3,0,0,'Données projet'!$E$11+1,1))-AVERAGE(OFFSET($H$3,0,0,'Données projet'!$E$11+1,1))</f>
        <v>358.417829688045</v>
      </c>
      <c r="BJ151" s="62">
        <f t="shared" si="146"/>
        <v>394.03759949558713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45.732278136161376</v>
      </c>
      <c r="BQ151" s="23">
        <f>EXP(-LN(2)/25)*BQ150+(1-EXP(-LN(2)/25))/(LN(2)/25)*Calculateur!BL151*Calculateur!BN151*VLOOKUP('Données projet'!$B$11,Paramètres!$A$1:$I$88,3,0)*0.475*44/12</f>
        <v>10.585137715269019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56.317415851430397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projet'!$B$12,Paramètres!$A$1:$I$88,3,0)*VLOOKUP('Données projet'!$B$12,Paramètres!$A$1:$I$88,5,0)</f>
        <v>-1.3596945791505279E-13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405.42845699663462</v>
      </c>
      <c r="CE151" s="62">
        <f t="shared" si="148"/>
        <v>292.26503163353146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64.093507179385554</v>
      </c>
      <c r="CL151" s="23">
        <f>EXP(-LN(2)/25)*CL150+(1-EXP(-LN(2)/25))/(LN(2)/25)*Calculateur!CG151*Calculateur!CI151*VLOOKUP('Données projet'!$B$12,Paramètres!$A$1:$I$88,3,0)*0.475*44/12</f>
        <v>16.664501549452606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80.758008728838163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4.8666666666666663</v>
      </c>
      <c r="N152" s="14">
        <f>IF('Données projet'!$A$36&gt;35,N151+M152-V151,IF(A152&lt;'Données projet'!$A$36,$K$205^A152,IF(A152='Données projet'!$A$36,'Données projet'!$B$36,N151+M152-V151)))</f>
        <v>276.53333333333336</v>
      </c>
      <c r="O152" s="14">
        <f>N152*VLOOKUP('Données projet'!$B$9,Paramètres!$A$1:$I$88,3,0)*VLOOKUP('Données projet'!$B$9,Paramètres!$A$1:$I$88,5,0)</f>
        <v>250.20735999999999</v>
      </c>
      <c r="P152" s="14">
        <f t="shared" si="141"/>
        <v>60.630341732617744</v>
      </c>
      <c r="Q152" s="22">
        <f t="shared" si="108"/>
        <v>541.37566385097591</v>
      </c>
      <c r="R152" s="62">
        <f t="shared" si="109"/>
        <v>834.70899718430928</v>
      </c>
      <c r="S152" s="62">
        <f ca="1">AVERAGE(OFFSET($R$3,0,0,'Données projet'!$E$9+1,1))-AVERAGE(OFFSET($H$3,0,0,'Données projet'!$E$9+1,1))</f>
        <v>329.02356155998905</v>
      </c>
      <c r="T152" s="62">
        <f t="shared" si="142"/>
        <v>199.43308683696642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33.428883628136482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33.428883628136482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160.55473404658039</v>
      </c>
      <c r="AO152" s="62">
        <f t="shared" si="144"/>
        <v>188.70262429536223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13.083796598465684</v>
      </c>
      <c r="AV152" s="23">
        <f>EXP(-LN(2)/25)*AV151+(1-EXP(-LN(2)/25))/(LN(2)/25)*Calculateur!AQ152*Calculateur!AS152*VLOOKUP('Données projet'!$B$10,Paramètres!$A$1:$I$88,3,0)*0.475*44/12</f>
        <v>3.3416751237333147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16.425471722198999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4.5474735088646412E-13</v>
      </c>
      <c r="BE152" s="14">
        <f>BD152*VLOOKUP('Données projet'!$B$11,Paramètres!$A$1:$I$88,3,0)*VLOOKUP('Données projet'!$B$11,Paramètres!$A$1:$I$88,5,0)</f>
        <v>2.5420376914553347E-13</v>
      </c>
      <c r="BF152" s="14">
        <f t="shared" si="145"/>
        <v>3.4258699088369875E-12</v>
      </c>
      <c r="BG152" s="22">
        <f t="shared" si="115"/>
        <v>6.4094616558195571E-12</v>
      </c>
      <c r="BH152" s="62">
        <f t="shared" si="116"/>
        <v>293.33333333333974</v>
      </c>
      <c r="BI152" s="62">
        <f ca="1">AVERAGE(OFFSET($BH$3,0,0,'Données projet'!$E$11+1,1))-AVERAGE(OFFSET($H$3,0,0,'Données projet'!$E$11+1,1))</f>
        <v>358.417829688045</v>
      </c>
      <c r="BJ152" s="62">
        <f t="shared" si="146"/>
        <v>394.03759949558713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44.835496055846619</v>
      </c>
      <c r="BQ152" s="23">
        <f>EXP(-LN(2)/25)*BQ151+(1-EXP(-LN(2)/25))/(LN(2)/25)*Calculateur!BL152*Calculateur!BN152*VLOOKUP('Données projet'!$B$11,Paramètres!$A$1:$I$88,3,0)*0.475*44/12</f>
        <v>10.295686567796787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55.131182623643404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projet'!$B$12,Paramètres!$A$1:$I$88,3,0)*VLOOKUP('Données projet'!$B$12,Paramètres!$A$1:$I$88,5,0)</f>
        <v>-1.3596945791505279E-13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405.42845699663462</v>
      </c>
      <c r="CE152" s="62">
        <f t="shared" si="148"/>
        <v>292.26503163353146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62.836672596777049</v>
      </c>
      <c r="CL152" s="23">
        <f>EXP(-LN(2)/25)*CL151+(1-EXP(-LN(2)/25))/(LN(2)/25)*Calculateur!CG152*Calculateur!CI152*VLOOKUP('Données projet'!$B$12,Paramètres!$A$1:$I$88,3,0)*0.475*44/12</f>
        <v>16.208809878234774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79.045482475011823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4.8666666666666663</v>
      </c>
      <c r="N153" s="14">
        <f>IF('Données projet'!$A$36&gt;35,N152+M153-V152,IF(A153&lt;'Données projet'!$A$36,$K$205^A153,IF(A153='Données projet'!$A$36,'Données projet'!$B$36,N152+M153-V152)))</f>
        <v>281.40000000000003</v>
      </c>
      <c r="O153" s="14">
        <f>N153*VLOOKUP('Données projet'!$B$9,Paramètres!$A$1:$I$88,3,0)*VLOOKUP('Données projet'!$B$9,Paramètres!$A$1:$I$88,5,0)</f>
        <v>254.61072000000004</v>
      </c>
      <c r="P153" s="14">
        <f t="shared" si="141"/>
        <v>61.572204587965679</v>
      </c>
      <c r="Q153" s="22">
        <f t="shared" si="108"/>
        <v>550.6852603240402</v>
      </c>
      <c r="R153" s="62">
        <f t="shared" si="109"/>
        <v>844.01859365737346</v>
      </c>
      <c r="S153" s="62">
        <f ca="1">AVERAGE(OFFSET($R$3,0,0,'Données projet'!$E$9+1,1))-AVERAGE(OFFSET($H$3,0,0,'Données projet'!$E$9+1,1))</f>
        <v>329.02356155998905</v>
      </c>
      <c r="T153" s="62">
        <f t="shared" si="142"/>
        <v>199.43308683696642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32.77336360979443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32.77336360979443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160.55473404658039</v>
      </c>
      <c r="AO153" s="62">
        <f t="shared" si="144"/>
        <v>188.70262429536223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12.827231327497705</v>
      </c>
      <c r="AV153" s="23">
        <f>EXP(-LN(2)/25)*AV152+(1-EXP(-LN(2)/25))/(LN(2)/25)*Calculateur!AQ153*Calculateur!AS153*VLOOKUP('Données projet'!$B$10,Paramètres!$A$1:$I$88,3,0)*0.475*44/12</f>
        <v>3.2502968417437699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16.077528169241475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4.5474735088646412E-13</v>
      </c>
      <c r="BE153" s="14">
        <f>BD153*VLOOKUP('Données projet'!$B$11,Paramètres!$A$1:$I$88,3,0)*VLOOKUP('Données projet'!$B$11,Paramètres!$A$1:$I$88,5,0)</f>
        <v>2.5420376914553347E-13</v>
      </c>
      <c r="BF153" s="14">
        <f t="shared" si="145"/>
        <v>3.4258699088369875E-12</v>
      </c>
      <c r="BG153" s="22">
        <f t="shared" si="115"/>
        <v>6.4094616558195571E-12</v>
      </c>
      <c r="BH153" s="62">
        <f t="shared" si="116"/>
        <v>293.33333333333974</v>
      </c>
      <c r="BI153" s="62">
        <f ca="1">AVERAGE(OFFSET($BH$3,0,0,'Données projet'!$E$11+1,1))-AVERAGE(OFFSET($H$3,0,0,'Données projet'!$E$11+1,1))</f>
        <v>358.417829688045</v>
      </c>
      <c r="BJ153" s="62">
        <f t="shared" si="146"/>
        <v>394.03759949558713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43.956299325143775</v>
      </c>
      <c r="BQ153" s="23">
        <f>EXP(-LN(2)/25)*BQ152+(1-EXP(-LN(2)/25))/(LN(2)/25)*Calculateur!BL153*Calculateur!BN153*VLOOKUP('Données projet'!$B$11,Paramètres!$A$1:$I$88,3,0)*0.475*44/12</f>
        <v>10.014150477173759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53.970449802317532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projet'!$B$12,Paramètres!$A$1:$I$88,3,0)*VLOOKUP('Données projet'!$B$12,Paramètres!$A$1:$I$88,5,0)</f>
        <v>-1.3596945791505279E-13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405.42845699663462</v>
      </c>
      <c r="CE153" s="62">
        <f t="shared" si="148"/>
        <v>292.26503163353146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61.6044837737401</v>
      </c>
      <c r="CL153" s="23">
        <f>EXP(-LN(2)/25)*CL152+(1-EXP(-LN(2)/25))/(LN(2)/25)*Calculateur!CG153*Calculateur!CI153*VLOOKUP('Données projet'!$B$12,Paramètres!$A$1:$I$88,3,0)*0.475*44/12</f>
        <v>15.765579119730178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77.370062893470276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4.8666666666666663</v>
      </c>
      <c r="N154" s="14">
        <f>IF('Données projet'!$A$36&gt;35,N153+M154-V153,IF(A154&lt;'Données projet'!$A$36,$K$205^A154,IF(A154='Données projet'!$A$36,'Données projet'!$B$36,N153+M154-V153)))</f>
        <v>286.26666666666671</v>
      </c>
      <c r="O154" s="14">
        <f>N154*VLOOKUP('Données projet'!$B$9,Paramètres!$A$1:$I$88,3,0)*VLOOKUP('Données projet'!$B$9,Paramètres!$A$1:$I$88,5,0)</f>
        <v>259.01408000000004</v>
      </c>
      <c r="P154" s="14">
        <f t="shared" si="141"/>
        <v>62.512173207750891</v>
      </c>
      <c r="Q154" s="22">
        <f t="shared" ref="Q154:Q203" si="162">(O154+P154)*0.475*44/12</f>
        <v>559.99155767016623</v>
      </c>
      <c r="R154" s="62">
        <f t="shared" si="109"/>
        <v>853.32489100349949</v>
      </c>
      <c r="S154" s="62">
        <f ca="1">AVERAGE(OFFSET($R$3,0,0,'Données projet'!$E$9+1,1))-AVERAGE(OFFSET($H$3,0,0,'Données projet'!$E$9+1,1))</f>
        <v>329.02356155998905</v>
      </c>
      <c r="T154" s="62">
        <f t="shared" si="142"/>
        <v>199.43308683696642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32.130697939184337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32.130697939184337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160.55473404658039</v>
      </c>
      <c r="AO154" s="62">
        <f t="shared" si="144"/>
        <v>188.70262429536223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12.575697145004044</v>
      </c>
      <c r="AV154" s="23">
        <f>EXP(-LN(2)/25)*AV153+(1-EXP(-LN(2)/25))/(LN(2)/25)*Calculateur!AQ154*Calculateur!AS154*VLOOKUP('Données projet'!$B$10,Paramètres!$A$1:$I$88,3,0)*0.475*44/12</f>
        <v>3.1614173036806044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15.737114448684649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4.5474735088646412E-13</v>
      </c>
      <c r="BE154" s="14">
        <f>BD154*VLOOKUP('Données projet'!$B$11,Paramètres!$A$1:$I$88,3,0)*VLOOKUP('Données projet'!$B$11,Paramètres!$A$1:$I$88,5,0)</f>
        <v>2.5420376914553347E-13</v>
      </c>
      <c r="BF154" s="14">
        <f t="shared" ref="BF154:BF203" si="167">EXP(-1.0587+0.8836*LN(BE154)+0.284)</f>
        <v>3.4258699088369875E-12</v>
      </c>
      <c r="BG154" s="22">
        <f t="shared" ref="BG154:BG203" si="168">(BE154+BF154)*0.475*44/12</f>
        <v>6.4094616558195571E-12</v>
      </c>
      <c r="BH154" s="62">
        <f t="shared" si="116"/>
        <v>293.33333333333974</v>
      </c>
      <c r="BI154" s="62">
        <f ca="1">AVERAGE(OFFSET($BH$3,0,0,'Données projet'!$E$11+1,1))-AVERAGE(OFFSET($H$3,0,0,'Données projet'!$E$11+1,1))</f>
        <v>358.417829688045</v>
      </c>
      <c r="BJ154" s="62">
        <f t="shared" si="146"/>
        <v>394.03759949558713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43.094343106072955</v>
      </c>
      <c r="BQ154" s="23">
        <f>EXP(-LN(2)/25)*BQ153+(1-EXP(-LN(2)/25))/(LN(2)/25)*Calculateur!BL154*Calculateur!BN154*VLOOKUP('Données projet'!$B$11,Paramètres!$A$1:$I$88,3,0)*0.475*44/12</f>
        <v>9.7403130057541567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52.834656111827115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projet'!$B$12,Paramètres!$A$1:$I$88,3,0)*VLOOKUP('Données projet'!$B$12,Paramètres!$A$1:$I$88,5,0)</f>
        <v>-1.3596945791505279E-13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405.42845699663462</v>
      </c>
      <c r="CE154" s="62">
        <f t="shared" si="148"/>
        <v>292.26503163353146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60.396457421961934</v>
      </c>
      <c r="CL154" s="23">
        <f>EXP(-LN(2)/25)*CL153+(1-EXP(-LN(2)/25))/(LN(2)/25)*Calculateur!CG154*Calculateur!CI154*VLOOKUP('Données projet'!$B$12,Paramètres!$A$1:$I$88,3,0)*0.475*44/12</f>
        <v>15.334468529625383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75.730925951587324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4.8666666666666663</v>
      </c>
      <c r="N155" s="14">
        <f>IF('Données projet'!$A$36&gt;35,N154+M155-V154,IF(A155&lt;'Données projet'!$A$36,$K$205^A155,IF(A155='Données projet'!$A$36,'Données projet'!$B$36,N154+M155-V154)))</f>
        <v>291.13333333333338</v>
      </c>
      <c r="O155" s="14">
        <f>N155*VLOOKUP('Données projet'!$B$9,Paramètres!$A$1:$I$88,3,0)*VLOOKUP('Données projet'!$B$9,Paramètres!$A$1:$I$88,5,0)</f>
        <v>263.41744</v>
      </c>
      <c r="P155" s="14">
        <f t="shared" si="141"/>
        <v>63.450283511215474</v>
      </c>
      <c r="Q155" s="22">
        <f t="shared" si="162"/>
        <v>569.29461844870013</v>
      </c>
      <c r="R155" s="62">
        <f t="shared" si="109"/>
        <v>862.62795178203351</v>
      </c>
      <c r="S155" s="62">
        <f ca="1">AVERAGE(OFFSET($R$3,0,0,'Données projet'!$E$9+1,1))-AVERAGE(OFFSET($H$3,0,0,'Données projet'!$E$9+1,1))</f>
        <v>329.02356155998905</v>
      </c>
      <c r="T155" s="62">
        <f t="shared" si="142"/>
        <v>199.43308683696642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31.500634550387552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31.500634550387552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160.55473404658039</v>
      </c>
      <c r="AO155" s="62">
        <f t="shared" si="144"/>
        <v>188.70262429536223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12.329095394408382</v>
      </c>
      <c r="AV155" s="23">
        <f>EXP(-LN(2)/25)*AV154+(1-EXP(-LN(2)/25))/(LN(2)/25)*Calculateur!AQ155*Calculateur!AS155*VLOOKUP('Données projet'!$B$10,Paramètres!$A$1:$I$88,3,0)*0.475*44/12</f>
        <v>3.0749681812597478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15.404063575668129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4.5474735088646412E-13</v>
      </c>
      <c r="BE155" s="14">
        <f>BD155*VLOOKUP('Données projet'!$B$11,Paramètres!$A$1:$I$88,3,0)*VLOOKUP('Données projet'!$B$11,Paramètres!$A$1:$I$88,5,0)</f>
        <v>2.5420376914553347E-13</v>
      </c>
      <c r="BF155" s="14">
        <f t="shared" si="167"/>
        <v>3.4258699088369875E-12</v>
      </c>
      <c r="BG155" s="22">
        <f t="shared" si="168"/>
        <v>6.4094616558195571E-12</v>
      </c>
      <c r="BH155" s="62">
        <f t="shared" si="116"/>
        <v>293.33333333333974</v>
      </c>
      <c r="BI155" s="62">
        <f ca="1">AVERAGE(OFFSET($BH$3,0,0,'Données projet'!$E$11+1,1))-AVERAGE(OFFSET($H$3,0,0,'Données projet'!$E$11+1,1))</f>
        <v>358.417829688045</v>
      </c>
      <c r="BJ155" s="62">
        <f t="shared" si="146"/>
        <v>394.03759949558713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42.249289322716734</v>
      </c>
      <c r="BQ155" s="23">
        <f>EXP(-LN(2)/25)*BQ154+(1-EXP(-LN(2)/25))/(LN(2)/25)*Calculateur!BL155*Calculateur!BN155*VLOOKUP('Données projet'!$B$11,Paramètres!$A$1:$I$88,3,0)*0.475*44/12</f>
        <v>9.4739636343910103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51.723252957107746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projet'!$B$12,Paramètres!$A$1:$I$88,3,0)*VLOOKUP('Données projet'!$B$12,Paramètres!$A$1:$I$88,5,0)</f>
        <v>-1.3596945791505279E-13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405.42845699663462</v>
      </c>
      <c r="CE155" s="62">
        <f t="shared" si="148"/>
        <v>292.26503163353146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59.212119730118815</v>
      </c>
      <c r="CL155" s="23">
        <f>EXP(-LN(2)/25)*CL154+(1-EXP(-LN(2)/25))/(LN(2)/25)*Calculateur!CG155*Calculateur!CI155*VLOOKUP('Données projet'!$B$12,Paramètres!$A$1:$I$88,3,0)*0.475*44/12</f>
        <v>14.915146681278124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74.127266411396931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>
        <f>VLOOKUP(A156,'Données projet'!$A$35:$I$55,2,0)</f>
        <v>296</v>
      </c>
      <c r="L156" s="13">
        <f>VLOOKUP(A156,'Données projet'!$A$35:$I$55,9,0)</f>
        <v>4.8666666666666663</v>
      </c>
      <c r="M156" s="13">
        <f t="array" ref="M156">INDEX(L:L,MIN(IF(ISNUMBER(L156:L352),ROW(L156:L352),"")))</f>
        <v>4.8666666666666663</v>
      </c>
      <c r="N156" s="14">
        <f>IF('Données projet'!$A$36&gt;35,N155+M156-V155,IF(A156&lt;'Données projet'!$A$36,$K$205^A156,IF(A156='Données projet'!$A$36,'Données projet'!$B$36,N155+M156-V155)))</f>
        <v>296.00000000000006</v>
      </c>
      <c r="O156" s="14">
        <f>N156*VLOOKUP('Données projet'!$B$9,Paramètres!$A$1:$I$88,3,0)*VLOOKUP('Données projet'!$B$9,Paramètres!$A$1:$I$88,5,0)</f>
        <v>267.82080000000008</v>
      </c>
      <c r="P156" s="14">
        <f t="shared" si="141"/>
        <v>64.386570147897373</v>
      </c>
      <c r="Q156" s="22">
        <f t="shared" si="162"/>
        <v>578.59450300758806</v>
      </c>
      <c r="R156" s="62">
        <f t="shared" si="109"/>
        <v>871.92783634092143</v>
      </c>
      <c r="S156" s="62">
        <f ca="1">AVERAGE(OFFSET($R$3,0,0,'Données projet'!$E$9+1,1))-AVERAGE(OFFSET($H$3,0,0,'Données projet'!$E$9+1,1))</f>
        <v>329.02356155998905</v>
      </c>
      <c r="T156" s="62">
        <f t="shared" si="142"/>
        <v>199.43308683696642</v>
      </c>
      <c r="U156" s="16">
        <f>IF(ISNA(VLOOKUP(A156,'Données projet'!$A$35:$I$55,3,0)),0,VLOOKUP(A156,'Données projet'!$A$35:$I$55,3,0))</f>
        <v>12</v>
      </c>
      <c r="V156" s="16">
        <f>IF(ISNA(VLOOKUP(A156,'Données projet'!$A$35:$I$55,4,0)),0,VLOOKUP(A156,'Données projet'!$A$35:$I$55,4,0))</f>
        <v>296</v>
      </c>
      <c r="W156" s="17">
        <f>IF(ISNA(VLOOKUP(A156,'Données projet'!$A$35:$I$55,5,0)),0%,VLOOKUP(A156,'Données projet'!$A$35:$I$55,5,0)*VLOOKUP('Données projet'!$B$9,Paramètres!$A$1:$I$88,7,0))</f>
        <v>0.25800000000000001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107.26846036743149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107.26846036743149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160.55473404658039</v>
      </c>
      <c r="AO156" s="62">
        <f t="shared" si="144"/>
        <v>188.70262429536223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12.087329353729686</v>
      </c>
      <c r="AV156" s="23">
        <f>EXP(-LN(2)/25)*AV155+(1-EXP(-LN(2)/25))/(LN(2)/25)*Calculateur!AQ156*Calculateur!AS156*VLOOKUP('Données projet'!$B$10,Paramètres!$A$1:$I$88,3,0)*0.475*44/12</f>
        <v>2.9908830146376513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15.078212368367337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4.5474735088646412E-13</v>
      </c>
      <c r="BE156" s="14">
        <f>BD156*VLOOKUP('Données projet'!$B$11,Paramètres!$A$1:$I$88,3,0)*VLOOKUP('Données projet'!$B$11,Paramètres!$A$1:$I$88,5,0)</f>
        <v>2.5420376914553347E-13</v>
      </c>
      <c r="BF156" s="14">
        <f t="shared" si="167"/>
        <v>3.4258699088369875E-12</v>
      </c>
      <c r="BG156" s="22">
        <f t="shared" si="168"/>
        <v>6.4094616558195571E-12</v>
      </c>
      <c r="BH156" s="62">
        <f t="shared" si="116"/>
        <v>293.33333333333974</v>
      </c>
      <c r="BI156" s="62">
        <f ca="1">AVERAGE(OFFSET($BH$3,0,0,'Données projet'!$E$11+1,1))-AVERAGE(OFFSET($H$3,0,0,'Données projet'!$E$11+1,1))</f>
        <v>358.417829688045</v>
      </c>
      <c r="BJ156" s="62">
        <f t="shared" si="146"/>
        <v>394.03759949558713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41.420806528620219</v>
      </c>
      <c r="BQ156" s="23">
        <f>EXP(-LN(2)/25)*BQ155+(1-EXP(-LN(2)/25))/(LN(2)/25)*Calculateur!BL156*Calculateur!BN156*VLOOKUP('Données projet'!$B$11,Paramètres!$A$1:$I$88,3,0)*0.475*44/12</f>
        <v>9.2148976005944938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50.635704129214716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projet'!$B$12,Paramètres!$A$1:$I$88,3,0)*VLOOKUP('Données projet'!$B$12,Paramètres!$A$1:$I$88,5,0)</f>
        <v>-1.3596945791505279E-13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405.42845699663462</v>
      </c>
      <c r="CE156" s="62">
        <f t="shared" si="148"/>
        <v>292.26503163353146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58.051006178038079</v>
      </c>
      <c r="CL156" s="23">
        <f>EXP(-LN(2)/25)*CL155+(1-EXP(-LN(2)/25))/(LN(2)/25)*Calculateur!CG156*Calculateur!CI156*VLOOKUP('Données projet'!$B$12,Paramètres!$A$1:$I$88,3,0)*0.475*44/12</f>
        <v>14.507291210925098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72.558297388963183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projet'!$B$9,Paramètres!$A$1:$I$88,3,0)*VLOOKUP('Données projet'!$B$9,Paramètres!$A$1:$I$88,5,0)</f>
        <v>5.1431925385259088E-14</v>
      </c>
      <c r="P157" s="14">
        <f t="shared" si="141"/>
        <v>8.3482866290946129E-13</v>
      </c>
      <c r="Q157" s="22">
        <f t="shared" si="162"/>
        <v>1.5435705246133045E-12</v>
      </c>
      <c r="R157" s="62">
        <f t="shared" si="109"/>
        <v>293.33333333333485</v>
      </c>
      <c r="S157" s="62">
        <f ca="1">AVERAGE(OFFSET($R$3,0,0,'Données projet'!$E$9+1,1))-AVERAGE(OFFSET($H$3,0,0,'Données projet'!$E$9+1,1))</f>
        <v>329.02356155998905</v>
      </c>
      <c r="T157" s="62">
        <f t="shared" si="142"/>
        <v>199.43308683696642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105.16499128692656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105.16499128692656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160.55473404658039</v>
      </c>
      <c r="AO157" s="62">
        <f t="shared" si="144"/>
        <v>188.70262429536223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11.850304197645974</v>
      </c>
      <c r="AV157" s="23">
        <f>EXP(-LN(2)/25)*AV156+(1-EXP(-LN(2)/25))/(LN(2)/25)*Calculateur!AQ157*Calculateur!AS157*VLOOKUP('Données projet'!$B$10,Paramètres!$A$1:$I$88,3,0)*0.475*44/12</f>
        <v>2.9090971613186829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14.759401358964656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4.5474735088646412E-13</v>
      </c>
      <c r="BE157" s="14">
        <f>BD157*VLOOKUP('Données projet'!$B$11,Paramètres!$A$1:$I$88,3,0)*VLOOKUP('Données projet'!$B$11,Paramètres!$A$1:$I$88,5,0)</f>
        <v>2.5420376914553347E-13</v>
      </c>
      <c r="BF157" s="14">
        <f t="shared" si="167"/>
        <v>3.4258699088369875E-12</v>
      </c>
      <c r="BG157" s="22">
        <f t="shared" si="168"/>
        <v>6.4094616558195571E-12</v>
      </c>
      <c r="BH157" s="62">
        <f t="shared" si="116"/>
        <v>293.33333333333974</v>
      </c>
      <c r="BI157" s="62">
        <f ca="1">AVERAGE(OFFSET($BH$3,0,0,'Données projet'!$E$11+1,1))-AVERAGE(OFFSET($H$3,0,0,'Données projet'!$E$11+1,1))</f>
        <v>358.417829688045</v>
      </c>
      <c r="BJ157" s="62">
        <f t="shared" si="146"/>
        <v>394.03759949558713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40.608569776791327</v>
      </c>
      <c r="BQ157" s="23">
        <f>EXP(-LN(2)/25)*BQ156+(1-EXP(-LN(2)/25))/(LN(2)/25)*Calculateur!BL157*Calculateur!BN157*VLOOKUP('Données projet'!$B$11,Paramètres!$A$1:$I$88,3,0)*0.475*44/12</f>
        <v>8.9629157411158342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49.571485517907163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projet'!$B$12,Paramètres!$A$1:$I$88,3,0)*VLOOKUP('Données projet'!$B$12,Paramètres!$A$1:$I$88,5,0)</f>
        <v>-1.3596945791505279E-13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405.42845699663462</v>
      </c>
      <c r="CE157" s="62">
        <f t="shared" si="148"/>
        <v>292.26503163353146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56.912661354504309</v>
      </c>
      <c r="CL157" s="23">
        <f>EXP(-LN(2)/25)*CL156+(1-EXP(-LN(2)/25))/(LN(2)/25)*Calculateur!CG157*Calculateur!CI157*VLOOKUP('Données projet'!$B$12,Paramètres!$A$1:$I$88,3,0)*0.475*44/12</f>
        <v>14.110588569857063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71.023249924361366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projet'!$B$9,Paramètres!$A$1:$I$88,3,0)*VLOOKUP('Données projet'!$B$9,Paramètres!$A$1:$I$88,5,0)</f>
        <v>5.1431925385259088E-14</v>
      </c>
      <c r="P158" s="14">
        <f t="shared" si="141"/>
        <v>8.3482866290946129E-13</v>
      </c>
      <c r="Q158" s="22">
        <f t="shared" si="162"/>
        <v>1.5435705246133045E-12</v>
      </c>
      <c r="R158" s="62">
        <f t="shared" si="109"/>
        <v>293.33333333333485</v>
      </c>
      <c r="S158" s="62">
        <f ca="1">AVERAGE(OFFSET($R$3,0,0,'Données projet'!$E$9+1,1))-AVERAGE(OFFSET($H$3,0,0,'Données projet'!$E$9+1,1))</f>
        <v>329.02356155998905</v>
      </c>
      <c r="T158" s="62">
        <f t="shared" si="142"/>
        <v>199.43308683696642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103.1027699521009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103.1027699521009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160.55473404658039</v>
      </c>
      <c r="AO158" s="62">
        <f t="shared" si="144"/>
        <v>188.70262429536223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11.617926960301993</v>
      </c>
      <c r="AV158" s="23">
        <f>EXP(-LN(2)/25)*AV157+(1-EXP(-LN(2)/25))/(LN(2)/25)*Calculateur!AQ158*Calculateur!AS158*VLOOKUP('Données projet'!$B$10,Paramètres!$A$1:$I$88,3,0)*0.475*44/12</f>
        <v>2.8295477464596526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14.447474706761646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4.5474735088646412E-13</v>
      </c>
      <c r="BE158" s="14">
        <f>BD158*VLOOKUP('Données projet'!$B$11,Paramètres!$A$1:$I$88,3,0)*VLOOKUP('Données projet'!$B$11,Paramètres!$A$1:$I$88,5,0)</f>
        <v>2.5420376914553347E-13</v>
      </c>
      <c r="BF158" s="14">
        <f t="shared" si="167"/>
        <v>3.4258699088369875E-12</v>
      </c>
      <c r="BG158" s="22">
        <f t="shared" si="168"/>
        <v>6.4094616558195571E-12</v>
      </c>
      <c r="BH158" s="62">
        <f t="shared" si="116"/>
        <v>293.33333333333974</v>
      </c>
      <c r="BI158" s="62">
        <f ca="1">AVERAGE(OFFSET($BH$3,0,0,'Données projet'!$E$11+1,1))-AVERAGE(OFFSET($H$3,0,0,'Données projet'!$E$11+1,1))</f>
        <v>358.417829688045</v>
      </c>
      <c r="BJ158" s="62">
        <f t="shared" si="146"/>
        <v>394.03759949558713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39.812260492250296</v>
      </c>
      <c r="BQ158" s="23">
        <f>EXP(-LN(2)/25)*BQ157+(1-EXP(-LN(2)/25))/(LN(2)/25)*Calculateur!BL158*Calculateur!BN158*VLOOKUP('Données projet'!$B$11,Paramètres!$A$1:$I$88,3,0)*0.475*44/12</f>
        <v>8.7178243388357686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48.530084831086064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projet'!$B$12,Paramètres!$A$1:$I$88,3,0)*VLOOKUP('Données projet'!$B$12,Paramètres!$A$1:$I$88,5,0)</f>
        <v>-1.3596945791505279E-13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405.42845699663462</v>
      </c>
      <c r="CE158" s="62">
        <f t="shared" si="148"/>
        <v>292.26503163353146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55.796638778638254</v>
      </c>
      <c r="CL158" s="23">
        <f>EXP(-LN(2)/25)*CL157+(1-EXP(-LN(2)/25))/(LN(2)/25)*Calculateur!CG158*Calculateur!CI158*VLOOKUP('Données projet'!$B$12,Paramètres!$A$1:$I$88,3,0)*0.475*44/12</f>
        <v>13.724733783370718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69.521372562008978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projet'!$B$9,Paramètres!$A$1:$I$88,3,0)*VLOOKUP('Données projet'!$B$9,Paramètres!$A$1:$I$88,5,0)</f>
        <v>5.1431925385259088E-14</v>
      </c>
      <c r="P159" s="14">
        <f t="shared" si="141"/>
        <v>8.3482866290946129E-13</v>
      </c>
      <c r="Q159" s="22">
        <f t="shared" si="162"/>
        <v>1.5435705246133045E-12</v>
      </c>
      <c r="R159" s="62">
        <f t="shared" si="109"/>
        <v>293.33333333333485</v>
      </c>
      <c r="S159" s="62">
        <f ca="1">AVERAGE(OFFSET($R$3,0,0,'Données projet'!$E$9+1,1))-AVERAGE(OFFSET($H$3,0,0,'Données projet'!$E$9+1,1))</f>
        <v>329.02356155998905</v>
      </c>
      <c r="T159" s="62">
        <f t="shared" si="142"/>
        <v>199.43308683696642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101.08098751982035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101.08098751982035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160.55473404658039</v>
      </c>
      <c r="AO159" s="62">
        <f t="shared" si="144"/>
        <v>188.70262429536223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11.39010649884621</v>
      </c>
      <c r="AV159" s="23">
        <f>EXP(-LN(2)/25)*AV158+(1-EXP(-LN(2)/25))/(LN(2)/25)*Calculateur!AQ159*Calculateur!AS159*VLOOKUP('Données projet'!$B$10,Paramètres!$A$1:$I$88,3,0)*0.475*44/12</f>
        <v>2.7521736145332643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14.142280113379474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4.5474735088646412E-13</v>
      </c>
      <c r="BE159" s="14">
        <f>BD159*VLOOKUP('Données projet'!$B$11,Paramètres!$A$1:$I$88,3,0)*VLOOKUP('Données projet'!$B$11,Paramètres!$A$1:$I$88,5,0)</f>
        <v>2.5420376914553347E-13</v>
      </c>
      <c r="BF159" s="14">
        <f t="shared" si="167"/>
        <v>3.4258699088369875E-12</v>
      </c>
      <c r="BG159" s="22">
        <f t="shared" si="168"/>
        <v>6.4094616558195571E-12</v>
      </c>
      <c r="BH159" s="62">
        <f t="shared" si="116"/>
        <v>293.33333333333974</v>
      </c>
      <c r="BI159" s="62">
        <f ca="1">AVERAGE(OFFSET($BH$3,0,0,'Données projet'!$E$11+1,1))-AVERAGE(OFFSET($H$3,0,0,'Données projet'!$E$11+1,1))</f>
        <v>358.417829688045</v>
      </c>
      <c r="BJ159" s="62">
        <f t="shared" si="146"/>
        <v>394.03759949558713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39.03156634707841</v>
      </c>
      <c r="BQ159" s="23">
        <f>EXP(-LN(2)/25)*BQ158+(1-EXP(-LN(2)/25))/(LN(2)/25)*Calculateur!BL159*Calculateur!BN159*VLOOKUP('Données projet'!$B$11,Paramètres!$A$1:$I$88,3,0)*0.475*44/12</f>
        <v>8.4794349738398473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47.511001320918254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projet'!$B$12,Paramètres!$A$1:$I$88,3,0)*VLOOKUP('Données projet'!$B$12,Paramètres!$A$1:$I$88,5,0)</f>
        <v>-1.3596945791505279E-13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405.42845699663462</v>
      </c>
      <c r="CE159" s="62">
        <f t="shared" si="148"/>
        <v>292.26503163353146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54.702500724778375</v>
      </c>
      <c r="CL159" s="23">
        <f>EXP(-LN(2)/25)*CL158+(1-EXP(-LN(2)/25))/(LN(2)/25)*Calculateur!CG159*Calculateur!CI159*VLOOKUP('Données projet'!$B$12,Paramètres!$A$1:$I$88,3,0)*0.475*44/12</f>
        <v>13.349430216312065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68.051930941090433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projet'!$B$9,Paramètres!$A$1:$I$88,3,0)*VLOOKUP('Données projet'!$B$9,Paramètres!$A$1:$I$88,5,0)</f>
        <v>5.1431925385259088E-14</v>
      </c>
      <c r="P160" s="14">
        <f t="shared" si="141"/>
        <v>8.3482866290946129E-13</v>
      </c>
      <c r="Q160" s="22">
        <f t="shared" si="162"/>
        <v>1.5435705246133045E-12</v>
      </c>
      <c r="R160" s="62">
        <f t="shared" si="109"/>
        <v>293.33333333333485</v>
      </c>
      <c r="S160" s="62">
        <f ca="1">AVERAGE(OFFSET($R$3,0,0,'Données projet'!$E$9+1,1))-AVERAGE(OFFSET($H$3,0,0,'Données projet'!$E$9+1,1))</f>
        <v>329.02356155998905</v>
      </c>
      <c r="T160" s="62">
        <f t="shared" si="142"/>
        <v>199.43308683696642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99.098851007871303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99.098851007871303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160.55473404658039</v>
      </c>
      <c r="AO160" s="62">
        <f t="shared" si="144"/>
        <v>188.70262429536223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11.166753457682812</v>
      </c>
      <c r="AV160" s="23">
        <f>EXP(-LN(2)/25)*AV159+(1-EXP(-LN(2)/25))/(LN(2)/25)*Calculateur!AQ160*Calculateur!AS160*VLOOKUP('Données projet'!$B$10,Paramètres!$A$1:$I$88,3,0)*0.475*44/12</f>
        <v>2.676915282313332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13.843668739996144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4.5474735088646412E-13</v>
      </c>
      <c r="BE160" s="14">
        <f>BD160*VLOOKUP('Données projet'!$B$11,Paramètres!$A$1:$I$88,3,0)*VLOOKUP('Données projet'!$B$11,Paramètres!$A$1:$I$88,5,0)</f>
        <v>2.5420376914553347E-13</v>
      </c>
      <c r="BF160" s="14">
        <f t="shared" si="167"/>
        <v>3.4258699088369875E-12</v>
      </c>
      <c r="BG160" s="22">
        <f t="shared" si="168"/>
        <v>6.4094616558195571E-12</v>
      </c>
      <c r="BH160" s="62">
        <f t="shared" si="116"/>
        <v>293.33333333333974</v>
      </c>
      <c r="BI160" s="62">
        <f ca="1">AVERAGE(OFFSET($BH$3,0,0,'Données projet'!$E$11+1,1))-AVERAGE(OFFSET($H$3,0,0,'Données projet'!$E$11+1,1))</f>
        <v>358.417829688045</v>
      </c>
      <c r="BJ160" s="62">
        <f t="shared" si="146"/>
        <v>394.03759949558713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38.266181137916938</v>
      </c>
      <c r="BQ160" s="23">
        <f>EXP(-LN(2)/25)*BQ159+(1-EXP(-LN(2)/25))/(LN(2)/25)*Calculateur!BL160*Calculateur!BN160*VLOOKUP('Données projet'!$B$11,Paramètres!$A$1:$I$88,3,0)*0.475*44/12</f>
        <v>8.247564378566091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46.513745516483027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projet'!$B$12,Paramètres!$A$1:$I$88,3,0)*VLOOKUP('Données projet'!$B$12,Paramètres!$A$1:$I$88,5,0)</f>
        <v>-1.3596945791505279E-13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405.42845699663462</v>
      </c>
      <c r="CE160" s="62">
        <f t="shared" si="148"/>
        <v>292.26503163353146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53.629818050796374</v>
      </c>
      <c r="CL160" s="23">
        <f>EXP(-LN(2)/25)*CL159+(1-EXP(-LN(2)/25))/(LN(2)/25)*Calculateur!CG160*Calculateur!CI160*VLOOKUP('Données projet'!$B$12,Paramètres!$A$1:$I$88,3,0)*0.475*44/12</f>
        <v>12.984389345030987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66.614207395827364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projet'!$B$9,Paramètres!$A$1:$I$88,3,0)*VLOOKUP('Données projet'!$B$9,Paramètres!$A$1:$I$88,5,0)</f>
        <v>5.1431925385259088E-14</v>
      </c>
      <c r="P161" s="14">
        <f t="shared" si="141"/>
        <v>8.3482866290946129E-13</v>
      </c>
      <c r="Q161" s="22">
        <f t="shared" si="162"/>
        <v>1.5435705246133045E-12</v>
      </c>
      <c r="R161" s="62">
        <f t="shared" si="109"/>
        <v>293.33333333333485</v>
      </c>
      <c r="S161" s="62">
        <f ca="1">AVERAGE(OFFSET($R$3,0,0,'Données projet'!$E$9+1,1))-AVERAGE(OFFSET($H$3,0,0,'Données projet'!$E$9+1,1))</f>
        <v>329.02356155998905</v>
      </c>
      <c r="T161" s="62">
        <f t="shared" si="142"/>
        <v>199.43308683696642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97.155582983937677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97.155582983937677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160.55473404658039</v>
      </c>
      <c r="AO161" s="62">
        <f t="shared" si="144"/>
        <v>188.70262429536223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10.947780233424727</v>
      </c>
      <c r="AV161" s="23">
        <f>EXP(-LN(2)/25)*AV160+(1-EXP(-LN(2)/25))/(LN(2)/25)*Calculateur!AQ161*Calculateur!AS161*VLOOKUP('Données projet'!$B$10,Paramètres!$A$1:$I$88,3,0)*0.475*44/12</f>
        <v>2.6037148931456175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13.551495126570344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4.5474735088646412E-13</v>
      </c>
      <c r="BE161" s="14">
        <f>BD161*VLOOKUP('Données projet'!$B$11,Paramètres!$A$1:$I$88,3,0)*VLOOKUP('Données projet'!$B$11,Paramètres!$A$1:$I$88,5,0)</f>
        <v>2.5420376914553347E-13</v>
      </c>
      <c r="BF161" s="14">
        <f t="shared" si="167"/>
        <v>3.4258699088369875E-12</v>
      </c>
      <c r="BG161" s="22">
        <f t="shared" si="168"/>
        <v>6.4094616558195571E-12</v>
      </c>
      <c r="BH161" s="62">
        <f t="shared" si="116"/>
        <v>293.33333333333974</v>
      </c>
      <c r="BI161" s="62">
        <f ca="1">AVERAGE(OFFSET($BH$3,0,0,'Données projet'!$E$11+1,1))-AVERAGE(OFFSET($H$3,0,0,'Données projet'!$E$11+1,1))</f>
        <v>358.417829688045</v>
      </c>
      <c r="BJ161" s="62">
        <f t="shared" si="146"/>
        <v>394.03759949558713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37.515804665868238</v>
      </c>
      <c r="BQ161" s="23">
        <f>EXP(-LN(2)/25)*BQ160+(1-EXP(-LN(2)/25))/(LN(2)/25)*Calculateur!BL161*Calculateur!BN161*VLOOKUP('Données projet'!$B$11,Paramètres!$A$1:$I$88,3,0)*0.475*44/12</f>
        <v>8.02203429691364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45.537838962781876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projet'!$B$12,Paramètres!$A$1:$I$88,3,0)*VLOOKUP('Données projet'!$B$12,Paramètres!$A$1:$I$88,5,0)</f>
        <v>-1.3596945791505279E-13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405.42845699663462</v>
      </c>
      <c r="CE161" s="62">
        <f t="shared" si="148"/>
        <v>292.26503163353146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52.578170029779329</v>
      </c>
      <c r="CL161" s="23">
        <f>EXP(-LN(2)/25)*CL160+(1-EXP(-LN(2)/25))/(LN(2)/25)*Calculateur!CG161*Calculateur!CI161*VLOOKUP('Données projet'!$B$12,Paramètres!$A$1:$I$88,3,0)*0.475*44/12</f>
        <v>12.629330535571755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65.207500565351083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projet'!$B$9,Paramètres!$A$1:$I$88,3,0)*VLOOKUP('Données projet'!$B$9,Paramètres!$A$1:$I$88,5,0)</f>
        <v>5.1431925385259088E-14</v>
      </c>
      <c r="P162" s="14">
        <f t="shared" si="141"/>
        <v>8.3482866290946129E-13</v>
      </c>
      <c r="Q162" s="22">
        <f t="shared" si="162"/>
        <v>1.5435705246133045E-12</v>
      </c>
      <c r="R162" s="62">
        <f t="shared" si="109"/>
        <v>293.33333333333485</v>
      </c>
      <c r="S162" s="62">
        <f ca="1">AVERAGE(OFFSET($R$3,0,0,'Données projet'!$E$9+1,1))-AVERAGE(OFFSET($H$3,0,0,'Données projet'!$E$9+1,1))</f>
        <v>329.02356155998905</v>
      </c>
      <c r="T162" s="62">
        <f t="shared" si="142"/>
        <v>199.43308683696642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95.25042126067693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95.25042126067693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160.55473404658039</v>
      </c>
      <c r="AO162" s="62">
        <f t="shared" si="144"/>
        <v>188.70262429536223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10.733100940533863</v>
      </c>
      <c r="AV162" s="23">
        <f>EXP(-LN(2)/25)*AV161+(1-EXP(-LN(2)/25))/(LN(2)/25)*Calculateur!AQ162*Calculateur!AS162*VLOOKUP('Données projet'!$B$10,Paramètres!$A$1:$I$88,3,0)*0.475*44/12</f>
        <v>2.5325161724691352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13.265617113002998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4.5474735088646412E-13</v>
      </c>
      <c r="BE162" s="14">
        <f>BD162*VLOOKUP('Données projet'!$B$11,Paramètres!$A$1:$I$88,3,0)*VLOOKUP('Données projet'!$B$11,Paramètres!$A$1:$I$88,5,0)</f>
        <v>2.5420376914553347E-13</v>
      </c>
      <c r="BF162" s="14">
        <f t="shared" si="167"/>
        <v>3.4258699088369875E-12</v>
      </c>
      <c r="BG162" s="22">
        <f t="shared" si="168"/>
        <v>6.4094616558195571E-12</v>
      </c>
      <c r="BH162" s="62">
        <f t="shared" si="116"/>
        <v>293.33333333333974</v>
      </c>
      <c r="BI162" s="62">
        <f ca="1">AVERAGE(OFFSET($BH$3,0,0,'Données projet'!$E$11+1,1))-AVERAGE(OFFSET($H$3,0,0,'Données projet'!$E$11+1,1))</f>
        <v>358.417829688045</v>
      </c>
      <c r="BJ162" s="62">
        <f t="shared" si="146"/>
        <v>394.03759949558713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36.78014261875196</v>
      </c>
      <c r="BQ162" s="23">
        <f>EXP(-LN(2)/25)*BQ161+(1-EXP(-LN(2)/25))/(LN(2)/25)*Calculateur!BL162*Calculateur!BN162*VLOOKUP('Données projet'!$B$11,Paramètres!$A$1:$I$88,3,0)*0.475*44/12</f>
        <v>7.8026713472040878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44.582813965956049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projet'!$B$12,Paramètres!$A$1:$I$88,3,0)*VLOOKUP('Données projet'!$B$12,Paramètres!$A$1:$I$88,5,0)</f>
        <v>-1.3596945791505279E-13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405.42845699663462</v>
      </c>
      <c r="CE162" s="62">
        <f t="shared" si="148"/>
        <v>292.26503163353146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51.547144185012471</v>
      </c>
      <c r="CL162" s="23">
        <f>EXP(-LN(2)/25)*CL161+(1-EXP(-LN(2)/25))/(LN(2)/25)*Calculateur!CG162*Calculateur!CI162*VLOOKUP('Données projet'!$B$12,Paramètres!$A$1:$I$88,3,0)*0.475*44/12</f>
        <v>12.283980827928918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63.831125012941385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projet'!$B$9,Paramètres!$A$1:$I$88,3,0)*VLOOKUP('Données projet'!$B$9,Paramètres!$A$1:$I$88,5,0)</f>
        <v>5.1431925385259088E-14</v>
      </c>
      <c r="P163" s="14">
        <f t="shared" si="141"/>
        <v>8.3482866290946129E-13</v>
      </c>
      <c r="Q163" s="22">
        <f t="shared" si="162"/>
        <v>1.5435705246133045E-12</v>
      </c>
      <c r="R163" s="62">
        <f t="shared" si="109"/>
        <v>293.33333333333485</v>
      </c>
      <c r="S163" s="62">
        <f ca="1">AVERAGE(OFFSET($R$3,0,0,'Données projet'!$E$9+1,1))-AVERAGE(OFFSET($H$3,0,0,'Données projet'!$E$9+1,1))</f>
        <v>329.02356155998905</v>
      </c>
      <c r="T163" s="62">
        <f t="shared" si="142"/>
        <v>199.43308683696642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93.382618596775416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93.382618596775416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160.55473404658039</v>
      </c>
      <c r="AO163" s="62">
        <f t="shared" si="144"/>
        <v>188.70262429536223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10.52263137763515</v>
      </c>
      <c r="AV163" s="23">
        <f>EXP(-LN(2)/25)*AV162+(1-EXP(-LN(2)/25))/(LN(2)/25)*Calculateur!AQ163*Calculateur!AS163*VLOOKUP('Données projet'!$B$10,Paramètres!$A$1:$I$88,3,0)*0.475*44/12</f>
        <v>2.4632643845537294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12.98589576218888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4.5474735088646412E-13</v>
      </c>
      <c r="BE163" s="14">
        <f>BD163*VLOOKUP('Données projet'!$B$11,Paramètres!$A$1:$I$88,3,0)*VLOOKUP('Données projet'!$B$11,Paramètres!$A$1:$I$88,5,0)</f>
        <v>2.5420376914553347E-13</v>
      </c>
      <c r="BF163" s="14">
        <f t="shared" si="167"/>
        <v>3.4258699088369875E-12</v>
      </c>
      <c r="BG163" s="22">
        <f t="shared" si="168"/>
        <v>6.4094616558195571E-12</v>
      </c>
      <c r="BH163" s="62">
        <f t="shared" si="116"/>
        <v>293.33333333333974</v>
      </c>
      <c r="BI163" s="62">
        <f ca="1">AVERAGE(OFFSET($BH$3,0,0,'Données projet'!$E$11+1,1))-AVERAGE(OFFSET($H$3,0,0,'Données projet'!$E$11+1,1))</f>
        <v>358.417829688045</v>
      </c>
      <c r="BJ163" s="62">
        <f t="shared" si="146"/>
        <v>394.03759949558713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36.05890645567009</v>
      </c>
      <c r="BQ163" s="23">
        <f>EXP(-LN(2)/25)*BQ162+(1-EXP(-LN(2)/25))/(LN(2)/25)*Calculateur!BL163*Calculateur!BN163*VLOOKUP('Données projet'!$B$11,Paramètres!$A$1:$I$88,3,0)*0.475*44/12</f>
        <v>7.5893068888901389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43.648213344560233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projet'!$B$12,Paramètres!$A$1:$I$88,3,0)*VLOOKUP('Données projet'!$B$12,Paramètres!$A$1:$I$88,5,0)</f>
        <v>-1.3596945791505279E-13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405.42845699663462</v>
      </c>
      <c r="CE163" s="62">
        <f t="shared" si="148"/>
        <v>292.26503163353146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50.536336128197824</v>
      </c>
      <c r="CL163" s="23">
        <f>EXP(-LN(2)/25)*CL162+(1-EXP(-LN(2)/25))/(LN(2)/25)*Calculateur!CG163*Calculateur!CI163*VLOOKUP('Données projet'!$B$12,Paramètres!$A$1:$I$88,3,0)*0.475*44/12</f>
        <v>11.948074726202725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62.484410854400551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projet'!$B$9,Paramètres!$A$1:$I$88,3,0)*VLOOKUP('Données projet'!$B$9,Paramètres!$A$1:$I$88,5,0)</f>
        <v>5.1431925385259088E-14</v>
      </c>
      <c r="P164" s="14">
        <f t="shared" si="141"/>
        <v>8.3482866290946129E-13</v>
      </c>
      <c r="Q164" s="22">
        <f t="shared" si="162"/>
        <v>1.5435705246133045E-12</v>
      </c>
      <c r="R164" s="62">
        <f t="shared" si="109"/>
        <v>293.33333333333485</v>
      </c>
      <c r="S164" s="62">
        <f ca="1">AVERAGE(OFFSET($R$3,0,0,'Données projet'!$E$9+1,1))-AVERAGE(OFFSET($H$3,0,0,'Données projet'!$E$9+1,1))</f>
        <v>329.02356155998905</v>
      </c>
      <c r="T164" s="62">
        <f t="shared" si="142"/>
        <v>199.43308683696642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91.551442403865877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91.551442403865877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160.55473404658039</v>
      </c>
      <c r="AO164" s="62">
        <f t="shared" si="144"/>
        <v>188.70262429536223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10.316288994491124</v>
      </c>
      <c r="AV164" s="23">
        <f>EXP(-LN(2)/25)*AV163+(1-EXP(-LN(2)/25))/(LN(2)/25)*Calculateur!AQ164*Calculateur!AS164*VLOOKUP('Données projet'!$B$10,Paramètres!$A$1:$I$88,3,0)*0.475*44/12</f>
        <v>2.3959062904206636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12.712195284911788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4.5474735088646412E-13</v>
      </c>
      <c r="BE164" s="14">
        <f>BD164*VLOOKUP('Données projet'!$B$11,Paramètres!$A$1:$I$88,3,0)*VLOOKUP('Données projet'!$B$11,Paramètres!$A$1:$I$88,5,0)</f>
        <v>2.5420376914553347E-13</v>
      </c>
      <c r="BF164" s="14">
        <f t="shared" si="167"/>
        <v>3.4258699088369875E-12</v>
      </c>
      <c r="BG164" s="22">
        <f t="shared" si="168"/>
        <v>6.4094616558195571E-12</v>
      </c>
      <c r="BH164" s="62">
        <f t="shared" si="116"/>
        <v>293.33333333333974</v>
      </c>
      <c r="BI164" s="62">
        <f ca="1">AVERAGE(OFFSET($BH$3,0,0,'Données projet'!$E$11+1,1))-AVERAGE(OFFSET($H$3,0,0,'Données projet'!$E$11+1,1))</f>
        <v>358.417829688045</v>
      </c>
      <c r="BJ164" s="62">
        <f t="shared" si="146"/>
        <v>394.03759949558713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35.351813293835633</v>
      </c>
      <c r="BQ164" s="23">
        <f>EXP(-LN(2)/25)*BQ163+(1-EXP(-LN(2)/25))/(LN(2)/25)*Calculateur!BL164*Calculateur!BN164*VLOOKUP('Données projet'!$B$11,Paramètres!$A$1:$I$88,3,0)*0.475*44/12</f>
        <v>7.3817768929091345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42.73359018674477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projet'!$B$12,Paramètres!$A$1:$I$88,3,0)*VLOOKUP('Données projet'!$B$12,Paramètres!$A$1:$I$88,5,0)</f>
        <v>-1.3596945791505279E-13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405.42845699663462</v>
      </c>
      <c r="CE164" s="62">
        <f t="shared" si="148"/>
        <v>292.26503163353146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49.545349400845275</v>
      </c>
      <c r="CL164" s="23">
        <f>EXP(-LN(2)/25)*CL163+(1-EXP(-LN(2)/25))/(LN(2)/25)*Calculateur!CG164*Calculateur!CI164*VLOOKUP('Données projet'!$B$12,Paramètres!$A$1:$I$88,3,0)*0.475*44/12</f>
        <v>11.621353994492768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61.166703395338047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projet'!$B$9,Paramètres!$A$1:$I$88,3,0)*VLOOKUP('Données projet'!$B$9,Paramètres!$A$1:$I$88,5,0)</f>
        <v>5.1431925385259088E-14</v>
      </c>
      <c r="P165" s="14">
        <f t="shared" si="141"/>
        <v>8.3482866290946129E-13</v>
      </c>
      <c r="Q165" s="22">
        <f t="shared" si="162"/>
        <v>1.5435705246133045E-12</v>
      </c>
      <c r="R165" s="62">
        <f t="shared" si="109"/>
        <v>293.33333333333485</v>
      </c>
      <c r="S165" s="62">
        <f ca="1">AVERAGE(OFFSET($R$3,0,0,'Données projet'!$E$9+1,1))-AVERAGE(OFFSET($H$3,0,0,'Données projet'!$E$9+1,1))</f>
        <v>329.02356155998905</v>
      </c>
      <c r="T165" s="62">
        <f t="shared" si="142"/>
        <v>199.43308683696642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89.75617445919211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89.75617445919211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160.55473404658039</v>
      </c>
      <c r="AO165" s="62">
        <f t="shared" si="144"/>
        <v>188.70262429536223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10.113992859624126</v>
      </c>
      <c r="AV165" s="23">
        <f>EXP(-LN(2)/25)*AV164+(1-EXP(-LN(2)/25))/(LN(2)/25)*Calculateur!AQ165*Calculateur!AS165*VLOOKUP('Données projet'!$B$10,Paramètres!$A$1:$I$88,3,0)*0.475*44/12</f>
        <v>2.3303901069138746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12.444382966538001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4.5474735088646412E-13</v>
      </c>
      <c r="BE165" s="14">
        <f>BD165*VLOOKUP('Données projet'!$B$11,Paramètres!$A$1:$I$88,3,0)*VLOOKUP('Données projet'!$B$11,Paramètres!$A$1:$I$88,5,0)</f>
        <v>2.5420376914553347E-13</v>
      </c>
      <c r="BF165" s="14">
        <f t="shared" si="167"/>
        <v>3.4258699088369875E-12</v>
      </c>
      <c r="BG165" s="22">
        <f t="shared" si="168"/>
        <v>6.4094616558195571E-12</v>
      </c>
      <c r="BH165" s="62">
        <f t="shared" si="116"/>
        <v>293.33333333333974</v>
      </c>
      <c r="BI165" s="62">
        <f ca="1">AVERAGE(OFFSET($BH$3,0,0,'Données projet'!$E$11+1,1))-AVERAGE(OFFSET($H$3,0,0,'Données projet'!$E$11+1,1))</f>
        <v>358.417829688045</v>
      </c>
      <c r="BJ165" s="62">
        <f t="shared" si="146"/>
        <v>394.03759949558713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34.658585797620511</v>
      </c>
      <c r="BQ165" s="23">
        <f>EXP(-LN(2)/25)*BQ164+(1-EXP(-LN(2)/25))/(LN(2)/25)*Calculateur!BL165*Calculateur!BN165*VLOOKUP('Données projet'!$B$11,Paramètres!$A$1:$I$88,3,0)*0.475*44/12</f>
        <v>7.1799218155817588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41.838507613202268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projet'!$B$12,Paramètres!$A$1:$I$88,3,0)*VLOOKUP('Données projet'!$B$12,Paramètres!$A$1:$I$88,5,0)</f>
        <v>-1.3596945791505279E-13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405.42845699663462</v>
      </c>
      <c r="CE165" s="62">
        <f t="shared" si="148"/>
        <v>292.26503163353146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48.57379531877389</v>
      </c>
      <c r="CL165" s="23">
        <f>EXP(-LN(2)/25)*CL164+(1-EXP(-LN(2)/25))/(LN(2)/25)*Calculateur!CG165*Calculateur!CI165*VLOOKUP('Données projet'!$B$12,Paramètres!$A$1:$I$88,3,0)*0.475*44/12</f>
        <v>11.303567458372918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59.877362777146807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projet'!$B$9,Paramètres!$A$1:$I$88,3,0)*VLOOKUP('Données projet'!$B$9,Paramètres!$A$1:$I$88,5,0)</f>
        <v>5.1431925385259088E-14</v>
      </c>
      <c r="P166" s="14">
        <f t="shared" si="141"/>
        <v>8.3482866290946129E-13</v>
      </c>
      <c r="Q166" s="22">
        <f t="shared" si="162"/>
        <v>1.5435705246133045E-12</v>
      </c>
      <c r="R166" s="62">
        <f t="shared" si="109"/>
        <v>293.33333333333485</v>
      </c>
      <c r="S166" s="62">
        <f ca="1">AVERAGE(OFFSET($R$3,0,0,'Données projet'!$E$9+1,1))-AVERAGE(OFFSET($H$3,0,0,'Données projet'!$E$9+1,1))</f>
        <v>329.02356155998905</v>
      </c>
      <c r="T166" s="62">
        <f t="shared" si="142"/>
        <v>199.43308683696642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87.996110623908066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87.996110623908066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160.55473404658039</v>
      </c>
      <c r="AO166" s="62">
        <f t="shared" si="144"/>
        <v>188.70262429536223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9.9156636285734105</v>
      </c>
      <c r="AV166" s="23">
        <f>EXP(-LN(2)/25)*AV165+(1-EXP(-LN(2)/25))/(LN(2)/25)*Calculateur!AQ166*Calculateur!AS166*VLOOKUP('Données projet'!$B$10,Paramètres!$A$1:$I$88,3,0)*0.475*44/12</f>
        <v>2.2666654668904251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12.182329095463835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4.5474735088646412E-13</v>
      </c>
      <c r="BE166" s="14">
        <f>BD166*VLOOKUP('Données projet'!$B$11,Paramètres!$A$1:$I$88,3,0)*VLOOKUP('Données projet'!$B$11,Paramètres!$A$1:$I$88,5,0)</f>
        <v>2.5420376914553347E-13</v>
      </c>
      <c r="BF166" s="14">
        <f t="shared" si="167"/>
        <v>3.4258699088369875E-12</v>
      </c>
      <c r="BG166" s="22">
        <f t="shared" si="168"/>
        <v>6.4094616558195571E-12</v>
      </c>
      <c r="BH166" s="62">
        <f t="shared" si="116"/>
        <v>293.33333333333974</v>
      </c>
      <c r="BI166" s="62">
        <f ca="1">AVERAGE(OFFSET($BH$3,0,0,'Données projet'!$E$11+1,1))-AVERAGE(OFFSET($H$3,0,0,'Données projet'!$E$11+1,1))</f>
        <v>358.417829688045</v>
      </c>
      <c r="BJ166" s="62">
        <f t="shared" si="146"/>
        <v>394.03759949558713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33.97895206977914</v>
      </c>
      <c r="BQ166" s="23">
        <f>EXP(-LN(2)/25)*BQ165+(1-EXP(-LN(2)/25))/(LN(2)/25)*Calculateur!BL166*Calculateur!BN166*VLOOKUP('Données projet'!$B$11,Paramètres!$A$1:$I$88,3,0)*0.475*44/12</f>
        <v>6.9835864759589974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40.962538545738141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projet'!$B$12,Paramètres!$A$1:$I$88,3,0)*VLOOKUP('Données projet'!$B$12,Paramètres!$A$1:$I$88,5,0)</f>
        <v>-1.3596945791505279E-13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405.42845699663462</v>
      </c>
      <c r="CE166" s="62">
        <f t="shared" si="148"/>
        <v>292.26503163353146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47.621292819662443</v>
      </c>
      <c r="CL166" s="23">
        <f>EXP(-LN(2)/25)*CL165+(1-EXP(-LN(2)/25))/(LN(2)/25)*Calculateur!CG166*Calculateur!CI166*VLOOKUP('Données projet'!$B$12,Paramètres!$A$1:$I$88,3,0)*0.475*44/12</f>
        <v>10.994470811794931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58.615763631457376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projet'!$B$9,Paramètres!$A$1:$I$88,3,0)*VLOOKUP('Données projet'!$B$9,Paramètres!$A$1:$I$88,5,0)</f>
        <v>5.1431925385259088E-14</v>
      </c>
      <c r="P167" s="14">
        <f t="shared" si="141"/>
        <v>8.3482866290946129E-13</v>
      </c>
      <c r="Q167" s="22">
        <f t="shared" si="162"/>
        <v>1.5435705246133045E-12</v>
      </c>
      <c r="R167" s="62">
        <f t="shared" si="109"/>
        <v>293.33333333333485</v>
      </c>
      <c r="S167" s="62">
        <f ca="1">AVERAGE(OFFSET($R$3,0,0,'Données projet'!$E$9+1,1))-AVERAGE(OFFSET($H$3,0,0,'Données projet'!$E$9+1,1))</f>
        <v>329.02356155998905</v>
      </c>
      <c r="T167" s="62">
        <f t="shared" si="142"/>
        <v>199.43308683696642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86.270560566901011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86.270560566901011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160.55473404658039</v>
      </c>
      <c r="AO167" s="62">
        <f t="shared" si="144"/>
        <v>188.70262429536223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9.7212235127747135</v>
      </c>
      <c r="AV167" s="23">
        <f>EXP(-LN(2)/25)*AV166+(1-EXP(-LN(2)/25))/(LN(2)/25)*Calculateur!AQ167*Calculateur!AS167*VLOOKUP('Données projet'!$B$10,Paramètres!$A$1:$I$88,3,0)*0.475*44/12</f>
        <v>2.2046833804995503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11.925906893274263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4.5474735088646412E-13</v>
      </c>
      <c r="BE167" s="14">
        <f>BD167*VLOOKUP('Données projet'!$B$11,Paramètres!$A$1:$I$88,3,0)*VLOOKUP('Données projet'!$B$11,Paramètres!$A$1:$I$88,5,0)</f>
        <v>2.5420376914553347E-13</v>
      </c>
      <c r="BF167" s="14">
        <f t="shared" si="167"/>
        <v>3.4258699088369875E-12</v>
      </c>
      <c r="BG167" s="22">
        <f t="shared" si="168"/>
        <v>6.4094616558195571E-12</v>
      </c>
      <c r="BH167" s="62">
        <f t="shared" si="116"/>
        <v>293.33333333333974</v>
      </c>
      <c r="BI167" s="62">
        <f ca="1">AVERAGE(OFFSET($BH$3,0,0,'Données projet'!$E$11+1,1))-AVERAGE(OFFSET($H$3,0,0,'Données projet'!$E$11+1,1))</f>
        <v>358.417829688045</v>
      </c>
      <c r="BJ167" s="62">
        <f t="shared" si="146"/>
        <v>394.03759949558713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33.3126455448051</v>
      </c>
      <c r="BQ167" s="23">
        <f>EXP(-LN(2)/25)*BQ166+(1-EXP(-LN(2)/25))/(LN(2)/25)*Calculateur!BL167*Calculateur!BN167*VLOOKUP('Données projet'!$B$11,Paramètres!$A$1:$I$88,3,0)*0.475*44/12</f>
        <v>6.7926199365230469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40.105265481328146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projet'!$B$12,Paramètres!$A$1:$I$88,3,0)*VLOOKUP('Données projet'!$B$12,Paramètres!$A$1:$I$88,5,0)</f>
        <v>-1.3596945791505279E-13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405.42845699663462</v>
      </c>
      <c r="CE167" s="62">
        <f t="shared" si="148"/>
        <v>292.26503163353146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46.687468313589413</v>
      </c>
      <c r="CL167" s="23">
        <f>EXP(-LN(2)/25)*CL166+(1-EXP(-LN(2)/25))/(LN(2)/25)*Calculateur!CG167*Calculateur!CI167*VLOOKUP('Données projet'!$B$12,Paramètres!$A$1:$I$88,3,0)*0.475*44/12</f>
        <v>10.693826429272308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57.381294742861719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projet'!$B$9,Paramètres!$A$1:$I$88,3,0)*VLOOKUP('Données projet'!$B$9,Paramètres!$A$1:$I$88,5,0)</f>
        <v>5.1431925385259088E-14</v>
      </c>
      <c r="P168" s="14">
        <f t="shared" si="141"/>
        <v>8.3482866290946129E-13</v>
      </c>
      <c r="Q168" s="22">
        <f t="shared" si="162"/>
        <v>1.5435705246133045E-12</v>
      </c>
      <c r="R168" s="62">
        <f t="shared" si="109"/>
        <v>293.33333333333485</v>
      </c>
      <c r="S168" s="62">
        <f ca="1">AVERAGE(OFFSET($R$3,0,0,'Données projet'!$E$9+1,1))-AVERAGE(OFFSET($H$3,0,0,'Données projet'!$E$9+1,1))</f>
        <v>329.02356155998905</v>
      </c>
      <c r="T168" s="62">
        <f t="shared" si="142"/>
        <v>199.43308683696642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84.578847494030256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84.578847494030256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160.55473404658039</v>
      </c>
      <c r="AO168" s="62">
        <f t="shared" si="144"/>
        <v>188.70262429536223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9.5305962490500686</v>
      </c>
      <c r="AV168" s="23">
        <f>EXP(-LN(2)/25)*AV167+(1-EXP(-LN(2)/25))/(LN(2)/25)*Calculateur!AQ168*Calculateur!AS168*VLOOKUP('Données projet'!$B$10,Paramètres!$A$1:$I$88,3,0)*0.475*44/12</f>
        <v>2.1443961975205301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11.674992446570599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4.5474735088646412E-13</v>
      </c>
      <c r="BE168" s="14">
        <f>BD168*VLOOKUP('Données projet'!$B$11,Paramètres!$A$1:$I$88,3,0)*VLOOKUP('Données projet'!$B$11,Paramètres!$A$1:$I$88,5,0)</f>
        <v>2.5420376914553347E-13</v>
      </c>
      <c r="BF168" s="14">
        <f t="shared" si="167"/>
        <v>3.4258699088369875E-12</v>
      </c>
      <c r="BG168" s="22">
        <f t="shared" si="168"/>
        <v>6.4094616558195571E-12</v>
      </c>
      <c r="BH168" s="62">
        <f t="shared" si="116"/>
        <v>293.33333333333974</v>
      </c>
      <c r="BI168" s="62">
        <f ca="1">AVERAGE(OFFSET($BH$3,0,0,'Données projet'!$E$11+1,1))-AVERAGE(OFFSET($H$3,0,0,'Données projet'!$E$11+1,1))</f>
        <v>358.417829688045</v>
      </c>
      <c r="BJ168" s="62">
        <f t="shared" si="146"/>
        <v>394.03759949558713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32.659404884378951</v>
      </c>
      <c r="BQ168" s="23">
        <f>EXP(-LN(2)/25)*BQ167+(1-EXP(-LN(2)/25))/(LN(2)/25)*Calculateur!BL168*Calculateur!BN168*VLOOKUP('Données projet'!$B$11,Paramètres!$A$1:$I$88,3,0)*0.475*44/12</f>
        <v>6.6068753871504668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39.266280271529418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projet'!$B$12,Paramètres!$A$1:$I$88,3,0)*VLOOKUP('Données projet'!$B$12,Paramètres!$A$1:$I$88,5,0)</f>
        <v>-1.3596945791505279E-13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405.42845699663462</v>
      </c>
      <c r="CE168" s="62">
        <f t="shared" si="148"/>
        <v>292.26503163353146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45.771955536503768</v>
      </c>
      <c r="CL168" s="23">
        <f>EXP(-LN(2)/25)*CL167+(1-EXP(-LN(2)/25))/(LN(2)/25)*Calculateur!CG168*Calculateur!CI168*VLOOKUP('Données projet'!$B$12,Paramètres!$A$1:$I$88,3,0)*0.475*44/12</f>
        <v>10.401403183199966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56.173358719703735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projet'!$B$9,Paramètres!$A$1:$I$88,3,0)*VLOOKUP('Données projet'!$B$9,Paramètres!$A$1:$I$88,5,0)</f>
        <v>5.1431925385259088E-14</v>
      </c>
      <c r="P169" s="14">
        <f t="shared" si="141"/>
        <v>8.3482866290946129E-13</v>
      </c>
      <c r="Q169" s="22">
        <f t="shared" si="162"/>
        <v>1.5435705246133045E-12</v>
      </c>
      <c r="R169" s="62">
        <f t="shared" si="109"/>
        <v>293.33333333333485</v>
      </c>
      <c r="S169" s="62">
        <f ca="1">AVERAGE(OFFSET($R$3,0,0,'Données projet'!$E$9+1,1))-AVERAGE(OFFSET($H$3,0,0,'Données projet'!$E$9+1,1))</f>
        <v>329.02356155998905</v>
      </c>
      <c r="T169" s="62">
        <f t="shared" si="142"/>
        <v>199.43308683696642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82.920307882675402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82.920307882675402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160.55473404658039</v>
      </c>
      <c r="AO169" s="62">
        <f t="shared" si="144"/>
        <v>188.70262429536223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9.3437070696959132</v>
      </c>
      <c r="AV169" s="23">
        <f>EXP(-LN(2)/25)*AV168+(1-EXP(-LN(2)/25))/(LN(2)/25)*Calculateur!AQ169*Calculateur!AS169*VLOOKUP('Données projet'!$B$10,Paramètres!$A$1:$I$88,3,0)*0.475*44/12</f>
        <v>2.0857575707304363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11.42946464042635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4.5474735088646412E-13</v>
      </c>
      <c r="BE169" s="14">
        <f>BD169*VLOOKUP('Données projet'!$B$11,Paramètres!$A$1:$I$88,3,0)*VLOOKUP('Données projet'!$B$11,Paramètres!$A$1:$I$88,5,0)</f>
        <v>2.5420376914553347E-13</v>
      </c>
      <c r="BF169" s="14">
        <f t="shared" si="167"/>
        <v>3.4258699088369875E-12</v>
      </c>
      <c r="BG169" s="22">
        <f t="shared" si="168"/>
        <v>6.4094616558195571E-12</v>
      </c>
      <c r="BH169" s="62">
        <f t="shared" si="116"/>
        <v>293.33333333333974</v>
      </c>
      <c r="BI169" s="62">
        <f ca="1">AVERAGE(OFFSET($BH$3,0,0,'Données projet'!$E$11+1,1))-AVERAGE(OFFSET($H$3,0,0,'Données projet'!$E$11+1,1))</f>
        <v>358.417829688045</v>
      </c>
      <c r="BJ169" s="62">
        <f t="shared" si="146"/>
        <v>394.03759949558713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32.018973874866298</v>
      </c>
      <c r="BQ169" s="23">
        <f>EXP(-LN(2)/25)*BQ168+(1-EXP(-LN(2)/25))/(LN(2)/25)*Calculateur!BL169*Calculateur!BN169*VLOOKUP('Données projet'!$B$11,Paramètres!$A$1:$I$88,3,0)*0.475*44/12</f>
        <v>6.4262100322483606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38.445183907114661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projet'!$B$12,Paramètres!$A$1:$I$88,3,0)*VLOOKUP('Données projet'!$B$12,Paramètres!$A$1:$I$88,5,0)</f>
        <v>-1.3596945791505279E-13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405.42845699663462</v>
      </c>
      <c r="CE169" s="62">
        <f t="shared" si="148"/>
        <v>292.26503163353146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44.874395406569121</v>
      </c>
      <c r="CL169" s="23">
        <f>EXP(-LN(2)/25)*CL168+(1-EXP(-LN(2)/25))/(LN(2)/25)*Calculateur!CG169*Calculateur!CI169*VLOOKUP('Données projet'!$B$12,Paramètres!$A$1:$I$88,3,0)*0.475*44/12</f>
        <v>10.116976266169342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54.991371672738467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projet'!$B$9,Paramètres!$A$1:$I$88,3,0)*VLOOKUP('Données projet'!$B$9,Paramètres!$A$1:$I$88,5,0)</f>
        <v>5.1431925385259088E-14</v>
      </c>
      <c r="P170" s="14">
        <f t="shared" si="141"/>
        <v>8.3482866290946129E-13</v>
      </c>
      <c r="Q170" s="22">
        <f t="shared" si="162"/>
        <v>1.5435705246133045E-12</v>
      </c>
      <c r="R170" s="62">
        <f t="shared" si="109"/>
        <v>293.33333333333485</v>
      </c>
      <c r="S170" s="62">
        <f ca="1">AVERAGE(OFFSET($R$3,0,0,'Données projet'!$E$9+1,1))-AVERAGE(OFFSET($H$3,0,0,'Données projet'!$E$9+1,1))</f>
        <v>329.02356155998905</v>
      </c>
      <c r="T170" s="62">
        <f t="shared" si="142"/>
        <v>199.43308683696642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81.294291221489942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81.294291221489942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160.55473404658039</v>
      </c>
      <c r="AO170" s="62">
        <f t="shared" si="144"/>
        <v>188.70262429536223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9.16048267315775</v>
      </c>
      <c r="AV170" s="23">
        <f>EXP(-LN(2)/25)*AV169+(1-EXP(-LN(2)/25))/(LN(2)/25)*Calculateur!AQ170*Calculateur!AS170*VLOOKUP('Données projet'!$B$10,Paramètres!$A$1:$I$88,3,0)*0.475*44/12</f>
        <v>2.028722420273589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11.189205093431339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4.5474735088646412E-13</v>
      </c>
      <c r="BE170" s="14">
        <f>BD170*VLOOKUP('Données projet'!$B$11,Paramètres!$A$1:$I$88,3,0)*VLOOKUP('Données projet'!$B$11,Paramètres!$A$1:$I$88,5,0)</f>
        <v>2.5420376914553347E-13</v>
      </c>
      <c r="BF170" s="14">
        <f t="shared" si="167"/>
        <v>3.4258699088369875E-12</v>
      </c>
      <c r="BG170" s="22">
        <f t="shared" si="168"/>
        <v>6.4094616558195571E-12</v>
      </c>
      <c r="BH170" s="62">
        <f t="shared" si="116"/>
        <v>293.33333333333974</v>
      </c>
      <c r="BI170" s="62">
        <f ca="1">AVERAGE(OFFSET($BH$3,0,0,'Données projet'!$E$11+1,1))-AVERAGE(OFFSET($H$3,0,0,'Données projet'!$E$11+1,1))</f>
        <v>358.417829688045</v>
      </c>
      <c r="BJ170" s="62">
        <f t="shared" si="146"/>
        <v>394.03759949558713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31.39110132682584</v>
      </c>
      <c r="BQ170" s="23">
        <f>EXP(-LN(2)/25)*BQ169+(1-EXP(-LN(2)/25))/(LN(2)/25)*Calculateur!BL170*Calculateur!BN170*VLOOKUP('Données projet'!$B$11,Paramètres!$A$1:$I$88,3,0)*0.475*44/12</f>
        <v>6.2504849809768306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37.641586307802669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projet'!$B$12,Paramètres!$A$1:$I$88,3,0)*VLOOKUP('Données projet'!$B$12,Paramètres!$A$1:$I$88,5,0)</f>
        <v>-1.3596945791505279E-13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405.42845699663462</v>
      </c>
      <c r="CE170" s="62">
        <f t="shared" si="148"/>
        <v>292.26503163353146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43.994435883324869</v>
      </c>
      <c r="CL170" s="23">
        <f>EXP(-LN(2)/25)*CL169+(1-EXP(-LN(2)/25))/(LN(2)/25)*Calculateur!CG170*Calculateur!CI170*VLOOKUP('Données projet'!$B$12,Paramètres!$A$1:$I$88,3,0)*0.475*44/12</f>
        <v>9.8403270181422826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53.834762901467151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projet'!$B$9,Paramètres!$A$1:$I$88,3,0)*VLOOKUP('Données projet'!$B$9,Paramètres!$A$1:$I$88,5,0)</f>
        <v>5.1431925385259088E-14</v>
      </c>
      <c r="P171" s="14">
        <f t="shared" si="141"/>
        <v>8.3482866290946129E-13</v>
      </c>
      <c r="Q171" s="22">
        <f t="shared" si="162"/>
        <v>1.5435705246133045E-12</v>
      </c>
      <c r="R171" s="62">
        <f t="shared" si="109"/>
        <v>293.33333333333485</v>
      </c>
      <c r="S171" s="62">
        <f ca="1">AVERAGE(OFFSET($R$3,0,0,'Données projet'!$E$9+1,1))-AVERAGE(OFFSET($H$3,0,0,'Données projet'!$E$9+1,1))</f>
        <v>329.02356155998905</v>
      </c>
      <c r="T171" s="62">
        <f t="shared" si="142"/>
        <v>199.43308683696642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79.700159755258099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79.700159755258099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160.55473404658039</v>
      </c>
      <c r="AO171" s="62">
        <f t="shared" si="144"/>
        <v>188.70262429536223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8.9808511952798522</v>
      </c>
      <c r="AV171" s="23">
        <f>EXP(-LN(2)/25)*AV170+(1-EXP(-LN(2)/25))/(LN(2)/25)*Calculateur!AQ171*Calculateur!AS171*VLOOKUP('Données projet'!$B$10,Paramètres!$A$1:$I$88,3,0)*0.475*44/12</f>
        <v>1.9732468990053322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10.954098094285184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4.5474735088646412E-13</v>
      </c>
      <c r="BE171" s="14">
        <f>BD171*VLOOKUP('Données projet'!$B$11,Paramètres!$A$1:$I$88,3,0)*VLOOKUP('Données projet'!$B$11,Paramètres!$A$1:$I$88,5,0)</f>
        <v>2.5420376914553347E-13</v>
      </c>
      <c r="BF171" s="14">
        <f t="shared" si="167"/>
        <v>3.4258699088369875E-12</v>
      </c>
      <c r="BG171" s="22">
        <f t="shared" si="168"/>
        <v>6.4094616558195571E-12</v>
      </c>
      <c r="BH171" s="62">
        <f t="shared" si="116"/>
        <v>293.33333333333974</v>
      </c>
      <c r="BI171" s="62">
        <f ca="1">AVERAGE(OFFSET($BH$3,0,0,'Données projet'!$E$11+1,1))-AVERAGE(OFFSET($H$3,0,0,'Données projet'!$E$11+1,1))</f>
        <v>358.417829688045</v>
      </c>
      <c r="BJ171" s="62">
        <f t="shared" si="146"/>
        <v>394.03759949558713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30.775540976488017</v>
      </c>
      <c r="BQ171" s="23">
        <f>EXP(-LN(2)/25)*BQ170+(1-EXP(-LN(2)/25))/(LN(2)/25)*Calculateur!BL171*Calculateur!BN171*VLOOKUP('Données projet'!$B$11,Paramètres!$A$1:$I$88,3,0)*0.475*44/12</f>
        <v>6.0795651404732993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36.855106116961316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projet'!$B$12,Paramètres!$A$1:$I$88,3,0)*VLOOKUP('Données projet'!$B$12,Paramètres!$A$1:$I$88,5,0)</f>
        <v>-1.3596945791505279E-13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405.42845699663462</v>
      </c>
      <c r="CE171" s="62">
        <f t="shared" si="148"/>
        <v>292.26503163353146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43.131731829609123</v>
      </c>
      <c r="CL171" s="23">
        <f>EXP(-LN(2)/25)*CL170+(1-EXP(-LN(2)/25))/(LN(2)/25)*Calculateur!CG171*Calculateur!CI171*VLOOKUP('Données projet'!$B$12,Paramètres!$A$1:$I$88,3,0)*0.475*44/12</f>
        <v>9.5712427583508752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52.70297458796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projet'!$B$9,Paramètres!$A$1:$I$88,3,0)*VLOOKUP('Données projet'!$B$9,Paramètres!$A$1:$I$88,5,0)</f>
        <v>5.1431925385259088E-14</v>
      </c>
      <c r="P172" s="14">
        <f t="shared" si="141"/>
        <v>8.3482866290946129E-13</v>
      </c>
      <c r="Q172" s="22">
        <f t="shared" si="162"/>
        <v>1.5435705246133045E-12</v>
      </c>
      <c r="R172" s="62">
        <f t="shared" si="109"/>
        <v>293.33333333333485</v>
      </c>
      <c r="S172" s="62">
        <f ca="1">AVERAGE(OFFSET($R$3,0,0,'Données projet'!$E$9+1,1))-AVERAGE(OFFSET($H$3,0,0,'Données projet'!$E$9+1,1))</f>
        <v>329.02356155998905</v>
      </c>
      <c r="T172" s="62">
        <f t="shared" si="142"/>
        <v>199.43308683696642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78.137288234754877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78.137288234754877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160.55473404658039</v>
      </c>
      <c r="AO172" s="62">
        <f t="shared" si="144"/>
        <v>188.70262429536223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8.8047421811187583</v>
      </c>
      <c r="AV172" s="23">
        <f>EXP(-LN(2)/25)*AV171+(1-EXP(-LN(2)/25))/(LN(2)/25)*Calculateur!AQ172*Calculateur!AS172*VLOOKUP('Données projet'!$B$10,Paramètres!$A$1:$I$88,3,0)*0.475*44/12</f>
        <v>1.919288358783487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10.724030539902245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4.5474735088646412E-13</v>
      </c>
      <c r="BE172" s="14">
        <f>BD172*VLOOKUP('Données projet'!$B$11,Paramètres!$A$1:$I$88,3,0)*VLOOKUP('Données projet'!$B$11,Paramètres!$A$1:$I$88,5,0)</f>
        <v>2.5420376914553347E-13</v>
      </c>
      <c r="BF172" s="14">
        <f t="shared" si="167"/>
        <v>3.4258699088369875E-12</v>
      </c>
      <c r="BG172" s="22">
        <f t="shared" si="168"/>
        <v>6.4094616558195571E-12</v>
      </c>
      <c r="BH172" s="62">
        <f t="shared" si="116"/>
        <v>293.33333333333974</v>
      </c>
      <c r="BI172" s="62">
        <f ca="1">AVERAGE(OFFSET($BH$3,0,0,'Données projet'!$E$11+1,1))-AVERAGE(OFFSET($H$3,0,0,'Données projet'!$E$11+1,1))</f>
        <v>358.417829688045</v>
      </c>
      <c r="BJ172" s="62">
        <f t="shared" si="146"/>
        <v>394.03759949558713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30.172051389165578</v>
      </c>
      <c r="BQ172" s="23">
        <f>EXP(-LN(2)/25)*BQ171+(1-EXP(-LN(2)/25))/(LN(2)/25)*Calculateur!BL172*Calculateur!BN172*VLOOKUP('Données projet'!$B$11,Paramètres!$A$1:$I$88,3,0)*0.475*44/12</f>
        <v>5.9133191119966213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36.085370501162203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projet'!$B$12,Paramètres!$A$1:$I$88,3,0)*VLOOKUP('Données projet'!$B$12,Paramètres!$A$1:$I$88,5,0)</f>
        <v>-1.3596945791505279E-13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405.42845699663462</v>
      </c>
      <c r="CE172" s="62">
        <f t="shared" si="148"/>
        <v>292.26503163353146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42.285944876189227</v>
      </c>
      <c r="CL172" s="23">
        <f>EXP(-LN(2)/25)*CL171+(1-EXP(-LN(2)/25))/(LN(2)/25)*Calculateur!CG172*Calculateur!CI172*VLOOKUP('Données projet'!$B$12,Paramètres!$A$1:$I$88,3,0)*0.475*44/12</f>
        <v>9.3095166217939891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51.595461497983216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projet'!$B$9,Paramètres!$A$1:$I$88,3,0)*VLOOKUP('Données projet'!$B$9,Paramètres!$A$1:$I$88,5,0)</f>
        <v>5.1431925385259088E-14</v>
      </c>
      <c r="P173" s="14">
        <f t="shared" si="141"/>
        <v>8.3482866290946129E-13</v>
      </c>
      <c r="Q173" s="22">
        <f t="shared" si="162"/>
        <v>1.5435705246133045E-12</v>
      </c>
      <c r="R173" s="62">
        <f t="shared" si="109"/>
        <v>293.33333333333485</v>
      </c>
      <c r="S173" s="62">
        <f ca="1">AVERAGE(OFFSET($R$3,0,0,'Données projet'!$E$9+1,1))-AVERAGE(OFFSET($H$3,0,0,'Données projet'!$E$9+1,1))</f>
        <v>329.02356155998905</v>
      </c>
      <c r="T173" s="62">
        <f t="shared" si="142"/>
        <v>199.43308683696642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76.605063671511218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76.605063671511218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160.55473404658039</v>
      </c>
      <c r="AO173" s="62">
        <f t="shared" si="144"/>
        <v>188.70262429536223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8.6320865573094707</v>
      </c>
      <c r="AV173" s="23">
        <f>EXP(-LN(2)/25)*AV172+(1-EXP(-LN(2)/25))/(LN(2)/25)*Calculateur!AQ173*Calculateur!AS173*VLOOKUP('Données projet'!$B$10,Paramètres!$A$1:$I$88,3,0)*0.475*44/12</f>
        <v>1.8668053176815644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10.498891874991035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4.5474735088646412E-13</v>
      </c>
      <c r="BE173" s="14">
        <f>BD173*VLOOKUP('Données projet'!$B$11,Paramètres!$A$1:$I$88,3,0)*VLOOKUP('Données projet'!$B$11,Paramètres!$A$1:$I$88,5,0)</f>
        <v>2.5420376914553347E-13</v>
      </c>
      <c r="BF173" s="14">
        <f t="shared" si="167"/>
        <v>3.4258699088369875E-12</v>
      </c>
      <c r="BG173" s="22">
        <f t="shared" si="168"/>
        <v>6.4094616558195571E-12</v>
      </c>
      <c r="BH173" s="62">
        <f t="shared" si="116"/>
        <v>293.33333333333974</v>
      </c>
      <c r="BI173" s="62">
        <f ca="1">AVERAGE(OFFSET($BH$3,0,0,'Données projet'!$E$11+1,1))-AVERAGE(OFFSET($H$3,0,0,'Données projet'!$E$11+1,1))</f>
        <v>358.417829688045</v>
      </c>
      <c r="BJ173" s="62">
        <f t="shared" si="146"/>
        <v>394.03759949558713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29.580395864558231</v>
      </c>
      <c r="BQ173" s="23">
        <f>EXP(-LN(2)/25)*BQ172+(1-EXP(-LN(2)/25))/(LN(2)/25)*Calculateur!BL173*Calculateur!BN173*VLOOKUP('Données projet'!$B$11,Paramètres!$A$1:$I$88,3,0)*0.475*44/12</f>
        <v>5.751619089911137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35.332014954469365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projet'!$B$12,Paramètres!$A$1:$I$88,3,0)*VLOOKUP('Données projet'!$B$12,Paramètres!$A$1:$I$88,5,0)</f>
        <v>-1.3596945791505279E-13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405.42845699663462</v>
      </c>
      <c r="CE173" s="62">
        <f t="shared" si="148"/>
        <v>292.26503163353146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41.456743289046791</v>
      </c>
      <c r="CL173" s="23">
        <f>EXP(-LN(2)/25)*CL172+(1-EXP(-LN(2)/25))/(LN(2)/25)*Calculateur!CG173*Calculateur!CI173*VLOOKUP('Données projet'!$B$12,Paramètres!$A$1:$I$88,3,0)*0.475*44/12</f>
        <v>9.0549474002048314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50.511690689251623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projet'!$B$9,Paramètres!$A$1:$I$88,3,0)*VLOOKUP('Données projet'!$B$9,Paramètres!$A$1:$I$88,5,0)</f>
        <v>5.1431925385259088E-14</v>
      </c>
      <c r="P174" s="14">
        <f t="shared" si="141"/>
        <v>8.3482866290946129E-13</v>
      </c>
      <c r="Q174" s="22">
        <f t="shared" si="162"/>
        <v>1.5435705246133045E-12</v>
      </c>
      <c r="R174" s="62">
        <f t="shared" si="109"/>
        <v>293.33333333333485</v>
      </c>
      <c r="S174" s="62">
        <f ca="1">AVERAGE(OFFSET($R$3,0,0,'Données projet'!$E$9+1,1))-AVERAGE(OFFSET($H$3,0,0,'Données projet'!$E$9+1,1))</f>
        <v>329.02356155998905</v>
      </c>
      <c r="T174" s="62">
        <f t="shared" si="142"/>
        <v>199.43308683696642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75.102885097388068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75.102885097388068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160.55473404658039</v>
      </c>
      <c r="AO174" s="62">
        <f t="shared" si="144"/>
        <v>188.70262429536223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8.4628166049735505</v>
      </c>
      <c r="AV174" s="23">
        <f>EXP(-LN(2)/25)*AV173+(1-EXP(-LN(2)/25))/(LN(2)/25)*Calculateur!AQ174*Calculateur!AS174*VLOOKUP('Données projet'!$B$10,Paramètres!$A$1:$I$88,3,0)*0.475*44/12</f>
        <v>1.8157574280985371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10.278574033072088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4.5474735088646412E-13</v>
      </c>
      <c r="BE174" s="14">
        <f>BD174*VLOOKUP('Données projet'!$B$11,Paramètres!$A$1:$I$88,3,0)*VLOOKUP('Données projet'!$B$11,Paramètres!$A$1:$I$88,5,0)</f>
        <v>2.5420376914553347E-13</v>
      </c>
      <c r="BF174" s="14">
        <f t="shared" si="167"/>
        <v>3.4258699088369875E-12</v>
      </c>
      <c r="BG174" s="22">
        <f t="shared" si="168"/>
        <v>6.4094616558195571E-12</v>
      </c>
      <c r="BH174" s="62">
        <f t="shared" si="116"/>
        <v>293.33333333333974</v>
      </c>
      <c r="BI174" s="62">
        <f ca="1">AVERAGE(OFFSET($BH$3,0,0,'Données projet'!$E$11+1,1))-AVERAGE(OFFSET($H$3,0,0,'Données projet'!$E$11+1,1))</f>
        <v>358.417829688045</v>
      </c>
      <c r="BJ174" s="62">
        <f t="shared" si="146"/>
        <v>394.03759949558713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29.000342343914195</v>
      </c>
      <c r="BQ174" s="23">
        <f>EXP(-LN(2)/25)*BQ173+(1-EXP(-LN(2)/25))/(LN(2)/25)*Calculateur!BL174*Calculateur!BN174*VLOOKUP('Données projet'!$B$11,Paramètres!$A$1:$I$88,3,0)*0.475*44/12</f>
        <v>5.5943407634330145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34.594683107347208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projet'!$B$12,Paramètres!$A$1:$I$88,3,0)*VLOOKUP('Données projet'!$B$12,Paramètres!$A$1:$I$88,5,0)</f>
        <v>-1.3596945791505279E-13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405.42845699663462</v>
      </c>
      <c r="CE174" s="62">
        <f t="shared" si="148"/>
        <v>292.26503163353146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40.643801839265194</v>
      </c>
      <c r="CL174" s="23">
        <f>EXP(-LN(2)/25)*CL173+(1-EXP(-LN(2)/25))/(LN(2)/25)*Calculateur!CG174*Calculateur!CI174*VLOOKUP('Données projet'!$B$12,Paramètres!$A$1:$I$88,3,0)*0.475*44/12</f>
        <v>8.8073393873672412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49.451141226632437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projet'!$B$9,Paramètres!$A$1:$I$88,3,0)*VLOOKUP('Données projet'!$B$9,Paramètres!$A$1:$I$88,5,0)</f>
        <v>5.1431925385259088E-14</v>
      </c>
      <c r="P175" s="14">
        <f t="shared" si="141"/>
        <v>8.3482866290946129E-13</v>
      </c>
      <c r="Q175" s="22">
        <f t="shared" si="162"/>
        <v>1.5435705246133045E-12</v>
      </c>
      <c r="R175" s="62">
        <f t="shared" si="109"/>
        <v>293.33333333333485</v>
      </c>
      <c r="S175" s="62">
        <f ca="1">AVERAGE(OFFSET($R$3,0,0,'Données projet'!$E$9+1,1))-AVERAGE(OFFSET($H$3,0,0,'Données projet'!$E$9+1,1))</f>
        <v>329.02356155998905</v>
      </c>
      <c r="T175" s="62">
        <f t="shared" si="142"/>
        <v>199.43308683696642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73.630163328865009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73.630163328865009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160.55473404658039</v>
      </c>
      <c r="AO175" s="62">
        <f t="shared" si="144"/>
        <v>188.70262429536223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8.2968659331584611</v>
      </c>
      <c r="AV175" s="23">
        <f>EXP(-LN(2)/25)*AV174+(1-EXP(-LN(2)/25))/(LN(2)/25)*Calculateur!AQ175*Calculateur!AS175*VLOOKUP('Données projet'!$B$10,Paramètres!$A$1:$I$88,3,0)*0.475*44/12</f>
        <v>1.7661054457406495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10.06297137889911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4.5474735088646412E-13</v>
      </c>
      <c r="BE175" s="14">
        <f>BD175*VLOOKUP('Données projet'!$B$11,Paramètres!$A$1:$I$88,3,0)*VLOOKUP('Données projet'!$B$11,Paramètres!$A$1:$I$88,5,0)</f>
        <v>2.5420376914553347E-13</v>
      </c>
      <c r="BF175" s="14">
        <f t="shared" si="167"/>
        <v>3.4258699088369875E-12</v>
      </c>
      <c r="BG175" s="22">
        <f t="shared" si="168"/>
        <v>6.4094616558195571E-12</v>
      </c>
      <c r="BH175" s="62">
        <f t="shared" si="116"/>
        <v>293.33333333333974</v>
      </c>
      <c r="BI175" s="62">
        <f ca="1">AVERAGE(OFFSET($BH$3,0,0,'Données projet'!$E$11+1,1))-AVERAGE(OFFSET($H$3,0,0,'Données projet'!$E$11+1,1))</f>
        <v>358.417829688045</v>
      </c>
      <c r="BJ175" s="62">
        <f t="shared" si="146"/>
        <v>394.03759949558713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28.431663319012277</v>
      </c>
      <c r="BQ175" s="23">
        <f>EXP(-LN(2)/25)*BQ174+(1-EXP(-LN(2)/25))/(LN(2)/25)*Calculateur!BL175*Calculateur!BN175*VLOOKUP('Données projet'!$B$11,Paramètres!$A$1:$I$88,3,0)*0.475*44/12</f>
        <v>5.4413632210633436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33.873026540075621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projet'!$B$12,Paramètres!$A$1:$I$88,3,0)*VLOOKUP('Données projet'!$B$12,Paramètres!$A$1:$I$88,5,0)</f>
        <v>-1.3596945791505279E-13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405.42845699663462</v>
      </c>
      <c r="CE175" s="62">
        <f t="shared" si="148"/>
        <v>292.26503163353146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39.846801675468491</v>
      </c>
      <c r="CL175" s="23">
        <f>EXP(-LN(2)/25)*CL174+(1-EXP(-LN(2)/25))/(LN(2)/25)*Calculateur!CG175*Calculateur!CI175*VLOOKUP('Données projet'!$B$12,Paramètres!$A$1:$I$88,3,0)*0.475*44/12</f>
        <v>8.5665022286618342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48.413303904130323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projet'!$B$9,Paramètres!$A$1:$I$88,3,0)*VLOOKUP('Données projet'!$B$9,Paramètres!$A$1:$I$88,5,0)</f>
        <v>5.1431925385259088E-14</v>
      </c>
      <c r="P176" s="14">
        <f t="shared" si="141"/>
        <v>8.3482866290946129E-13</v>
      </c>
      <c r="Q176" s="22">
        <f t="shared" si="162"/>
        <v>1.5435705246133045E-12</v>
      </c>
      <c r="R176" s="62">
        <f t="shared" si="109"/>
        <v>293.33333333333485</v>
      </c>
      <c r="S176" s="62">
        <f ca="1">AVERAGE(OFFSET($R$3,0,0,'Données projet'!$E$9+1,1))-AVERAGE(OFFSET($H$3,0,0,'Données projet'!$E$9+1,1))</f>
        <v>329.02356155998905</v>
      </c>
      <c r="T176" s="62">
        <f t="shared" si="142"/>
        <v>199.43308683696642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72.186320735951099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72.186320735951099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160.55473404658039</v>
      </c>
      <c r="AO176" s="62">
        <f t="shared" si="144"/>
        <v>188.70262429536223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8.1341694527977513</v>
      </c>
      <c r="AV176" s="23">
        <f>EXP(-LN(2)/25)*AV175+(1-EXP(-LN(2)/25))/(LN(2)/25)*Calculateur!AQ176*Calculateur!AS176*VLOOKUP('Données projet'!$B$10,Paramètres!$A$1:$I$88,3,0)*0.475*44/12</f>
        <v>1.7178111994514225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9.8519806522491731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4.5474735088646412E-13</v>
      </c>
      <c r="BE176" s="14">
        <f>BD176*VLOOKUP('Données projet'!$B$11,Paramètres!$A$1:$I$88,3,0)*VLOOKUP('Données projet'!$B$11,Paramètres!$A$1:$I$88,5,0)</f>
        <v>2.5420376914553347E-13</v>
      </c>
      <c r="BF176" s="14">
        <f t="shared" si="167"/>
        <v>3.4258699088369875E-12</v>
      </c>
      <c r="BG176" s="22">
        <f t="shared" si="168"/>
        <v>6.4094616558195571E-12</v>
      </c>
      <c r="BH176" s="62">
        <f t="shared" si="116"/>
        <v>293.33333333333974</v>
      </c>
      <c r="BI176" s="62">
        <f ca="1">AVERAGE(OFFSET($BH$3,0,0,'Données projet'!$E$11+1,1))-AVERAGE(OFFSET($H$3,0,0,'Données projet'!$E$11+1,1))</f>
        <v>358.417829688045</v>
      </c>
      <c r="BJ176" s="62">
        <f t="shared" si="146"/>
        <v>394.03759949558713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27.874135742928729</v>
      </c>
      <c r="BQ176" s="23">
        <f>EXP(-LN(2)/25)*BQ175+(1-EXP(-LN(2)/25))/(LN(2)/25)*Calculateur!BL176*Calculateur!BN176*VLOOKUP('Données projet'!$B$11,Paramètres!$A$1:$I$88,3,0)*0.475*44/12</f>
        <v>5.2925688576345111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33.166704600563243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projet'!$B$12,Paramètres!$A$1:$I$88,3,0)*VLOOKUP('Données projet'!$B$12,Paramètres!$A$1:$I$88,5,0)</f>
        <v>-1.3596945791505279E-13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405.42845699663462</v>
      </c>
      <c r="CE176" s="62">
        <f t="shared" si="148"/>
        <v>292.26503163353146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39.065430198761739</v>
      </c>
      <c r="CL176" s="23">
        <f>EXP(-LN(2)/25)*CL175+(1-EXP(-LN(2)/25))/(LN(2)/25)*Calculateur!CG176*Calculateur!CI176*VLOOKUP('Données projet'!$B$12,Paramètres!$A$1:$I$88,3,0)*0.475*44/12</f>
        <v>8.3322507747263028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47.397680973488043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projet'!$B$9,Paramètres!$A$1:$I$88,3,0)*VLOOKUP('Données projet'!$B$9,Paramètres!$A$1:$I$88,5,0)</f>
        <v>5.1431925385259088E-14</v>
      </c>
      <c r="P177" s="14">
        <f t="shared" si="141"/>
        <v>8.3482866290946129E-13</v>
      </c>
      <c r="Q177" s="22">
        <f t="shared" si="162"/>
        <v>1.5435705246133045E-12</v>
      </c>
      <c r="R177" s="62">
        <f t="shared" si="109"/>
        <v>293.33333333333485</v>
      </c>
      <c r="S177" s="62">
        <f ca="1">AVERAGE(OFFSET($R$3,0,0,'Données projet'!$E$9+1,1))-AVERAGE(OFFSET($H$3,0,0,'Données projet'!$E$9+1,1))</f>
        <v>329.02356155998905</v>
      </c>
      <c r="T177" s="62">
        <f t="shared" si="142"/>
        <v>199.43308683696642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70.770791015627211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70.770791015627211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160.55473404658039</v>
      </c>
      <c r="AO177" s="62">
        <f t="shared" si="144"/>
        <v>188.70262429536223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7.974663351181861</v>
      </c>
      <c r="AV177" s="23">
        <f>EXP(-LN(2)/25)*AV176+(1-EXP(-LN(2)/25))/(LN(2)/25)*Calculateur!AQ177*Calculateur!AS177*VLOOKUP('Données projet'!$B$10,Paramètres!$A$1:$I$88,3,0)*0.475*44/12</f>
        <v>1.6708375618666584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9.6455009130485188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4.5474735088646412E-13</v>
      </c>
      <c r="BE177" s="14">
        <f>BD177*VLOOKUP('Données projet'!$B$11,Paramètres!$A$1:$I$88,3,0)*VLOOKUP('Données projet'!$B$11,Paramètres!$A$1:$I$88,5,0)</f>
        <v>2.5420376914553347E-13</v>
      </c>
      <c r="BF177" s="14">
        <f t="shared" si="167"/>
        <v>3.4258699088369875E-12</v>
      </c>
      <c r="BG177" s="22">
        <f t="shared" si="168"/>
        <v>6.4094616558195571E-12</v>
      </c>
      <c r="BH177" s="62">
        <f t="shared" si="116"/>
        <v>293.33333333333974</v>
      </c>
      <c r="BI177" s="62">
        <f ca="1">AVERAGE(OFFSET($BH$3,0,0,'Données projet'!$E$11+1,1))-AVERAGE(OFFSET($H$3,0,0,'Données projet'!$E$11+1,1))</f>
        <v>358.417829688045</v>
      </c>
      <c r="BJ177" s="62">
        <f t="shared" si="146"/>
        <v>394.03759949558713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27.327540942553938</v>
      </c>
      <c r="BQ177" s="23">
        <f>EXP(-LN(2)/25)*BQ176+(1-EXP(-LN(2)/25))/(LN(2)/25)*Calculateur!BL177*Calculateur!BN177*VLOOKUP('Données projet'!$B$11,Paramètres!$A$1:$I$88,3,0)*0.475*44/12</f>
        <v>5.1478432838983954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32.475384226452334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projet'!$B$12,Paramètres!$A$1:$I$88,3,0)*VLOOKUP('Données projet'!$B$12,Paramètres!$A$1:$I$88,5,0)</f>
        <v>-1.3596945791505279E-13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405.42845699663462</v>
      </c>
      <c r="CE177" s="62">
        <f t="shared" si="148"/>
        <v>292.26503163353146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38.299380940123669</v>
      </c>
      <c r="CL177" s="23">
        <f>EXP(-LN(2)/25)*CL176+(1-EXP(-LN(2)/25))/(LN(2)/25)*Calculateur!CG177*Calculateur!CI177*VLOOKUP('Données projet'!$B$12,Paramètres!$A$1:$I$88,3,0)*0.475*44/12</f>
        <v>8.1044049391173871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46.403785879241056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projet'!$B$9,Paramètres!$A$1:$I$88,3,0)*VLOOKUP('Données projet'!$B$9,Paramètres!$A$1:$I$88,5,0)</f>
        <v>5.1431925385259088E-14</v>
      </c>
      <c r="P178" s="14">
        <f t="shared" si="141"/>
        <v>8.3482866290946129E-13</v>
      </c>
      <c r="Q178" s="22">
        <f t="shared" si="162"/>
        <v>1.5435705246133045E-12</v>
      </c>
      <c r="R178" s="62">
        <f t="shared" si="109"/>
        <v>293.33333333333485</v>
      </c>
      <c r="S178" s="62">
        <f ca="1">AVERAGE(OFFSET($R$3,0,0,'Données projet'!$E$9+1,1))-AVERAGE(OFFSET($H$3,0,0,'Données projet'!$E$9+1,1))</f>
        <v>329.02356155998905</v>
      </c>
      <c r="T178" s="62">
        <f t="shared" si="142"/>
        <v>199.43308683696642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69.383018969730998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69.383018969730998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160.55473404658039</v>
      </c>
      <c r="AO178" s="62">
        <f t="shared" si="144"/>
        <v>188.70262429536223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7.8182850669295423</v>
      </c>
      <c r="AV178" s="23">
        <f>EXP(-LN(2)/25)*AV177+(1-EXP(-LN(2)/25))/(LN(2)/25)*Calculateur!AQ178*Calculateur!AS178*VLOOKUP('Données projet'!$B$10,Paramètres!$A$1:$I$88,3,0)*0.475*44/12</f>
        <v>1.625148420871886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9.4434334878014283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4.5474735088646412E-13</v>
      </c>
      <c r="BE178" s="14">
        <f>BD178*VLOOKUP('Données projet'!$B$11,Paramètres!$A$1:$I$88,3,0)*VLOOKUP('Données projet'!$B$11,Paramètres!$A$1:$I$88,5,0)</f>
        <v>2.5420376914553347E-13</v>
      </c>
      <c r="BF178" s="14">
        <f t="shared" si="167"/>
        <v>3.4258699088369875E-12</v>
      </c>
      <c r="BG178" s="22">
        <f t="shared" si="168"/>
        <v>6.4094616558195571E-12</v>
      </c>
      <c r="BH178" s="62">
        <f t="shared" si="116"/>
        <v>293.33333333333974</v>
      </c>
      <c r="BI178" s="62">
        <f ca="1">AVERAGE(OFFSET($BH$3,0,0,'Données projet'!$E$11+1,1))-AVERAGE(OFFSET($H$3,0,0,'Données projet'!$E$11+1,1))</f>
        <v>358.417829688045</v>
      </c>
      <c r="BJ178" s="62">
        <f t="shared" si="146"/>
        <v>394.03759949558713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26.791664532824587</v>
      </c>
      <c r="BQ178" s="23">
        <f>EXP(-LN(2)/25)*BQ177+(1-EXP(-LN(2)/25))/(LN(2)/25)*Calculateur!BL178*Calculateur!BN178*VLOOKUP('Données projet'!$B$11,Paramètres!$A$1:$I$88,3,0)*0.475*44/12</f>
        <v>5.0070752385868813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31.798739771411469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projet'!$B$12,Paramètres!$A$1:$I$88,3,0)*VLOOKUP('Données projet'!$B$12,Paramètres!$A$1:$I$88,5,0)</f>
        <v>-1.3596945791505279E-13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405.42845699663462</v>
      </c>
      <c r="CE178" s="62">
        <f t="shared" si="148"/>
        <v>292.26503163353146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37.548353440203577</v>
      </c>
      <c r="CL178" s="23">
        <f>EXP(-LN(2)/25)*CL177+(1-EXP(-LN(2)/25))/(LN(2)/25)*Calculateur!CG178*Calculateur!CI178*VLOOKUP('Données projet'!$B$12,Paramètres!$A$1:$I$88,3,0)*0.475*44/12</f>
        <v>7.8827895598650892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45.431143000068666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projet'!$B$9,Paramètres!$A$1:$I$88,3,0)*VLOOKUP('Données projet'!$B$9,Paramètres!$A$1:$I$88,5,0)</f>
        <v>5.1431925385259088E-14</v>
      </c>
      <c r="P179" s="14">
        <f t="shared" si="141"/>
        <v>8.3482866290946129E-13</v>
      </c>
      <c r="Q179" s="22">
        <f t="shared" si="162"/>
        <v>1.5435705246133045E-12</v>
      </c>
      <c r="R179" s="62">
        <f t="shared" si="109"/>
        <v>293.33333333333485</v>
      </c>
      <c r="S179" s="62">
        <f ca="1">AVERAGE(OFFSET($R$3,0,0,'Données projet'!$E$9+1,1))-AVERAGE(OFFSET($H$3,0,0,'Données projet'!$E$9+1,1))</f>
        <v>329.02356155998905</v>
      </c>
      <c r="T179" s="62">
        <f t="shared" si="142"/>
        <v>199.43308683696642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68.022460287197447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68.022460287197447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160.55473404658039</v>
      </c>
      <c r="AO179" s="62">
        <f t="shared" si="144"/>
        <v>188.70262429536223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7.6649732654500768</v>
      </c>
      <c r="AV179" s="23">
        <f>EXP(-LN(2)/25)*AV178+(1-EXP(-LN(2)/25))/(LN(2)/25)*Calculateur!AQ179*Calculateur!AS179*VLOOKUP('Données projet'!$B$10,Paramètres!$A$1:$I$88,3,0)*0.475*44/12</f>
        <v>1.5807086518403033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9.2456819172903799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4.5474735088646412E-13</v>
      </c>
      <c r="BE179" s="14">
        <f>BD179*VLOOKUP('Données projet'!$B$11,Paramètres!$A$1:$I$88,3,0)*VLOOKUP('Données projet'!$B$11,Paramètres!$A$1:$I$88,5,0)</f>
        <v>2.5420376914553347E-13</v>
      </c>
      <c r="BF179" s="14">
        <f t="shared" si="167"/>
        <v>3.4258699088369875E-12</v>
      </c>
      <c r="BG179" s="22">
        <f t="shared" si="168"/>
        <v>6.4094616558195571E-12</v>
      </c>
      <c r="BH179" s="62">
        <f t="shared" si="116"/>
        <v>293.33333333333974</v>
      </c>
      <c r="BI179" s="62">
        <f ca="1">AVERAGE(OFFSET($BH$3,0,0,'Données projet'!$E$11+1,1))-AVERAGE(OFFSET($H$3,0,0,'Données projet'!$E$11+1,1))</f>
        <v>358.417829688045</v>
      </c>
      <c r="BJ179" s="62">
        <f t="shared" si="146"/>
        <v>394.03759949558713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26.266296332637694</v>
      </c>
      <c r="BQ179" s="23">
        <f>EXP(-LN(2)/25)*BQ178+(1-EXP(-LN(2)/25))/(LN(2)/25)*Calculateur!BL179*Calculateur!BN179*VLOOKUP('Données projet'!$B$11,Paramètres!$A$1:$I$88,3,0)*0.475*44/12</f>
        <v>4.8701565028770801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31.136452835514774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projet'!$B$12,Paramètres!$A$1:$I$88,3,0)*VLOOKUP('Données projet'!$B$12,Paramètres!$A$1:$I$88,5,0)</f>
        <v>-1.3596945791505279E-13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405.42845699663462</v>
      </c>
      <c r="CE179" s="62">
        <f t="shared" si="148"/>
        <v>292.26503163353146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36.812053131475373</v>
      </c>
      <c r="CL179" s="23">
        <f>EXP(-LN(2)/25)*CL178+(1-EXP(-LN(2)/25))/(LN(2)/25)*Calculateur!CG179*Calculateur!CI179*VLOOKUP('Données projet'!$B$12,Paramètres!$A$1:$I$88,3,0)*0.475*44/12</f>
        <v>7.6672342648126914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44.479287396288065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projet'!$B$9,Paramètres!$A$1:$I$88,3,0)*VLOOKUP('Données projet'!$B$9,Paramètres!$A$1:$I$88,5,0)</f>
        <v>5.1431925385259088E-14</v>
      </c>
      <c r="P180" s="14">
        <f t="shared" si="141"/>
        <v>8.3482866290946129E-13</v>
      </c>
      <c r="Q180" s="22">
        <f t="shared" si="162"/>
        <v>1.5435705246133045E-12</v>
      </c>
      <c r="R180" s="62">
        <f t="shared" si="109"/>
        <v>293.33333333333485</v>
      </c>
      <c r="S180" s="62">
        <f ca="1">AVERAGE(OFFSET($R$3,0,0,'Données projet'!$E$9+1,1))-AVERAGE(OFFSET($H$3,0,0,'Données projet'!$E$9+1,1))</f>
        <v>329.02356155998905</v>
      </c>
      <c r="T180" s="62">
        <f t="shared" si="142"/>
        <v>199.43308683696642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66.688581330569519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66.688581330569519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160.55473404658039</v>
      </c>
      <c r="AO180" s="62">
        <f t="shared" si="144"/>
        <v>188.70262429536223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7.5146678148866579</v>
      </c>
      <c r="AV180" s="23">
        <f>EXP(-LN(2)/25)*AV179+(1-EXP(-LN(2)/25))/(LN(2)/25)*Calculateur!AQ180*Calculateur!AS180*VLOOKUP('Données projet'!$B$10,Paramètres!$A$1:$I$88,3,0)*0.475*44/12</f>
        <v>1.537484090629875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9.0521519055165331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4.5474735088646412E-13</v>
      </c>
      <c r="BE180" s="14">
        <f>BD180*VLOOKUP('Données projet'!$B$11,Paramètres!$A$1:$I$88,3,0)*VLOOKUP('Données projet'!$B$11,Paramètres!$A$1:$I$88,5,0)</f>
        <v>2.5420376914553347E-13</v>
      </c>
      <c r="BF180" s="14">
        <f t="shared" si="167"/>
        <v>3.4258699088369875E-12</v>
      </c>
      <c r="BG180" s="22">
        <f t="shared" si="168"/>
        <v>6.4094616558195571E-12</v>
      </c>
      <c r="BH180" s="62">
        <f t="shared" si="116"/>
        <v>293.33333333333974</v>
      </c>
      <c r="BI180" s="62">
        <f ca="1">AVERAGE(OFFSET($BH$3,0,0,'Données projet'!$E$11+1,1))-AVERAGE(OFFSET($H$3,0,0,'Données projet'!$E$11+1,1))</f>
        <v>358.417829688045</v>
      </c>
      <c r="BJ180" s="62">
        <f t="shared" si="146"/>
        <v>394.03759949558713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25.751230282413502</v>
      </c>
      <c r="BQ180" s="23">
        <f>EXP(-LN(2)/25)*BQ179+(1-EXP(-LN(2)/25))/(LN(2)/25)*Calculateur!BL180*Calculateur!BN180*VLOOKUP('Données projet'!$B$11,Paramètres!$A$1:$I$88,3,0)*0.475*44/12</f>
        <v>4.7369818171955069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30.488212099609008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projet'!$B$12,Paramètres!$A$1:$I$88,3,0)*VLOOKUP('Données projet'!$B$12,Paramètres!$A$1:$I$88,5,0)</f>
        <v>-1.3596945791505279E-13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405.42845699663462</v>
      </c>
      <c r="CE180" s="62">
        <f t="shared" si="148"/>
        <v>292.26503163353146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36.090191222702487</v>
      </c>
      <c r="CL180" s="23">
        <f>EXP(-LN(2)/25)*CL179+(1-EXP(-LN(2)/25))/(LN(2)/25)*Calculateur!CG180*Calculateur!CI180*VLOOKUP('Données projet'!$B$12,Paramètres!$A$1:$I$88,3,0)*0.475*44/12</f>
        <v>7.4575733406390619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43.547764563341545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projet'!$B$9,Paramètres!$A$1:$I$88,3,0)*VLOOKUP('Données projet'!$B$9,Paramètres!$A$1:$I$88,5,0)</f>
        <v>5.1431925385259088E-14</v>
      </c>
      <c r="P181" s="14">
        <f t="shared" si="141"/>
        <v>8.3482866290946129E-13</v>
      </c>
      <c r="Q181" s="22">
        <f t="shared" si="162"/>
        <v>1.5435705246133045E-12</v>
      </c>
      <c r="R181" s="62">
        <f t="shared" si="109"/>
        <v>293.33333333333485</v>
      </c>
      <c r="S181" s="62">
        <f ca="1">AVERAGE(OFFSET($R$3,0,0,'Données projet'!$E$9+1,1))-AVERAGE(OFFSET($H$3,0,0,'Données projet'!$E$9+1,1))</f>
        <v>329.02356155998905</v>
      </c>
      <c r="T181" s="62">
        <f t="shared" si="142"/>
        <v>199.43308683696642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65.38085892669524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65.38085892669524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160.55473404658039</v>
      </c>
      <c r="AO181" s="62">
        <f t="shared" si="144"/>
        <v>188.70262429536223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7.3673097625315149</v>
      </c>
      <c r="AV181" s="23">
        <f>EXP(-LN(2)/25)*AV180+(1-EXP(-LN(2)/25))/(LN(2)/25)*Calculateur!AQ181*Calculateur!AS181*VLOOKUP('Données projet'!$B$10,Paramètres!$A$1:$I$88,3,0)*0.475*44/12</f>
        <v>1.4954415073188267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8.8627512698503423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4.5474735088646412E-13</v>
      </c>
      <c r="BE181" s="14">
        <f>BD181*VLOOKUP('Données projet'!$B$11,Paramètres!$A$1:$I$88,3,0)*VLOOKUP('Données projet'!$B$11,Paramètres!$A$1:$I$88,5,0)</f>
        <v>2.5420376914553347E-13</v>
      </c>
      <c r="BF181" s="14">
        <f t="shared" si="167"/>
        <v>3.4258699088369875E-12</v>
      </c>
      <c r="BG181" s="22">
        <f t="shared" si="168"/>
        <v>6.4094616558195571E-12</v>
      </c>
      <c r="BH181" s="62">
        <f t="shared" si="116"/>
        <v>293.33333333333974</v>
      </c>
      <c r="BI181" s="62">
        <f ca="1">AVERAGE(OFFSET($BH$3,0,0,'Données projet'!$E$11+1,1))-AVERAGE(OFFSET($H$3,0,0,'Données projet'!$E$11+1,1))</f>
        <v>358.417829688045</v>
      </c>
      <c r="BJ181" s="62">
        <f t="shared" si="146"/>
        <v>394.03759949558713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25.246264363274939</v>
      </c>
      <c r="BQ181" s="23">
        <f>EXP(-LN(2)/25)*BQ180+(1-EXP(-LN(2)/25))/(LN(2)/25)*Calculateur!BL181*Calculateur!BN181*VLOOKUP('Données projet'!$B$11,Paramètres!$A$1:$I$88,3,0)*0.475*44/12</f>
        <v>4.6074488002972487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29.853713163572188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projet'!$B$12,Paramètres!$A$1:$I$88,3,0)*VLOOKUP('Données projet'!$B$12,Paramètres!$A$1:$I$88,5,0)</f>
        <v>-1.3596945791505279E-13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405.42845699663462</v>
      </c>
      <c r="CE181" s="62">
        <f t="shared" si="148"/>
        <v>292.26503163353146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35.382484585668351</v>
      </c>
      <c r="CL181" s="23">
        <f>EXP(-LN(2)/25)*CL180+(1-EXP(-LN(2)/25))/(LN(2)/25)*Calculateur!CG181*Calculateur!CI181*VLOOKUP('Données projet'!$B$12,Paramètres!$A$1:$I$88,3,0)*0.475*44/12</f>
        <v>7.2536456054625491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42.636130191130903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projet'!$B$9,Paramètres!$A$1:$I$88,3,0)*VLOOKUP('Données projet'!$B$9,Paramètres!$A$1:$I$88,5,0)</f>
        <v>5.1431925385259088E-14</v>
      </c>
      <c r="P182" s="14">
        <f t="shared" si="141"/>
        <v>8.3482866290946129E-13</v>
      </c>
      <c r="Q182" s="22">
        <f t="shared" si="162"/>
        <v>1.5435705246133045E-12</v>
      </c>
      <c r="R182" s="62">
        <f t="shared" si="109"/>
        <v>293.33333333333485</v>
      </c>
      <c r="S182" s="62">
        <f ca="1">AVERAGE(OFFSET($R$3,0,0,'Données projet'!$E$9+1,1))-AVERAGE(OFFSET($H$3,0,0,'Données projet'!$E$9+1,1))</f>
        <v>329.02356155998905</v>
      </c>
      <c r="T182" s="62">
        <f t="shared" si="142"/>
        <v>199.43308683696642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64.098780161529021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64.098780161529021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160.55473404658039</v>
      </c>
      <c r="AO182" s="62">
        <f t="shared" si="144"/>
        <v>188.70262429536223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7.2228413117035197</v>
      </c>
      <c r="AV182" s="23">
        <f>EXP(-LN(2)/25)*AV181+(1-EXP(-LN(2)/25))/(LN(2)/25)*Calculateur!AQ182*Calculateur!AS182*VLOOKUP('Données projet'!$B$10,Paramètres!$A$1:$I$88,3,0)*0.475*44/12</f>
        <v>1.4545485806593423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8.6773898923628625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4.5474735088646412E-13</v>
      </c>
      <c r="BE182" s="14">
        <f>BD182*VLOOKUP('Données projet'!$B$11,Paramètres!$A$1:$I$88,3,0)*VLOOKUP('Données projet'!$B$11,Paramètres!$A$1:$I$88,5,0)</f>
        <v>2.5420376914553347E-13</v>
      </c>
      <c r="BF182" s="14">
        <f t="shared" si="167"/>
        <v>3.4258699088369875E-12</v>
      </c>
      <c r="BG182" s="22">
        <f t="shared" si="168"/>
        <v>6.4094616558195571E-12</v>
      </c>
      <c r="BH182" s="62">
        <f t="shared" si="116"/>
        <v>293.33333333333974</v>
      </c>
      <c r="BI182" s="62">
        <f ca="1">AVERAGE(OFFSET($BH$3,0,0,'Données projet'!$E$11+1,1))-AVERAGE(OFFSET($H$3,0,0,'Données projet'!$E$11+1,1))</f>
        <v>358.417829688045</v>
      </c>
      <c r="BJ182" s="62">
        <f t="shared" si="146"/>
        <v>394.03759949558713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24.751200517811885</v>
      </c>
      <c r="BQ182" s="23">
        <f>EXP(-LN(2)/25)*BQ181+(1-EXP(-LN(2)/25))/(LN(2)/25)*Calculateur!BL182*Calculateur!BN182*VLOOKUP('Données projet'!$B$11,Paramètres!$A$1:$I$88,3,0)*0.475*44/12</f>
        <v>4.4814578705579189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29.232658388369803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projet'!$B$12,Paramètres!$A$1:$I$88,3,0)*VLOOKUP('Données projet'!$B$12,Paramètres!$A$1:$I$88,5,0)</f>
        <v>-1.3596945791505279E-13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405.42845699663462</v>
      </c>
      <c r="CE182" s="62">
        <f t="shared" si="148"/>
        <v>292.26503163353146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34.688655644128026</v>
      </c>
      <c r="CL182" s="23">
        <f>EXP(-LN(2)/25)*CL181+(1-EXP(-LN(2)/25))/(LN(2)/25)*Calculateur!CG182*Calculateur!CI182*VLOOKUP('Données projet'!$B$12,Paramètres!$A$1:$I$88,3,0)*0.475*44/12</f>
        <v>7.0552942849285314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41.743949929056555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projet'!$B$9,Paramètres!$A$1:$I$88,3,0)*VLOOKUP('Données projet'!$B$9,Paramètres!$A$1:$I$88,5,0)</f>
        <v>5.1431925385259088E-14</v>
      </c>
      <c r="P183" s="14">
        <f t="shared" si="141"/>
        <v>8.3482866290946129E-13</v>
      </c>
      <c r="Q183" s="22">
        <f t="shared" si="162"/>
        <v>1.5435705246133045E-12</v>
      </c>
      <c r="R183" s="62">
        <f t="shared" si="109"/>
        <v>293.33333333333485</v>
      </c>
      <c r="S183" s="62">
        <f ca="1">AVERAGE(OFFSET($R$3,0,0,'Données projet'!$E$9+1,1))-AVERAGE(OFFSET($H$3,0,0,'Données projet'!$E$9+1,1))</f>
        <v>329.02356155998905</v>
      </c>
      <c r="T183" s="62">
        <f t="shared" si="142"/>
        <v>199.43308683696642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62.841842178956888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62.841842178956888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160.55473404658039</v>
      </c>
      <c r="AO183" s="62">
        <f t="shared" si="144"/>
        <v>188.70262429536223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7.081205799079207</v>
      </c>
      <c r="AV183" s="23">
        <f>EXP(-LN(2)/25)*AV182+(1-EXP(-LN(2)/25))/(LN(2)/25)*Calculateur!AQ183*Calculateur!AS183*VLOOKUP('Données projet'!$B$10,Paramètres!$A$1:$I$88,3,0)*0.475*44/12</f>
        <v>1.4147738732298272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8.4959796723090335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4.5474735088646412E-13</v>
      </c>
      <c r="BE183" s="14">
        <f>BD183*VLOOKUP('Données projet'!$B$11,Paramètres!$A$1:$I$88,3,0)*VLOOKUP('Données projet'!$B$11,Paramètres!$A$1:$I$88,5,0)</f>
        <v>2.5420376914553347E-13</v>
      </c>
      <c r="BF183" s="14">
        <f t="shared" si="167"/>
        <v>3.4258699088369875E-12</v>
      </c>
      <c r="BG183" s="22">
        <f t="shared" si="168"/>
        <v>6.4094616558195571E-12</v>
      </c>
      <c r="BH183" s="62">
        <f t="shared" si="116"/>
        <v>293.33333333333974</v>
      </c>
      <c r="BI183" s="62">
        <f ca="1">AVERAGE(OFFSET($BH$3,0,0,'Données projet'!$E$11+1,1))-AVERAGE(OFFSET($H$3,0,0,'Données projet'!$E$11+1,1))</f>
        <v>358.417829688045</v>
      </c>
      <c r="BJ183" s="62">
        <f t="shared" si="146"/>
        <v>394.03759949558713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24.265844572399232</v>
      </c>
      <c r="BQ183" s="23">
        <f>EXP(-LN(2)/25)*BQ182+(1-EXP(-LN(2)/25))/(LN(2)/25)*Calculateur!BL183*Calculateur!BN183*VLOOKUP('Données projet'!$B$11,Paramètres!$A$1:$I$88,3,0)*0.475*44/12</f>
        <v>4.3589121694178861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28.624756741817116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projet'!$B$12,Paramètres!$A$1:$I$88,3,0)*VLOOKUP('Données projet'!$B$12,Paramètres!$A$1:$I$88,5,0)</f>
        <v>-1.3596945791505279E-13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405.42845699663462</v>
      </c>
      <c r="CE183" s="62">
        <f t="shared" si="148"/>
        <v>292.26503163353146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34.00843226493744</v>
      </c>
      <c r="CL183" s="23">
        <f>EXP(-LN(2)/25)*CL182+(1-EXP(-LN(2)/25))/(LN(2)/25)*Calculateur!CG183*Calculateur!CI183*VLOOKUP('Données projet'!$B$12,Paramètres!$A$1:$I$88,3,0)*0.475*44/12</f>
        <v>6.8623668916853591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40.870799156622802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projet'!$B$9,Paramètres!$A$1:$I$88,3,0)*VLOOKUP('Données projet'!$B$9,Paramètres!$A$1:$I$88,5,0)</f>
        <v>5.1431925385259088E-14</v>
      </c>
      <c r="P184" s="14">
        <f t="shared" si="141"/>
        <v>8.3482866290946129E-13</v>
      </c>
      <c r="Q184" s="22">
        <f t="shared" si="162"/>
        <v>1.5435705246133045E-12</v>
      </c>
      <c r="R184" s="62">
        <f t="shared" si="109"/>
        <v>293.33333333333485</v>
      </c>
      <c r="S184" s="62">
        <f ca="1">AVERAGE(OFFSET($R$3,0,0,'Données projet'!$E$9+1,1))-AVERAGE(OFFSET($H$3,0,0,'Données projet'!$E$9+1,1))</f>
        <v>329.02356155998905</v>
      </c>
      <c r="T184" s="62">
        <f t="shared" si="142"/>
        <v>199.43308683696642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61.609551983566526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61.609551983566526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160.55473404658039</v>
      </c>
      <c r="AO184" s="62">
        <f t="shared" si="144"/>
        <v>188.70262429536223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6.9423476724683244</v>
      </c>
      <c r="AV184" s="23">
        <f>EXP(-LN(2)/25)*AV183+(1-EXP(-LN(2)/25))/(LN(2)/25)*Calculateur!AQ184*Calculateur!AS184*VLOOKUP('Données projet'!$B$10,Paramètres!$A$1:$I$88,3,0)*0.475*44/12</f>
        <v>1.376086807266633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8.3184344797349574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4.5474735088646412E-13</v>
      </c>
      <c r="BE184" s="14">
        <f>BD184*VLOOKUP('Données projet'!$B$11,Paramètres!$A$1:$I$88,3,0)*VLOOKUP('Données projet'!$B$11,Paramètres!$A$1:$I$88,5,0)</f>
        <v>2.5420376914553347E-13</v>
      </c>
      <c r="BF184" s="14">
        <f t="shared" si="167"/>
        <v>3.4258699088369875E-12</v>
      </c>
      <c r="BG184" s="22">
        <f t="shared" si="168"/>
        <v>6.4094616558195571E-12</v>
      </c>
      <c r="BH184" s="62">
        <f t="shared" si="116"/>
        <v>293.33333333333974</v>
      </c>
      <c r="BI184" s="62">
        <f ca="1">AVERAGE(OFFSET($BH$3,0,0,'Données projet'!$E$11+1,1))-AVERAGE(OFFSET($H$3,0,0,'Données projet'!$E$11+1,1))</f>
        <v>358.417829688045</v>
      </c>
      <c r="BJ184" s="62">
        <f t="shared" si="146"/>
        <v>394.03759949558713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23.790006161038225</v>
      </c>
      <c r="BQ184" s="23">
        <f>EXP(-LN(2)/25)*BQ183+(1-EXP(-LN(2)/25))/(LN(2)/25)*Calculateur!BL184*Calculateur!BN184*VLOOKUP('Données projet'!$B$11,Paramètres!$A$1:$I$88,3,0)*0.475*44/12</f>
        <v>4.2397174869199254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28.02972364795815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projet'!$B$12,Paramètres!$A$1:$I$88,3,0)*VLOOKUP('Données projet'!$B$12,Paramètres!$A$1:$I$88,5,0)</f>
        <v>-1.3596945791505279E-13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405.42845699663462</v>
      </c>
      <c r="CE184" s="62">
        <f t="shared" si="148"/>
        <v>292.26503163353146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33.341547651317491</v>
      </c>
      <c r="CL184" s="23">
        <f>EXP(-LN(2)/25)*CL183+(1-EXP(-LN(2)/25))/(LN(2)/25)*Calculateur!CG184*Calculateur!CI184*VLOOKUP('Données projet'!$B$12,Paramètres!$A$1:$I$88,3,0)*0.475*44/12</f>
        <v>6.6747151081560325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40.01626275947352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projet'!$B$9,Paramètres!$A$1:$I$88,3,0)*VLOOKUP('Données projet'!$B$9,Paramètres!$A$1:$I$88,5,0)</f>
        <v>5.1431925385259088E-14</v>
      </c>
      <c r="P185" s="14">
        <f t="shared" si="141"/>
        <v>8.3482866290946129E-13</v>
      </c>
      <c r="Q185" s="22">
        <f t="shared" si="162"/>
        <v>1.5435705246133045E-12</v>
      </c>
      <c r="R185" s="62">
        <f t="shared" si="109"/>
        <v>293.33333333333485</v>
      </c>
      <c r="S185" s="62">
        <f ca="1">AVERAGE(OFFSET($R$3,0,0,'Données projet'!$E$9+1,1))-AVERAGE(OFFSET($H$3,0,0,'Données projet'!$E$9+1,1))</f>
        <v>329.02356155998905</v>
      </c>
      <c r="T185" s="62">
        <f t="shared" si="142"/>
        <v>199.43308683696642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60.401426247284967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60.401426247284967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160.55473404658039</v>
      </c>
      <c r="AO185" s="62">
        <f t="shared" si="144"/>
        <v>188.70262429536223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6.8062124690251871</v>
      </c>
      <c r="AV185" s="23">
        <f>EXP(-LN(2)/25)*AV184+(1-EXP(-LN(2)/25))/(LN(2)/25)*Calculateur!AQ185*Calculateur!AS185*VLOOKUP('Données projet'!$B$10,Paramètres!$A$1:$I$88,3,0)*0.475*44/12</f>
        <v>1.3384576411566669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8.1446701101818544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4.5474735088646412E-13</v>
      </c>
      <c r="BE185" s="14">
        <f>BD185*VLOOKUP('Données projet'!$B$11,Paramètres!$A$1:$I$88,3,0)*VLOOKUP('Données projet'!$B$11,Paramètres!$A$1:$I$88,5,0)</f>
        <v>2.5420376914553347E-13</v>
      </c>
      <c r="BF185" s="14">
        <f t="shared" si="167"/>
        <v>3.4258699088369875E-12</v>
      </c>
      <c r="BG185" s="22">
        <f t="shared" si="168"/>
        <v>6.4094616558195571E-12</v>
      </c>
      <c r="BH185" s="62">
        <f t="shared" si="116"/>
        <v>293.33333333333974</v>
      </c>
      <c r="BI185" s="62">
        <f ca="1">AVERAGE(OFFSET($BH$3,0,0,'Données projet'!$E$11+1,1))-AVERAGE(OFFSET($H$3,0,0,'Données projet'!$E$11+1,1))</f>
        <v>358.417829688045</v>
      </c>
      <c r="BJ185" s="62">
        <f t="shared" si="146"/>
        <v>394.03759949558713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23.323498650691231</v>
      </c>
      <c r="BQ185" s="23">
        <f>EXP(-LN(2)/25)*BQ184+(1-EXP(-LN(2)/25))/(LN(2)/25)*Calculateur!BL185*Calculateur!BN185*VLOOKUP('Données projet'!$B$11,Paramètres!$A$1:$I$88,3,0)*0.475*44/12</f>
        <v>4.1237821892830473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27.44728083997428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projet'!$B$12,Paramètres!$A$1:$I$88,3,0)*VLOOKUP('Données projet'!$B$12,Paramètres!$A$1:$I$88,5,0)</f>
        <v>-1.3596945791505279E-13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405.42845699663462</v>
      </c>
      <c r="CE185" s="62">
        <f t="shared" si="148"/>
        <v>292.26503163353146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32.687740238211177</v>
      </c>
      <c r="CL185" s="23">
        <f>EXP(-LN(2)/25)*CL184+(1-EXP(-LN(2)/25))/(LN(2)/25)*Calculateur!CG185*Calculateur!CI185*VLOOKUP('Données projet'!$B$12,Paramètres!$A$1:$I$88,3,0)*0.475*44/12</f>
        <v>6.4921946725154935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39.179934910726672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projet'!$B$9,Paramètres!$A$1:$I$88,3,0)*VLOOKUP('Données projet'!$B$9,Paramètres!$A$1:$I$88,5,0)</f>
        <v>5.1431925385259088E-14</v>
      </c>
      <c r="P186" s="14">
        <f t="shared" si="141"/>
        <v>8.3482866290946129E-13</v>
      </c>
      <c r="Q186" s="22">
        <f t="shared" si="162"/>
        <v>1.5435705246133045E-12</v>
      </c>
      <c r="R186" s="62">
        <f t="shared" si="109"/>
        <v>293.33333333333485</v>
      </c>
      <c r="S186" s="62">
        <f ca="1">AVERAGE(OFFSET($R$3,0,0,'Données projet'!$E$9+1,1))-AVERAGE(OFFSET($H$3,0,0,'Données projet'!$E$9+1,1))</f>
        <v>329.02356155998905</v>
      </c>
      <c r="T186" s="62">
        <f t="shared" si="142"/>
        <v>199.43308683696642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59.21699111980795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59.21699111980795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160.55473404658039</v>
      </c>
      <c r="AO186" s="62">
        <f t="shared" si="144"/>
        <v>188.70262429536223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6.6727467938872946</v>
      </c>
      <c r="AV186" s="23">
        <f>EXP(-LN(2)/25)*AV185+(1-EXP(-LN(2)/25))/(LN(2)/25)*Calculateur!AQ186*Calculateur!AS186*VLOOKUP('Données projet'!$B$10,Paramètres!$A$1:$I$88,3,0)*0.475*44/12</f>
        <v>1.3018574465728097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7.9746042404601045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4.5474735088646412E-13</v>
      </c>
      <c r="BE186" s="14">
        <f>BD186*VLOOKUP('Données projet'!$B$11,Paramètres!$A$1:$I$88,3,0)*VLOOKUP('Données projet'!$B$11,Paramètres!$A$1:$I$88,5,0)</f>
        <v>2.5420376914553347E-13</v>
      </c>
      <c r="BF186" s="14">
        <f t="shared" si="167"/>
        <v>3.4258699088369875E-12</v>
      </c>
      <c r="BG186" s="22">
        <f t="shared" si="168"/>
        <v>6.4094616558195571E-12</v>
      </c>
      <c r="BH186" s="62">
        <f t="shared" si="116"/>
        <v>293.33333333333974</v>
      </c>
      <c r="BI186" s="62">
        <f ca="1">AVERAGE(OFFSET($BH$3,0,0,'Données projet'!$E$11+1,1))-AVERAGE(OFFSET($H$3,0,0,'Données projet'!$E$11+1,1))</f>
        <v>358.417829688045</v>
      </c>
      <c r="BJ186" s="62">
        <f t="shared" si="146"/>
        <v>394.03759949558713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22.86613906808066</v>
      </c>
      <c r="BQ186" s="23">
        <f>EXP(-LN(2)/25)*BQ185+(1-EXP(-LN(2)/25))/(LN(2)/25)*Calculateur!BL186*Calculateur!BN186*VLOOKUP('Données projet'!$B$11,Paramètres!$A$1:$I$88,3,0)*0.475*44/12</f>
        <v>4.0110171484568218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26.877156216537482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projet'!$B$12,Paramètres!$A$1:$I$88,3,0)*VLOOKUP('Données projet'!$B$12,Paramètres!$A$1:$I$88,5,0)</f>
        <v>-1.3596945791505279E-13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405.42845699663462</v>
      </c>
      <c r="CE186" s="62">
        <f t="shared" si="148"/>
        <v>292.26503163353146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32.046753589692734</v>
      </c>
      <c r="CL186" s="23">
        <f>EXP(-LN(2)/25)*CL185+(1-EXP(-LN(2)/25))/(LN(2)/25)*Calculateur!CG186*Calculateur!CI186*VLOOKUP('Données projet'!$B$12,Paramètres!$A$1:$I$88,3,0)*0.475*44/12</f>
        <v>6.3146652677858777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38.361418857478611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projet'!$B$9,Paramètres!$A$1:$I$88,3,0)*VLOOKUP('Données projet'!$B$9,Paramètres!$A$1:$I$88,5,0)</f>
        <v>5.1431925385259088E-14</v>
      </c>
      <c r="P187" s="14">
        <f t="shared" si="141"/>
        <v>8.3482866290946129E-13</v>
      </c>
      <c r="Q187" s="22">
        <f t="shared" si="162"/>
        <v>1.5435705246133045E-12</v>
      </c>
      <c r="R187" s="62">
        <f t="shared" si="109"/>
        <v>293.33333333333485</v>
      </c>
      <c r="S187" s="62">
        <f ca="1">AVERAGE(OFFSET($R$3,0,0,'Données projet'!$E$9+1,1))-AVERAGE(OFFSET($H$3,0,0,'Données projet'!$E$9+1,1))</f>
        <v>329.02356155998905</v>
      </c>
      <c r="T187" s="62">
        <f t="shared" si="142"/>
        <v>199.43308683696642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58.055782042746664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58.055782042746664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160.55473404658039</v>
      </c>
      <c r="AO187" s="62">
        <f t="shared" si="144"/>
        <v>188.70262429536223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6.5418982992328329</v>
      </c>
      <c r="AV187" s="23">
        <f>EXP(-LN(2)/25)*AV186+(1-EXP(-LN(2)/25))/(LN(2)/25)*Calculateur!AQ187*Calculateur!AS187*VLOOKUP('Données projet'!$B$10,Paramètres!$A$1:$I$88,3,0)*0.475*44/12</f>
        <v>1.2662580862345685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7.8081563854674014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4.5474735088646412E-13</v>
      </c>
      <c r="BE187" s="14">
        <f>BD187*VLOOKUP('Données projet'!$B$11,Paramètres!$A$1:$I$88,3,0)*VLOOKUP('Données projet'!$B$11,Paramètres!$A$1:$I$88,5,0)</f>
        <v>2.5420376914553347E-13</v>
      </c>
      <c r="BF187" s="14">
        <f t="shared" si="167"/>
        <v>3.4258699088369875E-12</v>
      </c>
      <c r="BG187" s="22">
        <f t="shared" si="168"/>
        <v>6.4094616558195571E-12</v>
      </c>
      <c r="BH187" s="62">
        <f t="shared" si="116"/>
        <v>293.33333333333974</v>
      </c>
      <c r="BI187" s="62">
        <f ca="1">AVERAGE(OFFSET($BH$3,0,0,'Données projet'!$E$11+1,1))-AVERAGE(OFFSET($H$3,0,0,'Données projet'!$E$11+1,1))</f>
        <v>358.417829688045</v>
      </c>
      <c r="BJ187" s="62">
        <f t="shared" si="146"/>
        <v>394.03759949558713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22.417748027923281</v>
      </c>
      <c r="BQ187" s="23">
        <f>EXP(-LN(2)/25)*BQ186+(1-EXP(-LN(2)/25))/(LN(2)/25)*Calculateur!BL187*Calculateur!BN187*VLOOKUP('Données projet'!$B$11,Paramètres!$A$1:$I$88,3,0)*0.475*44/12</f>
        <v>3.9013356736020453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26.319083701525326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projet'!$B$12,Paramètres!$A$1:$I$88,3,0)*VLOOKUP('Données projet'!$B$12,Paramètres!$A$1:$I$88,5,0)</f>
        <v>-1.3596945791505279E-13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405.42845699663462</v>
      </c>
      <c r="CE187" s="62">
        <f t="shared" si="148"/>
        <v>292.26503163353146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31.418336298388486</v>
      </c>
      <c r="CL187" s="23">
        <f>EXP(-LN(2)/25)*CL186+(1-EXP(-LN(2)/25))/(LN(2)/25)*Calculateur!CG187*Calculateur!CI187*VLOOKUP('Données projet'!$B$12,Paramètres!$A$1:$I$88,3,0)*0.475*44/12</f>
        <v>6.141990413964459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37.560326712352946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projet'!$B$9,Paramètres!$A$1:$I$88,3,0)*VLOOKUP('Données projet'!$B$9,Paramètres!$A$1:$I$88,5,0)</f>
        <v>5.1431925385259088E-14</v>
      </c>
      <c r="P188" s="14">
        <f t="shared" si="141"/>
        <v>8.3482866290946129E-13</v>
      </c>
      <c r="Q188" s="22">
        <f t="shared" si="162"/>
        <v>1.5435705246133045E-12</v>
      </c>
      <c r="R188" s="62">
        <f t="shared" si="109"/>
        <v>293.33333333333485</v>
      </c>
      <c r="S188" s="62">
        <f ca="1">AVERAGE(OFFSET($R$3,0,0,'Données projet'!$E$9+1,1))-AVERAGE(OFFSET($H$3,0,0,'Données projet'!$E$9+1,1))</f>
        <v>329.02356155998905</v>
      </c>
      <c r="T188" s="62">
        <f t="shared" si="142"/>
        <v>199.43308683696642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56.917343567418946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56.917343567418946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160.55473404658039</v>
      </c>
      <c r="AO188" s="62">
        <f t="shared" si="144"/>
        <v>188.70262429536223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6.4136156637488435</v>
      </c>
      <c r="AV188" s="23">
        <f>EXP(-LN(2)/25)*AV187+(1-EXP(-LN(2)/25))/(LN(2)/25)*Calculateur!AQ188*Calculateur!AS188*VLOOKUP('Données projet'!$B$10,Paramètres!$A$1:$I$88,3,0)*0.475*44/12</f>
        <v>1.2316321922768656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7.6452478560257093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4.5474735088646412E-13</v>
      </c>
      <c r="BE188" s="14">
        <f>BD188*VLOOKUP('Données projet'!$B$11,Paramètres!$A$1:$I$88,3,0)*VLOOKUP('Données projet'!$B$11,Paramètres!$A$1:$I$88,5,0)</f>
        <v>2.5420376914553347E-13</v>
      </c>
      <c r="BF188" s="14">
        <f t="shared" si="167"/>
        <v>3.4258699088369875E-12</v>
      </c>
      <c r="BG188" s="22">
        <f t="shared" si="168"/>
        <v>6.4094616558195571E-12</v>
      </c>
      <c r="BH188" s="62">
        <f t="shared" si="116"/>
        <v>293.33333333333974</v>
      </c>
      <c r="BI188" s="62">
        <f ca="1">AVERAGE(OFFSET($BH$3,0,0,'Données projet'!$E$11+1,1))-AVERAGE(OFFSET($H$3,0,0,'Données projet'!$E$11+1,1))</f>
        <v>358.417829688045</v>
      </c>
      <c r="BJ188" s="62">
        <f t="shared" si="146"/>
        <v>394.03759949558713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21.978149662571859</v>
      </c>
      <c r="BQ188" s="23">
        <f>EXP(-LN(2)/25)*BQ187+(1-EXP(-LN(2)/25))/(LN(2)/25)*Calculateur!BL188*Calculateur!BN188*VLOOKUP('Données projet'!$B$11,Paramètres!$A$1:$I$88,3,0)*0.475*44/12</f>
        <v>3.7946534444450708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25.77280310701693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projet'!$B$12,Paramètres!$A$1:$I$88,3,0)*VLOOKUP('Données projet'!$B$12,Paramètres!$A$1:$I$88,5,0)</f>
        <v>-1.3596945791505279E-13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405.42845699663462</v>
      </c>
      <c r="CE188" s="62">
        <f t="shared" si="148"/>
        <v>292.26503163353146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30.802241886870011</v>
      </c>
      <c r="CL188" s="23">
        <f>EXP(-LN(2)/25)*CL187+(1-EXP(-LN(2)/25))/(LN(2)/25)*Calculateur!CG188*Calculateur!CI188*VLOOKUP('Données projet'!$B$12,Paramètres!$A$1:$I$88,3,0)*0.475*44/12</f>
        <v>5.9740373631013624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36.776279249971374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projet'!$B$9,Paramètres!$A$1:$I$88,3,0)*VLOOKUP('Données projet'!$B$9,Paramètres!$A$1:$I$88,5,0)</f>
        <v>5.1431925385259088E-14</v>
      </c>
      <c r="P189" s="14">
        <f t="shared" si="141"/>
        <v>8.3482866290946129E-13</v>
      </c>
      <c r="Q189" s="22">
        <f t="shared" si="162"/>
        <v>1.5435705246133045E-12</v>
      </c>
      <c r="R189" s="62">
        <f t="shared" si="109"/>
        <v>293.33333333333485</v>
      </c>
      <c r="S189" s="62">
        <f ca="1">AVERAGE(OFFSET($R$3,0,0,'Données projet'!$E$9+1,1))-AVERAGE(OFFSET($H$3,0,0,'Données projet'!$E$9+1,1))</f>
        <v>329.02356155998905</v>
      </c>
      <c r="T189" s="62">
        <f t="shared" si="142"/>
        <v>199.43308683696642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55.801229176213504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55.801229176213504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160.55473404658039</v>
      </c>
      <c r="AO189" s="62">
        <f t="shared" si="144"/>
        <v>188.70262429536223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6.2878485725020132</v>
      </c>
      <c r="AV189" s="23">
        <f>EXP(-LN(2)/25)*AV188+(1-EXP(-LN(2)/25))/(LN(2)/25)*Calculateur!AQ189*Calculateur!AS189*VLOOKUP('Données projet'!$B$10,Paramètres!$A$1:$I$88,3,0)*0.475*44/12</f>
        <v>1.1979531452103327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7.4858017177123459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4.5474735088646412E-13</v>
      </c>
      <c r="BE189" s="14">
        <f>BD189*VLOOKUP('Données projet'!$B$11,Paramètres!$A$1:$I$88,3,0)*VLOOKUP('Données projet'!$B$11,Paramètres!$A$1:$I$88,5,0)</f>
        <v>2.5420376914553347E-13</v>
      </c>
      <c r="BF189" s="14">
        <f t="shared" si="167"/>
        <v>3.4258699088369875E-12</v>
      </c>
      <c r="BG189" s="22">
        <f t="shared" si="168"/>
        <v>6.4094616558195571E-12</v>
      </c>
      <c r="BH189" s="62">
        <f t="shared" si="116"/>
        <v>293.33333333333974</v>
      </c>
      <c r="BI189" s="62">
        <f ca="1">AVERAGE(OFFSET($BH$3,0,0,'Données projet'!$E$11+1,1))-AVERAGE(OFFSET($H$3,0,0,'Données projet'!$E$11+1,1))</f>
        <v>358.417829688045</v>
      </c>
      <c r="BJ189" s="62">
        <f t="shared" si="146"/>
        <v>394.03759949558713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21.547171553036449</v>
      </c>
      <c r="BQ189" s="23">
        <f>EXP(-LN(2)/25)*BQ188+(1-EXP(-LN(2)/25))/(LN(2)/25)*Calculateur!BL189*Calculateur!BN189*VLOOKUP('Données projet'!$B$11,Paramètres!$A$1:$I$88,3,0)*0.475*44/12</f>
        <v>3.6908884464545686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25.238059999491018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projet'!$B$12,Paramètres!$A$1:$I$88,3,0)*VLOOKUP('Données projet'!$B$12,Paramètres!$A$1:$I$88,5,0)</f>
        <v>-1.3596945791505279E-13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405.42845699663462</v>
      </c>
      <c r="CE189" s="62">
        <f t="shared" si="148"/>
        <v>292.26503163353146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30.198228710980928</v>
      </c>
      <c r="CL189" s="23">
        <f>EXP(-LN(2)/25)*CL188+(1-EXP(-LN(2)/25))/(LN(2)/25)*Calculateur!CG189*Calculateur!CI189*VLOOKUP('Données projet'!$B$12,Paramètres!$A$1:$I$88,3,0)*0.475*44/12</f>
        <v>5.8106769972463841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36.00890570822731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projet'!$B$9,Paramètres!$A$1:$I$88,3,0)*VLOOKUP('Données projet'!$B$9,Paramètres!$A$1:$I$88,5,0)</f>
        <v>5.1431925385259088E-14</v>
      </c>
      <c r="P190" s="14">
        <f t="shared" si="141"/>
        <v>8.3482866290946129E-13</v>
      </c>
      <c r="Q190" s="22">
        <f t="shared" si="162"/>
        <v>1.5435705246133045E-12</v>
      </c>
      <c r="R190" s="62">
        <f t="shared" si="109"/>
        <v>293.33333333333485</v>
      </c>
      <c r="S190" s="62">
        <f ca="1">AVERAGE(OFFSET($R$3,0,0,'Données projet'!$E$9+1,1))-AVERAGE(OFFSET($H$3,0,0,'Données projet'!$E$9+1,1))</f>
        <v>329.02356155998905</v>
      </c>
      <c r="T190" s="62">
        <f t="shared" si="142"/>
        <v>199.43308683696642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54.707001107457039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54.707001107457039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160.55473404658039</v>
      </c>
      <c r="AO190" s="62">
        <f t="shared" si="144"/>
        <v>188.70262429536223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6.1645476972041822</v>
      </c>
      <c r="AV190" s="23">
        <f>EXP(-LN(2)/25)*AV189+(1-EXP(-LN(2)/25))/(LN(2)/25)*Calculateur!AQ190*Calculateur!AS190*VLOOKUP('Données projet'!$B$10,Paramètres!$A$1:$I$88,3,0)*0.475*44/12</f>
        <v>1.1651950534569382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7.3297427506611204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4.5474735088646412E-13</v>
      </c>
      <c r="BE190" s="14">
        <f>BD190*VLOOKUP('Données projet'!$B$11,Paramètres!$A$1:$I$88,3,0)*VLOOKUP('Données projet'!$B$11,Paramètres!$A$1:$I$88,5,0)</f>
        <v>2.5420376914553347E-13</v>
      </c>
      <c r="BF190" s="14">
        <f t="shared" si="167"/>
        <v>3.4258699088369875E-12</v>
      </c>
      <c r="BG190" s="22">
        <f t="shared" si="168"/>
        <v>6.4094616558195571E-12</v>
      </c>
      <c r="BH190" s="62">
        <f t="shared" si="116"/>
        <v>293.33333333333974</v>
      </c>
      <c r="BI190" s="62">
        <f ca="1">AVERAGE(OFFSET($BH$3,0,0,'Données projet'!$E$11+1,1))-AVERAGE(OFFSET($H$3,0,0,'Données projet'!$E$11+1,1))</f>
        <v>358.417829688045</v>
      </c>
      <c r="BJ190" s="62">
        <f t="shared" si="146"/>
        <v>394.03759949558713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21.124644661358339</v>
      </c>
      <c r="BQ190" s="23">
        <f>EXP(-LN(2)/25)*BQ189+(1-EXP(-LN(2)/25))/(LN(2)/25)*Calculateur!BL190*Calculateur!BN190*VLOOKUP('Données projet'!$B$11,Paramètres!$A$1:$I$88,3,0)*0.475*44/12</f>
        <v>3.5899609077908807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24.714605569149221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projet'!$B$12,Paramètres!$A$1:$I$88,3,0)*VLOOKUP('Données projet'!$B$12,Paramètres!$A$1:$I$88,5,0)</f>
        <v>-1.3596945791505279E-13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405.42845699663462</v>
      </c>
      <c r="CE190" s="62">
        <f t="shared" si="148"/>
        <v>292.26503163353146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29.606059865059372</v>
      </c>
      <c r="CL190" s="23">
        <f>EXP(-LN(2)/25)*CL189+(1-EXP(-LN(2)/25))/(LN(2)/25)*Calculateur!CG190*Calculateur!CI190*VLOOKUP('Données projet'!$B$12,Paramètres!$A$1:$I$88,3,0)*0.475*44/12</f>
        <v>5.6517837291864588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35.257843594245827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projet'!$B$9,Paramètres!$A$1:$I$88,3,0)*VLOOKUP('Données projet'!$B$9,Paramètres!$A$1:$I$88,5,0)</f>
        <v>5.1431925385259088E-14</v>
      </c>
      <c r="P191" s="14">
        <f t="shared" si="141"/>
        <v>8.3482866290946129E-13</v>
      </c>
      <c r="Q191" s="22">
        <f t="shared" si="162"/>
        <v>1.5435705246133045E-12</v>
      </c>
      <c r="R191" s="62">
        <f t="shared" si="109"/>
        <v>293.33333333333485</v>
      </c>
      <c r="S191" s="62">
        <f ca="1">AVERAGE(OFFSET($R$3,0,0,'Données projet'!$E$9+1,1))-AVERAGE(OFFSET($H$3,0,0,'Données projet'!$E$9+1,1))</f>
        <v>329.02356155998905</v>
      </c>
      <c r="T191" s="62">
        <f t="shared" si="142"/>
        <v>199.43308683696642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53.634230183715665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53.634230183715665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160.55473404658039</v>
      </c>
      <c r="AO191" s="62">
        <f t="shared" si="144"/>
        <v>188.70262429536223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6.0436646768648341</v>
      </c>
      <c r="AV191" s="23">
        <f>EXP(-LN(2)/25)*AV190+(1-EXP(-LN(2)/25))/(LN(2)/25)*Calculateur!AQ191*Calculateur!AS191*VLOOKUP('Données projet'!$B$10,Paramètres!$A$1:$I$88,3,0)*0.475*44/12</f>
        <v>1.1333327334452135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7.1769974103100473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4.5474735088646412E-13</v>
      </c>
      <c r="BE191" s="14">
        <f>BD191*VLOOKUP('Données projet'!$B$11,Paramètres!$A$1:$I$88,3,0)*VLOOKUP('Données projet'!$B$11,Paramètres!$A$1:$I$88,5,0)</f>
        <v>2.5420376914553347E-13</v>
      </c>
      <c r="BF191" s="14">
        <f t="shared" si="167"/>
        <v>3.4258699088369875E-12</v>
      </c>
      <c r="BG191" s="22">
        <f t="shared" si="168"/>
        <v>6.4094616558195571E-12</v>
      </c>
      <c r="BH191" s="62">
        <f t="shared" si="116"/>
        <v>293.33333333333974</v>
      </c>
      <c r="BI191" s="62">
        <f ca="1">AVERAGE(OFFSET($BH$3,0,0,'Données projet'!$E$11+1,1))-AVERAGE(OFFSET($H$3,0,0,'Données projet'!$E$11+1,1))</f>
        <v>358.417829688045</v>
      </c>
      <c r="BJ191" s="62">
        <f t="shared" si="146"/>
        <v>394.03759949558713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20.710403264310081</v>
      </c>
      <c r="BQ191" s="23">
        <f>EXP(-LN(2)/25)*BQ190+(1-EXP(-LN(2)/25))/(LN(2)/25)*Calculateur!BL191*Calculateur!BN191*VLOOKUP('Données projet'!$B$11,Paramètres!$A$1:$I$88,3,0)*0.475*44/12</f>
        <v>3.4917932379795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24.202196502289581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projet'!$B$12,Paramètres!$A$1:$I$88,3,0)*VLOOKUP('Données projet'!$B$12,Paramètres!$A$1:$I$88,5,0)</f>
        <v>-1.3596945791505279E-13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405.42845699663462</v>
      </c>
      <c r="CE191" s="62">
        <f t="shared" si="148"/>
        <v>292.26503163353146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29.025503089019004</v>
      </c>
      <c r="CL191" s="23">
        <f>EXP(-LN(2)/25)*CL190+(1-EXP(-LN(2)/25))/(LN(2)/25)*Calculateur!CG191*Calculateur!CI191*VLOOKUP('Données projet'!$B$12,Paramètres!$A$1:$I$88,3,0)*0.475*44/12</f>
        <v>5.4972354058974657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34.522738494916467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projet'!$B$9,Paramètres!$A$1:$I$88,3,0)*VLOOKUP('Données projet'!$B$9,Paramètres!$A$1:$I$88,5,0)</f>
        <v>5.1431925385259088E-14</v>
      </c>
      <c r="P192" s="14">
        <f t="shared" si="141"/>
        <v>8.3482866290946129E-13</v>
      </c>
      <c r="Q192" s="22">
        <f t="shared" si="162"/>
        <v>1.5435705246133045E-12</v>
      </c>
      <c r="R192" s="62">
        <f t="shared" si="109"/>
        <v>293.33333333333485</v>
      </c>
      <c r="S192" s="62">
        <f ca="1">AVERAGE(OFFSET($R$3,0,0,'Données projet'!$E$9+1,1))-AVERAGE(OFFSET($H$3,0,0,'Données projet'!$E$9+1,1))</f>
        <v>329.02356155998905</v>
      </c>
      <c r="T192" s="62">
        <f t="shared" si="142"/>
        <v>199.43308683696642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52.582495643463211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52.582495643463211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160.55473404658039</v>
      </c>
      <c r="AO192" s="62">
        <f t="shared" si="144"/>
        <v>188.70262429536223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5.9251520988229789</v>
      </c>
      <c r="AV192" s="23">
        <f>EXP(-LN(2)/25)*AV191+(1-EXP(-LN(2)/25))/(LN(2)/25)*Calculateur!AQ192*Calculateur!AS192*VLOOKUP('Données projet'!$B$10,Paramètres!$A$1:$I$88,3,0)*0.475*44/12</f>
        <v>1.102341690249776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7.0274937890727553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4.5474735088646412E-13</v>
      </c>
      <c r="BE192" s="14">
        <f>BD192*VLOOKUP('Données projet'!$B$11,Paramètres!$A$1:$I$88,3,0)*VLOOKUP('Données projet'!$B$11,Paramètres!$A$1:$I$88,5,0)</f>
        <v>2.5420376914553347E-13</v>
      </c>
      <c r="BF192" s="14">
        <f t="shared" si="167"/>
        <v>3.4258699088369875E-12</v>
      </c>
      <c r="BG192" s="22">
        <f t="shared" si="168"/>
        <v>6.4094616558195571E-12</v>
      </c>
      <c r="BH192" s="62">
        <f t="shared" si="116"/>
        <v>293.33333333333974</v>
      </c>
      <c r="BI192" s="62">
        <f ca="1">AVERAGE(OFFSET($BH$3,0,0,'Données projet'!$E$11+1,1))-AVERAGE(OFFSET($H$3,0,0,'Données projet'!$E$11+1,1))</f>
        <v>358.417829688045</v>
      </c>
      <c r="BJ192" s="62">
        <f t="shared" si="146"/>
        <v>394.03759949558713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20.304284888395635</v>
      </c>
      <c r="BQ192" s="23">
        <f>EXP(-LN(2)/25)*BQ191+(1-EXP(-LN(2)/25))/(LN(2)/25)*Calculateur!BL192*Calculateur!BN192*VLOOKUP('Données projet'!$B$11,Paramètres!$A$1:$I$88,3,0)*0.475*44/12</f>
        <v>3.3963099682615248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23.700594856657162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projet'!$B$12,Paramètres!$A$1:$I$88,3,0)*VLOOKUP('Données projet'!$B$12,Paramètres!$A$1:$I$88,5,0)</f>
        <v>-1.3596945791505279E-13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405.42845699663462</v>
      </c>
      <c r="CE192" s="62">
        <f t="shared" si="148"/>
        <v>292.26503163353146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28.456330677252119</v>
      </c>
      <c r="CL192" s="23">
        <f>EXP(-LN(2)/25)*CL191+(1-EXP(-LN(2)/25))/(LN(2)/25)*Calculateur!CG192*Calculateur!CI192*VLOOKUP('Données projet'!$B$12,Paramètres!$A$1:$I$88,3,0)*0.475*44/12</f>
        <v>5.346913214636154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33.803243891888272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projet'!$B$9,Paramètres!$A$1:$I$88,3,0)*VLOOKUP('Données projet'!$B$9,Paramètres!$A$1:$I$88,5,0)</f>
        <v>5.1431925385259088E-14</v>
      </c>
      <c r="P193" s="14">
        <f t="shared" si="141"/>
        <v>8.3482866290946129E-13</v>
      </c>
      <c r="Q193" s="22">
        <f t="shared" si="162"/>
        <v>1.5435705246133045E-12</v>
      </c>
      <c r="R193" s="62">
        <f t="shared" si="109"/>
        <v>293.33333333333485</v>
      </c>
      <c r="S193" s="62">
        <f ca="1">AVERAGE(OFFSET($R$3,0,0,'Données projet'!$E$9+1,1))-AVERAGE(OFFSET($H$3,0,0,'Données projet'!$E$9+1,1))</f>
        <v>329.02356155998905</v>
      </c>
      <c r="T193" s="62">
        <f t="shared" si="142"/>
        <v>199.43308683696642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51.551384976050379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51.551384976050379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160.55473404658039</v>
      </c>
      <c r="AO193" s="62">
        <f t="shared" si="144"/>
        <v>188.70262429536223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5.8089634801509895</v>
      </c>
      <c r="AV193" s="23">
        <f>EXP(-LN(2)/25)*AV192+(1-EXP(-LN(2)/25))/(LN(2)/25)*Calculateur!AQ193*Calculateur!AS193*VLOOKUP('Données projet'!$B$10,Paramètres!$A$1:$I$88,3,0)*0.475*44/12</f>
        <v>1.0721980987602659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6.8811615789112555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4.5474735088646412E-13</v>
      </c>
      <c r="BE193" s="14">
        <f>BD193*VLOOKUP('Données projet'!$B$11,Paramètres!$A$1:$I$88,3,0)*VLOOKUP('Données projet'!$B$11,Paramètres!$A$1:$I$88,5,0)</f>
        <v>2.5420376914553347E-13</v>
      </c>
      <c r="BF193" s="14">
        <f t="shared" si="167"/>
        <v>3.4258699088369875E-12</v>
      </c>
      <c r="BG193" s="22">
        <f t="shared" si="168"/>
        <v>6.4094616558195571E-12</v>
      </c>
      <c r="BH193" s="62">
        <f t="shared" si="116"/>
        <v>293.33333333333974</v>
      </c>
      <c r="BI193" s="62">
        <f ca="1">AVERAGE(OFFSET($BH$3,0,0,'Données projet'!$E$11+1,1))-AVERAGE(OFFSET($H$3,0,0,'Données projet'!$E$11+1,1))</f>
        <v>358.417829688045</v>
      </c>
      <c r="BJ193" s="62">
        <f t="shared" si="146"/>
        <v>394.03759949558713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19.906130246125123</v>
      </c>
      <c r="BQ193" s="23">
        <f>EXP(-LN(2)/25)*BQ192+(1-EXP(-LN(2)/25))/(LN(2)/25)*Calculateur!BL193*Calculateur!BN193*VLOOKUP('Données projet'!$B$11,Paramètres!$A$1:$I$88,3,0)*0.475*44/12</f>
        <v>3.3034376935752343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23.209567939700356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projet'!$B$12,Paramètres!$A$1:$I$88,3,0)*VLOOKUP('Données projet'!$B$12,Paramètres!$A$1:$I$88,5,0)</f>
        <v>-1.3596945791505279E-13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405.42845699663462</v>
      </c>
      <c r="CE193" s="62">
        <f t="shared" si="148"/>
        <v>292.26503163353146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27.898319389319091</v>
      </c>
      <c r="CL193" s="23">
        <f>EXP(-LN(2)/25)*CL192+(1-EXP(-LN(2)/25))/(LN(2)/25)*Calculateur!CG193*Calculateur!CI193*VLOOKUP('Données projet'!$B$12,Paramètres!$A$1:$I$88,3,0)*0.475*44/12</f>
        <v>5.2007015915999828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33.099020980919072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projet'!$B$9,Paramètres!$A$1:$I$88,3,0)*VLOOKUP('Données projet'!$B$9,Paramètres!$A$1:$I$88,5,0)</f>
        <v>5.1431925385259088E-14</v>
      </c>
      <c r="P194" s="14">
        <f t="shared" si="141"/>
        <v>8.3482866290946129E-13</v>
      </c>
      <c r="Q194" s="22">
        <f t="shared" si="162"/>
        <v>1.5435705246133045E-12</v>
      </c>
      <c r="R194" s="62">
        <f t="shared" si="109"/>
        <v>293.33333333333485</v>
      </c>
      <c r="S194" s="62">
        <f ca="1">AVERAGE(OFFSET($R$3,0,0,'Données projet'!$E$9+1,1))-AVERAGE(OFFSET($H$3,0,0,'Données projet'!$E$9+1,1))</f>
        <v>329.02356155998905</v>
      </c>
      <c r="T194" s="62">
        <f t="shared" si="142"/>
        <v>199.43308683696642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50.540493759910106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50.540493759910106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160.55473404658039</v>
      </c>
      <c r="AO194" s="62">
        <f t="shared" si="144"/>
        <v>188.70262429536223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5.6950532494230979</v>
      </c>
      <c r="AV194" s="23">
        <f>EXP(-LN(2)/25)*AV193+(1-EXP(-LN(2)/25))/(LN(2)/25)*Calculateur!AQ194*Calculateur!AS194*VLOOKUP('Données projet'!$B$10,Paramètres!$A$1:$I$88,3,0)*0.475*44/12</f>
        <v>1.0428787853652191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6.7379320347883169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4.5474735088646412E-13</v>
      </c>
      <c r="BE194" s="14">
        <f>BD194*VLOOKUP('Données projet'!$B$11,Paramètres!$A$1:$I$88,3,0)*VLOOKUP('Données projet'!$B$11,Paramètres!$A$1:$I$88,5,0)</f>
        <v>2.5420376914553347E-13</v>
      </c>
      <c r="BF194" s="14">
        <f t="shared" si="167"/>
        <v>3.4258699088369875E-12</v>
      </c>
      <c r="BG194" s="22">
        <f t="shared" si="168"/>
        <v>6.4094616558195571E-12</v>
      </c>
      <c r="BH194" s="62">
        <f t="shared" si="116"/>
        <v>293.33333333333974</v>
      </c>
      <c r="BI194" s="62">
        <f ca="1">AVERAGE(OFFSET($BH$3,0,0,'Données projet'!$E$11+1,1))-AVERAGE(OFFSET($H$3,0,0,'Données projet'!$E$11+1,1))</f>
        <v>358.417829688045</v>
      </c>
      <c r="BJ194" s="62">
        <f t="shared" si="146"/>
        <v>394.03759949558713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19.51578317353918</v>
      </c>
      <c r="BQ194" s="23">
        <f>EXP(-LN(2)/25)*BQ193+(1-EXP(-LN(2)/25))/(LN(2)/25)*Calculateur!BL194*Calculateur!BN194*VLOOKUP('Données projet'!$B$11,Paramètres!$A$1:$I$88,3,0)*0.475*44/12</f>
        <v>3.2131050161241812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22.728888189663362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projet'!$B$12,Paramètres!$A$1:$I$88,3,0)*VLOOKUP('Données projet'!$B$12,Paramètres!$A$1:$I$88,5,0)</f>
        <v>-1.3596945791505279E-13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405.42845699663462</v>
      </c>
      <c r="CE194" s="62">
        <f t="shared" si="148"/>
        <v>292.26503163353146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27.351250362389152</v>
      </c>
      <c r="CL194" s="23">
        <f>EXP(-LN(2)/25)*CL193+(1-EXP(-LN(2)/25))/(LN(2)/25)*Calculateur!CG194*Calculateur!CI194*VLOOKUP('Données projet'!$B$12,Paramètres!$A$1:$I$88,3,0)*0.475*44/12</f>
        <v>5.0584881330846709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32.409738495473825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projet'!$B$9,Paramètres!$A$1:$I$88,3,0)*VLOOKUP('Données projet'!$B$9,Paramètres!$A$1:$I$88,5,0)</f>
        <v>5.1431925385259088E-14</v>
      </c>
      <c r="P195" s="14">
        <f t="shared" si="141"/>
        <v>8.3482866290946129E-13</v>
      </c>
      <c r="Q195" s="22">
        <f t="shared" si="162"/>
        <v>1.5435705246133045E-12</v>
      </c>
      <c r="R195" s="62">
        <f t="shared" ref="R195:R203" si="191">Q195+(I195+J195)*44/12</f>
        <v>293.33333333333485</v>
      </c>
      <c r="S195" s="62">
        <f ca="1">AVERAGE(OFFSET($R$3,0,0,'Données projet'!$E$9+1,1))-AVERAGE(OFFSET($H$3,0,0,'Données projet'!$E$9+1,1))</f>
        <v>329.02356155998905</v>
      </c>
      <c r="T195" s="62">
        <f t="shared" si="142"/>
        <v>199.43308683696642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49.549425503935581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49.549425503935581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160.55473404658039</v>
      </c>
      <c r="AO195" s="62">
        <f t="shared" si="144"/>
        <v>188.70262429536223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5.5833767288414</v>
      </c>
      <c r="AV195" s="23">
        <f>EXP(-LN(2)/25)*AV194+(1-EXP(-LN(2)/25))/(LN(2)/25)*Calculateur!AQ195*Calculateur!AS195*VLOOKUP('Données projet'!$B$10,Paramètres!$A$1:$I$88,3,0)*0.475*44/12</f>
        <v>1.0143612101367954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6.5977379389781952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4.5474735088646412E-13</v>
      </c>
      <c r="BE195" s="14">
        <f>BD195*VLOOKUP('Données projet'!$B$11,Paramètres!$A$1:$I$88,3,0)*VLOOKUP('Données projet'!$B$11,Paramètres!$A$1:$I$88,5,0)</f>
        <v>2.5420376914553347E-13</v>
      </c>
      <c r="BF195" s="14">
        <f t="shared" si="167"/>
        <v>3.4258699088369875E-12</v>
      </c>
      <c r="BG195" s="22">
        <f t="shared" si="168"/>
        <v>6.4094616558195571E-12</v>
      </c>
      <c r="BH195" s="62">
        <f t="shared" si="116"/>
        <v>293.33333333333974</v>
      </c>
      <c r="BI195" s="62">
        <f ca="1">AVERAGE(OFFSET($BH$3,0,0,'Données projet'!$E$11+1,1))-AVERAGE(OFFSET($H$3,0,0,'Données projet'!$E$11+1,1))</f>
        <v>358.417829688045</v>
      </c>
      <c r="BJ195" s="62">
        <f t="shared" si="146"/>
        <v>394.03759949558713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19.133090568958444</v>
      </c>
      <c r="BQ195" s="23">
        <f>EXP(-LN(2)/25)*BQ194+(1-EXP(-LN(2)/25))/(LN(2)/25)*Calculateur!BL195*Calculateur!BN195*VLOOKUP('Données projet'!$B$11,Paramètres!$A$1:$I$88,3,0)*0.475*44/12</f>
        <v>3.1252424904884162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22.258333059446862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projet'!$B$12,Paramètres!$A$1:$I$88,3,0)*VLOOKUP('Données projet'!$B$12,Paramètres!$A$1:$I$88,5,0)</f>
        <v>-1.3596945791505279E-13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405.42845699663462</v>
      </c>
      <c r="CE195" s="62">
        <f t="shared" si="148"/>
        <v>292.26503163353146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26.814909025398151</v>
      </c>
      <c r="CL195" s="23">
        <f>EXP(-LN(2)/25)*CL194+(1-EXP(-LN(2)/25))/(LN(2)/25)*Calculateur!CG195*Calculateur!CI195*VLOOKUP('Données projet'!$B$12,Paramètres!$A$1:$I$88,3,0)*0.475*44/12</f>
        <v>4.9201635090711413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31.735072534469293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projet'!$B$9,Paramètres!$A$1:$I$88,3,0)*VLOOKUP('Données projet'!$B$9,Paramètres!$A$1:$I$88,5,0)</f>
        <v>5.1431925385259088E-14</v>
      </c>
      <c r="P196" s="14">
        <f t="shared" si="141"/>
        <v>8.3482866290946129E-13</v>
      </c>
      <c r="Q196" s="22">
        <f t="shared" si="162"/>
        <v>1.5435705246133045E-12</v>
      </c>
      <c r="R196" s="62">
        <f t="shared" si="191"/>
        <v>293.33333333333485</v>
      </c>
      <c r="S196" s="62">
        <f ca="1">AVERAGE(OFFSET($R$3,0,0,'Données projet'!$E$9+1,1))-AVERAGE(OFFSET($H$3,0,0,'Données projet'!$E$9+1,1))</f>
        <v>329.02356155998905</v>
      </c>
      <c r="T196" s="62">
        <f t="shared" si="142"/>
        <v>199.43308683696642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48.577791491968767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48.577791491968767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160.55473404658039</v>
      </c>
      <c r="AO196" s="62">
        <f t="shared" si="144"/>
        <v>188.70262429536223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5.473890116712357</v>
      </c>
      <c r="AV196" s="23">
        <f>EXP(-LN(2)/25)*AV195+(1-EXP(-LN(2)/25))/(LN(2)/25)*Calculateur!AQ196*Calculateur!AS196*VLOOKUP('Données projet'!$B$10,Paramètres!$A$1:$I$88,3,0)*0.475*44/12</f>
        <v>0.986623449502667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6.4605135662150239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4.5474735088646412E-13</v>
      </c>
      <c r="BE196" s="14">
        <f>BD196*VLOOKUP('Données projet'!$B$11,Paramètres!$A$1:$I$88,3,0)*VLOOKUP('Données projet'!$B$11,Paramètres!$A$1:$I$88,5,0)</f>
        <v>2.5420376914553347E-13</v>
      </c>
      <c r="BF196" s="14">
        <f t="shared" si="167"/>
        <v>3.4258699088369875E-12</v>
      </c>
      <c r="BG196" s="22">
        <f t="shared" si="168"/>
        <v>6.4094616558195571E-12</v>
      </c>
      <c r="BH196" s="62">
        <f t="shared" ref="BH196:BH203" si="194">BG196+(AY196+AZ196)*44/12</f>
        <v>293.33333333333974</v>
      </c>
      <c r="BI196" s="62">
        <f ca="1">AVERAGE(OFFSET($BH$3,0,0,'Données projet'!$E$11+1,1))-AVERAGE(OFFSET($H$3,0,0,'Données projet'!$E$11+1,1))</f>
        <v>358.417829688045</v>
      </c>
      <c r="BJ196" s="62">
        <f t="shared" si="146"/>
        <v>394.03759949558713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18.757902332934098</v>
      </c>
      <c r="BQ196" s="23">
        <f>EXP(-LN(2)/25)*BQ195+(1-EXP(-LN(2)/25))/(LN(2)/25)*Calculateur!BL196*Calculateur!BN196*VLOOKUP('Données projet'!$B$11,Paramètres!$A$1:$I$88,3,0)*0.475*44/12</f>
        <v>3.0397825702366505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21.797684903170747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projet'!$B$12,Paramètres!$A$1:$I$88,3,0)*VLOOKUP('Données projet'!$B$12,Paramètres!$A$1:$I$88,5,0)</f>
        <v>-1.3596945791505279E-13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405.42845699663462</v>
      </c>
      <c r="CE196" s="62">
        <f t="shared" si="148"/>
        <v>292.26503163353146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26.289085014889629</v>
      </c>
      <c r="CL196" s="23">
        <f>EXP(-LN(2)/25)*CL195+(1-EXP(-LN(2)/25))/(LN(2)/25)*Calculateur!CG196*Calculateur!CI196*VLOOKUP('Données projet'!$B$12,Paramètres!$A$1:$I$88,3,0)*0.475*44/12</f>
        <v>4.7856213791754376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31.074706394065068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projet'!$B$9,Paramètres!$A$1:$I$88,3,0)*VLOOKUP('Données projet'!$B$9,Paramètres!$A$1:$I$88,5,0)</f>
        <v>5.1431925385259088E-14</v>
      </c>
      <c r="P197" s="14">
        <f t="shared" ref="P197:P203" si="203">EXP(-1.0587+0.8836*LN(O197)+0.284)</f>
        <v>8.3482866290946129E-13</v>
      </c>
      <c r="Q197" s="22">
        <f t="shared" si="162"/>
        <v>1.5435705246133045E-12</v>
      </c>
      <c r="R197" s="62">
        <f t="shared" si="191"/>
        <v>293.33333333333485</v>
      </c>
      <c r="S197" s="62">
        <f ca="1">AVERAGE(OFFSET($R$3,0,0,'Données projet'!$E$9+1,1))-AVERAGE(OFFSET($H$3,0,0,'Données projet'!$E$9+1,1))</f>
        <v>329.02356155998905</v>
      </c>
      <c r="T197" s="62">
        <f t="shared" ref="T197:T203" si="204">$T$3</f>
        <v>199.43308683696642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47.625210630338394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47.625210630338394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160.55473404658039</v>
      </c>
      <c r="AO197" s="62">
        <f t="shared" ref="AO197:AO203" si="205">$AO$3</f>
        <v>188.70262429536223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5.3665504702669251</v>
      </c>
      <c r="AV197" s="23">
        <f>EXP(-LN(2)/25)*AV196+(1-EXP(-LN(2)/25))/(LN(2)/25)*Calculateur!AQ197*Calculateur!AS197*VLOOKUP('Données projet'!$B$10,Paramètres!$A$1:$I$88,3,0)*0.475*44/12</f>
        <v>0.95964417939174429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6.3261946496586692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4.5474735088646412E-13</v>
      </c>
      <c r="BE197" s="14">
        <f>BD197*VLOOKUP('Données projet'!$B$11,Paramètres!$A$1:$I$88,3,0)*VLOOKUP('Données projet'!$B$11,Paramètres!$A$1:$I$88,5,0)</f>
        <v>2.5420376914553347E-13</v>
      </c>
      <c r="BF197" s="14">
        <f t="shared" si="167"/>
        <v>3.4258699088369875E-12</v>
      </c>
      <c r="BG197" s="22">
        <f t="shared" si="168"/>
        <v>6.4094616558195571E-12</v>
      </c>
      <c r="BH197" s="62">
        <f t="shared" si="194"/>
        <v>293.33333333333974</v>
      </c>
      <c r="BI197" s="62">
        <f ca="1">AVERAGE(OFFSET($BH$3,0,0,'Données projet'!$E$11+1,1))-AVERAGE(OFFSET($H$3,0,0,'Données projet'!$E$11+1,1))</f>
        <v>358.417829688045</v>
      </c>
      <c r="BJ197" s="62">
        <f t="shared" ref="BJ197:BJ203" si="206">$BJ$3</f>
        <v>394.03759949558713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18.390071309375958</v>
      </c>
      <c r="BQ197" s="23">
        <f>EXP(-LN(2)/25)*BQ196+(1-EXP(-LN(2)/25))/(LN(2)/25)*Calculateur!BL197*Calculateur!BN197*VLOOKUP('Données projet'!$B$11,Paramètres!$A$1:$I$88,3,0)*0.475*44/12</f>
        <v>2.9566595559983115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21.346730865374269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projet'!$B$12,Paramètres!$A$1:$I$88,3,0)*VLOOKUP('Données projet'!$B$12,Paramètres!$A$1:$I$88,5,0)</f>
        <v>-1.3596945791505279E-13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405.42845699663462</v>
      </c>
      <c r="CE197" s="62">
        <f t="shared" ref="CE197:CE203" si="207">$CE$3</f>
        <v>292.26503163353146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25.773572092506203</v>
      </c>
      <c r="CL197" s="23">
        <f>EXP(-LN(2)/25)*CL196+(1-EXP(-LN(2)/25))/(LN(2)/25)*Calculateur!CG197*Calculateur!CI197*VLOOKUP('Données projet'!$B$12,Paramètres!$A$1:$I$88,3,0)*0.475*44/12</f>
        <v>4.6547583108969945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30.428330403403198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projet'!$B$9,Paramètres!$A$1:$I$88,3,0)*VLOOKUP('Données projet'!$B$9,Paramètres!$A$1:$I$88,5,0)</f>
        <v>5.1431925385259088E-14</v>
      </c>
      <c r="P198" s="14">
        <f t="shared" si="203"/>
        <v>8.3482866290946129E-13</v>
      </c>
      <c r="Q198" s="22">
        <f t="shared" si="162"/>
        <v>1.5435705246133045E-12</v>
      </c>
      <c r="R198" s="62">
        <f t="shared" si="191"/>
        <v>293.33333333333485</v>
      </c>
      <c r="S198" s="62">
        <f ca="1">AVERAGE(OFFSET($R$3,0,0,'Données projet'!$E$9+1,1))-AVERAGE(OFFSET($H$3,0,0,'Données projet'!$E$9+1,1))</f>
        <v>329.02356155998905</v>
      </c>
      <c r="T198" s="62">
        <f t="shared" si="204"/>
        <v>199.43308683696642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46.691309298387644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46.691309298387644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160.55473404658039</v>
      </c>
      <c r="AO198" s="62">
        <f t="shared" si="205"/>
        <v>188.70262429536223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5.2613156888175689</v>
      </c>
      <c r="AV198" s="23">
        <f>EXP(-LN(2)/25)*AV197+(1-EXP(-LN(2)/25))/(LN(2)/25)*Calculateur!AQ198*Calculateur!AS198*VLOOKUP('Données projet'!$B$10,Paramètres!$A$1:$I$88,3,0)*0.475*44/12</f>
        <v>0.93340265884078299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6.1947183476583518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4.5474735088646412E-13</v>
      </c>
      <c r="BE198" s="14">
        <f>BD198*VLOOKUP('Données projet'!$B$11,Paramètres!$A$1:$I$88,3,0)*VLOOKUP('Données projet'!$B$11,Paramètres!$A$1:$I$88,5,0)</f>
        <v>2.5420376914553347E-13</v>
      </c>
      <c r="BF198" s="14">
        <f t="shared" si="167"/>
        <v>3.4258699088369875E-12</v>
      </c>
      <c r="BG198" s="22">
        <f t="shared" si="168"/>
        <v>6.4094616558195571E-12</v>
      </c>
      <c r="BH198" s="62">
        <f t="shared" si="194"/>
        <v>293.33333333333974</v>
      </c>
      <c r="BI198" s="62">
        <f ca="1">AVERAGE(OFFSET($BH$3,0,0,'Données projet'!$E$11+1,1))-AVERAGE(OFFSET($H$3,0,0,'Données projet'!$E$11+1,1))</f>
        <v>358.417829688045</v>
      </c>
      <c r="BJ198" s="62">
        <f t="shared" si="206"/>
        <v>394.03759949558713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18.029453227835024</v>
      </c>
      <c r="BQ198" s="23">
        <f>EXP(-LN(2)/25)*BQ197+(1-EXP(-LN(2)/25))/(LN(2)/25)*Calculateur!BL198*Calculateur!BN198*VLOOKUP('Données projet'!$B$11,Paramètres!$A$1:$I$88,3,0)*0.475*44/12</f>
        <v>2.8758095449555694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20.905262772790593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projet'!$B$12,Paramètres!$A$1:$I$88,3,0)*VLOOKUP('Données projet'!$B$12,Paramètres!$A$1:$I$88,5,0)</f>
        <v>-1.3596945791505279E-13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405.42845699663462</v>
      </c>
      <c r="CE198" s="62">
        <f t="shared" si="207"/>
        <v>292.26503163353146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25.26816806409888</v>
      </c>
      <c r="CL198" s="23">
        <f>EXP(-LN(2)/25)*CL197+(1-EXP(-LN(2)/25))/(LN(2)/25)*Calculateur!CG198*Calculateur!CI198*VLOOKUP('Données projet'!$B$12,Paramètres!$A$1:$I$88,3,0)*0.475*44/12</f>
        <v>4.5274737001024157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29.795641764201296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projet'!$B$9,Paramètres!$A$1:$I$88,3,0)*VLOOKUP('Données projet'!$B$9,Paramètres!$A$1:$I$88,5,0)</f>
        <v>5.1431925385259088E-14</v>
      </c>
      <c r="P199" s="14">
        <f t="shared" si="203"/>
        <v>8.3482866290946129E-13</v>
      </c>
      <c r="Q199" s="22">
        <f t="shared" si="162"/>
        <v>1.5435705246133045E-12</v>
      </c>
      <c r="R199" s="62">
        <f t="shared" si="191"/>
        <v>293.33333333333485</v>
      </c>
      <c r="S199" s="62">
        <f ca="1">AVERAGE(OFFSET($R$3,0,0,'Données projet'!$E$9+1,1))-AVERAGE(OFFSET($H$3,0,0,'Données projet'!$E$9+1,1))</f>
        <v>329.02356155998905</v>
      </c>
      <c r="T199" s="62">
        <f t="shared" si="204"/>
        <v>199.43308683696642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45.775721201932875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45.775721201932875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160.55473404658039</v>
      </c>
      <c r="AO199" s="62">
        <f t="shared" si="205"/>
        <v>188.70262429536223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5.1581444972455559</v>
      </c>
      <c r="AV199" s="23">
        <f>EXP(-LN(2)/25)*AV198+(1-EXP(-LN(2)/25))/(LN(2)/25)*Calculateur!AQ199*Calculateur!AS199*VLOOKUP('Données projet'!$B$10,Paramètres!$A$1:$I$88,3,0)*0.475*44/12</f>
        <v>0.90787871404926923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6.0660232112948247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4.5474735088646412E-13</v>
      </c>
      <c r="BE199" s="14">
        <f>BD199*VLOOKUP('Données projet'!$B$11,Paramètres!$A$1:$I$88,3,0)*VLOOKUP('Données projet'!$B$11,Paramètres!$A$1:$I$88,5,0)</f>
        <v>2.5420376914553347E-13</v>
      </c>
      <c r="BF199" s="14">
        <f t="shared" si="167"/>
        <v>3.4258699088369875E-12</v>
      </c>
      <c r="BG199" s="22">
        <f t="shared" si="168"/>
        <v>6.4094616558195571E-12</v>
      </c>
      <c r="BH199" s="62">
        <f t="shared" si="194"/>
        <v>293.33333333333974</v>
      </c>
      <c r="BI199" s="62">
        <f ca="1">AVERAGE(OFFSET($BH$3,0,0,'Données projet'!$E$11+1,1))-AVERAGE(OFFSET($H$3,0,0,'Données projet'!$E$11+1,1))</f>
        <v>358.417829688045</v>
      </c>
      <c r="BJ199" s="62">
        <f t="shared" si="206"/>
        <v>394.03759949558713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17.675906646917795</v>
      </c>
      <c r="BQ199" s="23">
        <f>EXP(-LN(2)/25)*BQ198+(1-EXP(-LN(2)/25))/(LN(2)/25)*Calculateur!BL199*Calculateur!BN199*VLOOKUP('Données projet'!$B$11,Paramètres!$A$1:$I$88,3,0)*0.475*44/12</f>
        <v>2.7971703817165081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20.473077028634304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projet'!$B$12,Paramètres!$A$1:$I$88,3,0)*VLOOKUP('Données projet'!$B$12,Paramètres!$A$1:$I$88,5,0)</f>
        <v>-1.3596945791505279E-13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405.42845699663462</v>
      </c>
      <c r="CE199" s="62">
        <f t="shared" si="207"/>
        <v>292.26503163353146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24.772674700422606</v>
      </c>
      <c r="CL199" s="23">
        <f>EXP(-LN(2)/25)*CL198+(1-EXP(-LN(2)/25))/(LN(2)/25)*Calculateur!CG199*Calculateur!CI199*VLOOKUP('Données projet'!$B$12,Paramètres!$A$1:$I$88,3,0)*0.475*44/12</f>
        <v>4.4036696936836206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29.176344394106227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projet'!$B$9,Paramètres!$A$1:$I$88,3,0)*VLOOKUP('Données projet'!$B$9,Paramètres!$A$1:$I$88,5,0)</f>
        <v>5.1431925385259088E-14</v>
      </c>
      <c r="P200" s="14">
        <f t="shared" si="203"/>
        <v>8.3482866290946129E-13</v>
      </c>
      <c r="Q200" s="22">
        <f t="shared" si="162"/>
        <v>1.5435705246133045E-12</v>
      </c>
      <c r="R200" s="62">
        <f t="shared" si="191"/>
        <v>293.33333333333485</v>
      </c>
      <c r="S200" s="62">
        <f ca="1">AVERAGE(OFFSET($R$3,0,0,'Données projet'!$E$9+1,1))-AVERAGE(OFFSET($H$3,0,0,'Données projet'!$E$9+1,1))</f>
        <v>329.02356155998905</v>
      </c>
      <c r="T200" s="62">
        <f t="shared" si="204"/>
        <v>199.43308683696642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44.878087229595991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44.878087229595991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160.55473404658039</v>
      </c>
      <c r="AO200" s="62">
        <f t="shared" si="205"/>
        <v>188.70262429536223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5.0569964298120569</v>
      </c>
      <c r="AV200" s="23">
        <f>EXP(-LN(2)/25)*AV199+(1-EXP(-LN(2)/25))/(LN(2)/25)*Calculateur!AQ200*Calculateur!AS200*VLOOKUP('Données projet'!$B$10,Paramètres!$A$1:$I$88,3,0)*0.475*44/12</f>
        <v>0.88305272287032532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5.9400491526823824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4.5474735088646412E-13</v>
      </c>
      <c r="BE200" s="14">
        <f>BD200*VLOOKUP('Données projet'!$B$11,Paramètres!$A$1:$I$88,3,0)*VLOOKUP('Données projet'!$B$11,Paramètres!$A$1:$I$88,5,0)</f>
        <v>2.5420376914553347E-13</v>
      </c>
      <c r="BF200" s="14">
        <f t="shared" si="167"/>
        <v>3.4258699088369875E-12</v>
      </c>
      <c r="BG200" s="22">
        <f t="shared" si="168"/>
        <v>6.4094616558195571E-12</v>
      </c>
      <c r="BH200" s="62">
        <f t="shared" si="194"/>
        <v>293.33333333333974</v>
      </c>
      <c r="BI200" s="62">
        <f ca="1">AVERAGE(OFFSET($BH$3,0,0,'Données projet'!$E$11+1,1))-AVERAGE(OFFSET($H$3,0,0,'Données projet'!$E$11+1,1))</f>
        <v>358.417829688045</v>
      </c>
      <c r="BJ200" s="62">
        <f t="shared" si="206"/>
        <v>394.03759949558713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17.329292898810234</v>
      </c>
      <c r="BQ200" s="23">
        <f>EXP(-LN(2)/25)*BQ199+(1-EXP(-LN(2)/25))/(LN(2)/25)*Calculateur!BL200*Calculateur!BN200*VLOOKUP('Données projet'!$B$11,Paramètres!$A$1:$I$88,3,0)*0.475*44/12</f>
        <v>2.7206816105316727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20.049974509341908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projet'!$B$12,Paramètres!$A$1:$I$88,3,0)*VLOOKUP('Données projet'!$B$12,Paramètres!$A$1:$I$88,5,0)</f>
        <v>-1.3596945791505279E-13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405.42845699663462</v>
      </c>
      <c r="CE200" s="62">
        <f t="shared" si="207"/>
        <v>292.26503163353146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24.286897659386913</v>
      </c>
      <c r="CL200" s="23">
        <f>EXP(-LN(2)/25)*CL199+(1-EXP(-LN(2)/25))/(LN(2)/25)*Calculateur!CG200*Calculateur!CI200*VLOOKUP('Données projet'!$B$12,Paramètres!$A$1:$I$88,3,0)*0.475*44/12</f>
        <v>4.2832511143309171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28.570148773717829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projet'!$B$9,Paramètres!$A$1:$I$88,3,0)*VLOOKUP('Données projet'!$B$9,Paramètres!$A$1:$I$88,5,0)</f>
        <v>5.1431925385259088E-14</v>
      </c>
      <c r="P201" s="14">
        <f t="shared" si="203"/>
        <v>8.3482866290946129E-13</v>
      </c>
      <c r="Q201" s="22">
        <f t="shared" si="162"/>
        <v>1.5435705246133045E-12</v>
      </c>
      <c r="R201" s="62">
        <f t="shared" si="191"/>
        <v>293.33333333333485</v>
      </c>
      <c r="S201" s="62">
        <f ca="1">AVERAGE(OFFSET($R$3,0,0,'Données projet'!$E$9+1,1))-AVERAGE(OFFSET($H$3,0,0,'Données projet'!$E$9+1,1))</f>
        <v>329.02356155998905</v>
      </c>
      <c r="T201" s="62">
        <f t="shared" si="204"/>
        <v>199.43308683696642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43.998055311953969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43.998055311953969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160.55473404658039</v>
      </c>
      <c r="AO201" s="62">
        <f t="shared" si="205"/>
        <v>188.70262429536223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4.9578318142866991</v>
      </c>
      <c r="AV201" s="23">
        <f>EXP(-LN(2)/25)*AV200+(1-EXP(-LN(2)/25))/(LN(2)/25)*Calculateur!AQ201*Calculateur!AS201*VLOOKUP('Données projet'!$B$10,Paramètres!$A$1:$I$88,3,0)*0.475*44/12</f>
        <v>0.85890559972571179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5.8167374140124108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4.5474735088646412E-13</v>
      </c>
      <c r="BE201" s="14">
        <f>BD201*VLOOKUP('Données projet'!$B$11,Paramètres!$A$1:$I$88,3,0)*VLOOKUP('Données projet'!$B$11,Paramètres!$A$1:$I$88,5,0)</f>
        <v>2.5420376914553347E-13</v>
      </c>
      <c r="BF201" s="14">
        <f t="shared" si="167"/>
        <v>3.4258699088369875E-12</v>
      </c>
      <c r="BG201" s="22">
        <f t="shared" si="168"/>
        <v>6.4094616558195571E-12</v>
      </c>
      <c r="BH201" s="62">
        <f t="shared" si="194"/>
        <v>293.33333333333974</v>
      </c>
      <c r="BI201" s="62">
        <f ca="1">AVERAGE(OFFSET($BH$3,0,0,'Données projet'!$E$11+1,1))-AVERAGE(OFFSET($H$3,0,0,'Données projet'!$E$11+1,1))</f>
        <v>358.417829688045</v>
      </c>
      <c r="BJ201" s="62">
        <f t="shared" si="206"/>
        <v>394.03759949558713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16.989476034889549</v>
      </c>
      <c r="BQ201" s="23">
        <f>EXP(-LN(2)/25)*BQ200+(1-EXP(-LN(2)/25))/(LN(2)/25)*Calculateur!BL201*Calculateur!BN201*VLOOKUP('Données projet'!$B$11,Paramètres!$A$1:$I$88,3,0)*0.475*44/12</f>
        <v>2.6462844288172565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19.635760463706806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projet'!$B$12,Paramètres!$A$1:$I$88,3,0)*VLOOKUP('Données projet'!$B$12,Paramètres!$A$1:$I$88,5,0)</f>
        <v>-1.3596945791505279E-13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405.42845699663462</v>
      </c>
      <c r="CE201" s="62">
        <f t="shared" si="207"/>
        <v>292.26503163353146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23.810646409831193</v>
      </c>
      <c r="CL201" s="23">
        <f>EXP(-LN(2)/25)*CL200+(1-EXP(-LN(2)/25))/(LN(2)/25)*Calculateur!CG201*Calculateur!CI201*VLOOKUP('Données projet'!$B$12,Paramètres!$A$1:$I$88,3,0)*0.475*44/12</f>
        <v>4.1661253873631514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27.976771797194345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projet'!$B$9,Paramètres!$A$1:$I$88,3,0)*VLOOKUP('Données projet'!$B$9,Paramètres!$A$1:$I$88,5,0)</f>
        <v>5.1431925385259088E-14</v>
      </c>
      <c r="P202" s="14">
        <f t="shared" si="203"/>
        <v>8.3482866290946129E-13</v>
      </c>
      <c r="Q202" s="22">
        <f t="shared" si="162"/>
        <v>1.5435705246133045E-12</v>
      </c>
      <c r="R202" s="62">
        <f t="shared" si="191"/>
        <v>293.33333333333485</v>
      </c>
      <c r="S202" s="62">
        <f ca="1">AVERAGE(OFFSET($R$3,0,0,'Données projet'!$E$9+1,1))-AVERAGE(OFFSET($H$3,0,0,'Données projet'!$E$9+1,1))</f>
        <v>329.02356155998905</v>
      </c>
      <c r="T202" s="62">
        <f t="shared" si="204"/>
        <v>199.43308683696642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43.135280283450442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43.135280283450442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160.55473404658039</v>
      </c>
      <c r="AO202" s="62">
        <f t="shared" si="205"/>
        <v>188.70262429536223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4.8606117563873505</v>
      </c>
      <c r="AV202" s="23">
        <f>EXP(-LN(2)/25)*AV201+(1-EXP(-LN(2)/25))/(LN(2)/25)*Calculateur!AQ202*Calculateur!AS202*VLOOKUP('Données projet'!$B$10,Paramètres!$A$1:$I$88,3,0)*0.475*44/12</f>
        <v>0.83541878093332977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5.6960305373206808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4.5474735088646412E-13</v>
      </c>
      <c r="BE202" s="14">
        <f>BD202*VLOOKUP('Données projet'!$B$11,Paramètres!$A$1:$I$88,3,0)*VLOOKUP('Données projet'!$B$11,Paramètres!$A$1:$I$88,5,0)</f>
        <v>2.5420376914553347E-13</v>
      </c>
      <c r="BF202" s="14">
        <f t="shared" si="167"/>
        <v>3.4258699088369875E-12</v>
      </c>
      <c r="BG202" s="22">
        <f t="shared" si="168"/>
        <v>6.4094616558195571E-12</v>
      </c>
      <c r="BH202" s="62">
        <f t="shared" si="194"/>
        <v>293.33333333333974</v>
      </c>
      <c r="BI202" s="62">
        <f ca="1">AVERAGE(OFFSET($BH$3,0,0,'Données projet'!$E$11+1,1))-AVERAGE(OFFSET($H$3,0,0,'Données projet'!$E$11+1,1))</f>
        <v>358.417829688045</v>
      </c>
      <c r="BJ202" s="62">
        <f t="shared" si="206"/>
        <v>394.03759949558713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16.656322772402529</v>
      </c>
      <c r="BQ202" s="23">
        <f>EXP(-LN(2)/25)*BQ201+(1-EXP(-LN(2)/25))/(LN(2)/25)*Calculateur!BL202*Calculateur!BN202*VLOOKUP('Données projet'!$B$11,Paramètres!$A$1:$I$88,3,0)*0.475*44/12</f>
        <v>2.5739216419491986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19.230244414351727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projet'!$B$12,Paramètres!$A$1:$I$88,3,0)*VLOOKUP('Données projet'!$B$12,Paramètres!$A$1:$I$88,5,0)</f>
        <v>-1.3596945791505279E-13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405.42845699663462</v>
      </c>
      <c r="CE202" s="62">
        <f t="shared" si="207"/>
        <v>292.26503163353146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23.343734156794682</v>
      </c>
      <c r="CL202" s="23">
        <f>EXP(-LN(2)/25)*CL201+(1-EXP(-LN(2)/25))/(LN(2)/25)*Calculateur!CG202*Calculateur!CI202*VLOOKUP('Données projet'!$B$12,Paramètres!$A$1:$I$88,3,0)*0.475*44/12</f>
        <v>4.0522024695586936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27.395936626353375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projet'!$B$9,Paramètres!$A$1:$I$88,3,0)*VLOOKUP('Données projet'!$B$9,Paramètres!$A$1:$I$88,5,0)</f>
        <v>5.1431925385259088E-14</v>
      </c>
      <c r="P203" s="14">
        <f t="shared" si="203"/>
        <v>8.3482866290946129E-13</v>
      </c>
      <c r="Q203" s="22">
        <f t="shared" si="162"/>
        <v>1.5435705246133045E-12</v>
      </c>
      <c r="R203" s="62">
        <f t="shared" si="191"/>
        <v>293.33333333333485</v>
      </c>
      <c r="S203" s="62">
        <f ca="1">AVERAGE(OFFSET($R$3,0,0,'Données projet'!$E$9+1,1))-AVERAGE(OFFSET($H$3,0,0,'Données projet'!$E$9+1,1))</f>
        <v>329.02356155998905</v>
      </c>
      <c r="T203" s="62">
        <f t="shared" si="204"/>
        <v>199.43308683696642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42.289423747015064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42.289423747015064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160.55473404658039</v>
      </c>
      <c r="AO203" s="62">
        <f t="shared" si="205"/>
        <v>188.70262429536223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4.7652981245250281</v>
      </c>
      <c r="AV203" s="23">
        <f>EXP(-LN(2)/25)*AV202+(1-EXP(-LN(2)/25))/(LN(2)/25)*Calculateur!AQ203*Calculateur!AS203*VLOOKUP('Données projet'!$B$10,Paramètres!$A$1:$I$88,3,0)*0.475*44/12</f>
        <v>0.81257421043594358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5.577872334960972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4.5474735088646412E-13</v>
      </c>
      <c r="BE203" s="14">
        <f>BD203*VLOOKUP('Données projet'!$B$11,Paramètres!$A$1:$I$88,3,0)*VLOOKUP('Données projet'!$B$11,Paramètres!$A$1:$I$88,5,0)</f>
        <v>2.5420376914553347E-13</v>
      </c>
      <c r="BF203" s="14">
        <f t="shared" si="167"/>
        <v>3.4258699088369875E-12</v>
      </c>
      <c r="BG203" s="22">
        <f t="shared" si="168"/>
        <v>6.4094616558195571E-12</v>
      </c>
      <c r="BH203" s="62">
        <f t="shared" si="194"/>
        <v>293.33333333333974</v>
      </c>
      <c r="BI203" s="62">
        <f ca="1">AVERAGE(OFFSET($BH$3,0,0,'Données projet'!$E$11+1,1))-AVERAGE(OFFSET($H$3,0,0,'Données projet'!$E$11+1,1))</f>
        <v>358.417829688045</v>
      </c>
      <c r="BJ203" s="62">
        <f t="shared" si="206"/>
        <v>394.03759949558713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16.329702442189454</v>
      </c>
      <c r="BQ203" s="23">
        <f>EXP(-LN(2)/25)*BQ202+(1-EXP(-LN(2)/25))/(LN(2)/25)*Calculateur!BL203*Calculateur!BN203*VLOOKUP('Données projet'!$B$11,Paramètres!$A$1:$I$88,3,0)*0.475*44/12</f>
        <v>2.5035376192934415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18.833240061482897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projet'!$B$12,Paramètres!$A$1:$I$88,3,0)*VLOOKUP('Données projet'!$B$12,Paramètres!$A$1:$I$88,5,0)</f>
        <v>-1.3596945791505279E-13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405.42845699663462</v>
      </c>
      <c r="CE203" s="62">
        <f t="shared" si="207"/>
        <v>292.26503163353146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22.885977768251863</v>
      </c>
      <c r="CL203" s="23">
        <f>EXP(-LN(2)/25)*CL202+(1-EXP(-LN(2)/25))/(LN(2)/25)*Calculateur!CG203*Calculateur!CI203*VLOOKUP('Données projet'!$B$12,Paramètres!$A$1:$I$88,3,0)*0.475*44/12</f>
        <v>3.9413947799325446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26.827372548184407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1.1191358811422176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>
        <f>EXP(LN('Données projet'!B88)/'Données projet'!A88)</f>
        <v>1.3064892466607521</v>
      </c>
      <c r="BV205" s="88">
        <f>EXP(LN('Données projet'!B114)/'Données projet'!A114)</f>
        <v>1.244502252163008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4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5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4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6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6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5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4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5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3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">
      <c r="A92" s="131" t="s">
        <v>208</v>
      </c>
    </row>
    <row r="93" spans="1:14" x14ac:dyDescent="0.3">
      <c r="A93" s="131" t="s">
        <v>209</v>
      </c>
    </row>
    <row r="94" spans="1:14" x14ac:dyDescent="0.3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70" zoomScaleNormal="70" workbookViewId="0">
      <selection activeCell="P21" sqref="P21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2.4700000000000002</v>
      </c>
      <c r="C6" s="156">
        <f ca="1">IF(OR('Données projet'!B9="",'Données projet'!C9="",'Données projet'!C9=0%),0,Calculateur!S3)</f>
        <v>329.02356155998905</v>
      </c>
      <c r="D6" s="156">
        <f>IF(OR('Données projet'!B9="",'Données projet'!C9="",'Données projet'!C9=0%),0,Calculateur!T3)</f>
        <v>199.43308683696642</v>
      </c>
      <c r="E6" s="156">
        <f ca="1">MIN(C6,D6)</f>
        <v>199.43308683696642</v>
      </c>
      <c r="F6" s="156">
        <f ca="1">E6*B6</f>
        <v>492.59972448730713</v>
      </c>
      <c r="G6" s="156">
        <f ca="1">F6*(100%-'Données projet'!$C$24)*(100%-'Données projet'!$C$25)*(100%-'Données projet'!$C$26)*(100%-'Données projet'!$C$27)</f>
        <v>443.33975203857642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projet'!$B$9,Paramètres!$A$1:$I$88,9,0)*B6)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443.33975203857642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Cèdre de l'Atlas</v>
      </c>
      <c r="B7" s="163">
        <f>'Données projet'!D10</f>
        <v>2.4</v>
      </c>
      <c r="C7" s="156">
        <f ca="1">IF(OR('Données projet'!B10="",'Données projet'!C10="",'Données projet'!C10=0%),0,Calculateur!AN3)</f>
        <v>160.55473404658039</v>
      </c>
      <c r="D7" s="156">
        <f>IF(OR('Données projet'!B10="",'Données projet'!C10="",'Données projet'!C10=0%),0,Calculateur!AO3)</f>
        <v>188.70262429536223</v>
      </c>
      <c r="E7" s="156">
        <f t="shared" ref="E7:E15" ca="1" si="0">MIN(C7,D7)</f>
        <v>160.55473404658039</v>
      </c>
      <c r="F7" s="156">
        <f t="shared" ref="F7:F15" ca="1" si="1">E7*B7</f>
        <v>385.33136171179291</v>
      </c>
      <c r="G7" s="156">
        <f ca="1">F7*(100%-'Données projet'!$C$24)*(100%-'Données projet'!$C$25)*(100%-'Données projet'!$C$26)*(100%-'Données projet'!$C$27)</f>
        <v>346.7982255406136</v>
      </c>
      <c r="H7" s="164">
        <f>IF(OR('Données projet'!B10="",'Données projet'!C10="",'Données projet'!C10=0%),0,AVERAGE(Calculateur!$AX$3:$AX$33)*B7)</f>
        <v>8.5104622523414477</v>
      </c>
      <c r="I7" s="158">
        <f>H7*(100%-'Données projet'!$C$24)*(100%-'Données projet'!$C$25)*(100%-'Données projet'!$C$26)*(100%-'Données projet'!$C$27)</f>
        <v>7.6594160271073033</v>
      </c>
      <c r="J7" s="159">
        <f>IF(OR('Données projet'!B10="",'Données projet'!C10="",'Données projet'!C10=0%),0,SUM(Calculateur!$AQ$3:$AQ$33)*VLOOKUP('Données projet'!$B$10,Paramètres!$A$1:$I$88,9,0)*B7)</f>
        <v>65.635199999999998</v>
      </c>
      <c r="K7" s="160">
        <f>J7*(100%-'Données projet'!$C$24)*(100%-'Données projet'!$C$25)*(100%-'Données projet'!$C$26)*(100%-'Données projet'!$C$27)</f>
        <v>59.071680000000001</v>
      </c>
      <c r="L7" s="161">
        <f t="shared" ref="L7:L15" ca="1" si="2">G7+I7+K7</f>
        <v>413.5293215677209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Douglas</v>
      </c>
      <c r="B8" s="163">
        <f>'Données projet'!D11</f>
        <v>1.81</v>
      </c>
      <c r="C8" s="156">
        <f ca="1">IF(OR('Données projet'!B11="",'Données projet'!C11="",'Données projet'!C11=0%),0,Calculateur!BI3)</f>
        <v>358.417829688045</v>
      </c>
      <c r="D8" s="156">
        <f>IF(OR('Données projet'!B11="",'Données projet'!C11="",'Données projet'!C11=0%),0,Calculateur!BJ3)</f>
        <v>394.03759949558713</v>
      </c>
      <c r="E8" s="156">
        <f t="shared" ca="1" si="0"/>
        <v>358.417829688045</v>
      </c>
      <c r="F8" s="156">
        <f t="shared" ca="1" si="1"/>
        <v>648.73627173536147</v>
      </c>
      <c r="G8" s="156">
        <f ca="1">F8*(100%-'Données projet'!$C$24)*(100%-'Données projet'!$C$25)*(100%-'Données projet'!$C$26)*(100%-'Données projet'!$C$27)</f>
        <v>583.86264456182539</v>
      </c>
      <c r="H8" s="164">
        <f>IF(OR('Données projet'!B11="",'Données projet'!C11="",'Données projet'!C11=0%),0,AVERAGE(Calculateur!$BS$3:$BS$33)*B8)</f>
        <v>6.329789449918013</v>
      </c>
      <c r="I8" s="158">
        <f>H8*(100%-'Données projet'!$C$24)*(100%-'Données projet'!$C$25)*(100%-'Données projet'!$C$26)*(100%-'Données projet'!$C$27)</f>
        <v>5.6968105049262121</v>
      </c>
      <c r="J8" s="159">
        <f>IF(OR('Données projet'!B11="",'Données projet'!C11="",'Données projet'!C11=0%),0,SUM(Calculateur!$BL$3:$BL$33)*VLOOKUP('Données projet'!$B$11,Paramètres!$A$1:$I$88,9,0)*B8)</f>
        <v>45.919700000000006</v>
      </c>
      <c r="K8" s="160">
        <f>J8*(100%-'Données projet'!$C$24)*(100%-'Données projet'!$C$25)*(100%-'Données projet'!$C$26)*(100%-'Données projet'!$C$27)</f>
        <v>41.32773000000001</v>
      </c>
      <c r="L8" s="161">
        <f t="shared" ca="1" si="2"/>
        <v>630.88718506675161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Pin laricio</v>
      </c>
      <c r="B9" s="163">
        <f>'Données projet'!D12</f>
        <v>3.81</v>
      </c>
      <c r="C9" s="156">
        <f ca="1">IF(OR('Données projet'!B12="",'Données projet'!C12="",'Données projet'!C12=0%),0,Calculateur!CD3)</f>
        <v>405.42845699663462</v>
      </c>
      <c r="D9" s="156">
        <f>IF(OR('Données projet'!B12="",'Données projet'!C12="",'Données projet'!C12=0%),0,Calculateur!CE3)</f>
        <v>292.26503163353146</v>
      </c>
      <c r="E9" s="156">
        <f t="shared" ca="1" si="0"/>
        <v>292.26503163353146</v>
      </c>
      <c r="F9" s="156">
        <f t="shared" ca="1" si="1"/>
        <v>1113.5297705237549</v>
      </c>
      <c r="G9" s="156">
        <f ca="1">F9*(100%-'Données projet'!$C$24)*(100%-'Données projet'!$C$25)*(100%-'Données projet'!$C$26)*(100%-'Données projet'!$C$27)</f>
        <v>1002.1767934713795</v>
      </c>
      <c r="H9" s="164">
        <f>IF(OR('Données projet'!B12="",'Données projet'!C12="",'Données projet'!C12=0%),0,AVERAGE(Calculateur!$CN$3:$CN$33)*B9)</f>
        <v>9.6525467190737633</v>
      </c>
      <c r="I9" s="158">
        <f>H9*(100%-'Données projet'!$C$24)*(100%-'Données projet'!$C$25)*(100%-'Données projet'!$C$26)*(100%-'Données projet'!$C$27)</f>
        <v>8.6872920471663875</v>
      </c>
      <c r="J9" s="159">
        <f>IF(OR('Données projet'!B12="",'Données projet'!C12="",'Données projet'!C12=0%),0,SUM(Calculateur!$CG$3:$CG$33)*VLOOKUP('Données projet'!$B$12,Paramètres!$A$1:$I$88,9,0)*B9)</f>
        <v>109.76609999999999</v>
      </c>
      <c r="K9" s="160">
        <f>J9*(100%-'Données projet'!$C$24)*(100%-'Données projet'!$C$25)*(100%-'Données projet'!$C$26)*(100%-'Données projet'!$C$27)</f>
        <v>98.789490000000001</v>
      </c>
      <c r="L9" s="161">
        <f t="shared" ca="1" si="2"/>
        <v>1109.6535755185459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2640.1971284582164</v>
      </c>
      <c r="G16" s="175">
        <f t="shared" ca="1" si="3"/>
        <v>2376.1774156123947</v>
      </c>
      <c r="H16" s="176">
        <f t="shared" si="3"/>
        <v>24.492798421333227</v>
      </c>
      <c r="I16" s="176">
        <f t="shared" si="3"/>
        <v>22.043518579199905</v>
      </c>
      <c r="J16" s="177">
        <f t="shared" si="3"/>
        <v>221.321</v>
      </c>
      <c r="K16" s="177">
        <f t="shared" si="3"/>
        <v>199.18890000000002</v>
      </c>
      <c r="L16" s="178">
        <f t="shared" ca="1" si="3"/>
        <v>2597.4098341915951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P5" zoomScaleNormal="100" workbookViewId="0">
      <selection activeCell="AE15" sqref="AE1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7" t="s">
        <v>316</v>
      </c>
      <c r="I4" s="337"/>
      <c r="K4" s="334" t="s">
        <v>253</v>
      </c>
      <c r="L4" s="33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6" t="s">
        <v>311</v>
      </c>
      <c r="S7" s="327"/>
      <c r="T7" s="327"/>
      <c r="U7" s="327"/>
      <c r="V7" s="328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-3708.4110085503667</v>
      </c>
      <c r="U10" s="190">
        <f>'Données projet'!D9</f>
        <v>2.4700000000000002</v>
      </c>
      <c r="V10" s="189">
        <f>U10*T10</f>
        <v>-9159.7751911194064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-3251.1836095406611</v>
      </c>
      <c r="U11" s="190">
        <f>'Données projet'!D10</f>
        <v>2.4</v>
      </c>
      <c r="V11" s="189">
        <f t="shared" ref="V11" si="0">U11*T11</f>
        <v>-7802.8406628975863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-362.83253997835959</v>
      </c>
      <c r="U12" s="190">
        <f>'Données projet'!D11</f>
        <v>1.81</v>
      </c>
      <c r="V12" s="189">
        <f t="shared" ref="V12:V19" si="1">U12*T12</f>
        <v>-656.72689736083089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1427.562290439309</v>
      </c>
      <c r="U13" s="190">
        <f>'Données projet'!D12</f>
        <v>3.81</v>
      </c>
      <c r="V13" s="189">
        <f t="shared" si="1"/>
        <v>5439.0123265737675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38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38"/>
      <c r="H16" s="203"/>
      <c r="I16" s="204"/>
      <c r="J16" s="216"/>
      <c r="K16" s="225"/>
      <c r="L16" s="334" t="s">
        <v>254</v>
      </c>
      <c r="M16" s="33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390</v>
      </c>
      <c r="F17" s="288">
        <f>E17</f>
        <v>390</v>
      </c>
      <c r="G17" s="338"/>
      <c r="J17" s="216"/>
      <c r="K17" s="225"/>
      <c r="L17" s="292" t="s">
        <v>290</v>
      </c>
      <c r="M17" s="294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>
        <f>1600*(0.94+0.16+0.43)</f>
        <v>2447.9999999999995</v>
      </c>
      <c r="F18" s="288">
        <v>2448</v>
      </c>
      <c r="G18" s="338"/>
      <c r="J18" s="216"/>
      <c r="K18" s="225"/>
      <c r="L18" s="292" t="s">
        <v>255</v>
      </c>
      <c r="M18" s="294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>
        <v>882</v>
      </c>
      <c r="F19" s="261">
        <v>450</v>
      </c>
      <c r="G19" s="338"/>
      <c r="H19" s="232" t="s">
        <v>178</v>
      </c>
      <c r="I19" s="232" t="s">
        <v>288</v>
      </c>
      <c r="J19" s="260"/>
      <c r="K19" s="183"/>
      <c r="L19" s="334" t="s">
        <v>289</v>
      </c>
      <c r="M19" s="33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>
        <v>882</v>
      </c>
      <c r="F20" s="261">
        <v>450</v>
      </c>
      <c r="G20" s="338"/>
      <c r="H20" s="203">
        <v>0</v>
      </c>
      <c r="I20" s="204">
        <v>418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>
        <v>882</v>
      </c>
      <c r="F21" s="261">
        <v>450</v>
      </c>
      <c r="H21" s="203">
        <f>H20+1</f>
        <v>1</v>
      </c>
      <c r="I21" s="204">
        <v>18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>
        <v>0</v>
      </c>
      <c r="F22" s="261"/>
      <c r="H22" s="203">
        <f t="shared" ref="H22:H80" si="2">H21+1</f>
        <v>2</v>
      </c>
      <c r="I22" s="204">
        <v>18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42</v>
      </c>
      <c r="B23" s="193">
        <f>'Données projet'!D36</f>
        <v>30</v>
      </c>
      <c r="C23" s="206">
        <v>58</v>
      </c>
      <c r="D23" s="194">
        <f>B23*C23</f>
        <v>1740</v>
      </c>
      <c r="E23" s="206"/>
      <c r="F23" s="261"/>
      <c r="H23" s="203">
        <f t="shared" si="2"/>
        <v>3</v>
      </c>
      <c r="I23" s="204">
        <v>18</v>
      </c>
      <c r="K23" s="225"/>
      <c r="L23" s="336" t="s">
        <v>260</v>
      </c>
      <c r="M23" s="336"/>
      <c r="N23" s="336"/>
      <c r="O23" s="25"/>
      <c r="P23" s="25"/>
      <c r="Q23" s="265"/>
      <c r="R23" s="25"/>
      <c r="S23" s="185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-20045.15114516476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48</v>
      </c>
      <c r="B24" s="193">
        <f>'Données projet'!D37</f>
        <v>28</v>
      </c>
      <c r="C24" s="206">
        <v>58</v>
      </c>
      <c r="D24" s="194">
        <f t="shared" ref="D24:D42" si="3">B24*C24</f>
        <v>1624</v>
      </c>
      <c r="E24" s="206"/>
      <c r="F24" s="264"/>
      <c r="H24" s="203">
        <f t="shared" si="2"/>
        <v>4</v>
      </c>
      <c r="I24" s="204">
        <v>18</v>
      </c>
      <c r="K24" s="225"/>
      <c r="O24" s="25"/>
      <c r="P24" s="25"/>
      <c r="Q24" s="265"/>
      <c r="R24" s="25"/>
      <c r="S24" s="185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56</v>
      </c>
      <c r="B25" s="193">
        <f>'Données projet'!D38</f>
        <v>36</v>
      </c>
      <c r="C25" s="206">
        <v>57.999999999999993</v>
      </c>
      <c r="D25" s="194">
        <f t="shared" si="3"/>
        <v>2087.9999999999995</v>
      </c>
      <c r="E25" s="206"/>
      <c r="F25" s="264"/>
      <c r="G25" s="1"/>
      <c r="H25" s="203">
        <f t="shared" si="2"/>
        <v>5</v>
      </c>
      <c r="I25" s="204">
        <v>18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3">
        <f ca="1">T23-T24</f>
        <v>-20045.15114516476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64</v>
      </c>
      <c r="B26" s="193">
        <f>'Données projet'!D39</f>
        <v>41</v>
      </c>
      <c r="C26" s="206">
        <v>105.99999999999999</v>
      </c>
      <c r="D26" s="194">
        <f t="shared" si="3"/>
        <v>4345.9999999999991</v>
      </c>
      <c r="E26" s="206"/>
      <c r="F26" s="264"/>
      <c r="G26" s="259"/>
      <c r="H26" s="203">
        <f t="shared" si="2"/>
        <v>6</v>
      </c>
      <c r="I26" s="204">
        <v>18</v>
      </c>
      <c r="K26" s="225"/>
      <c r="L26" s="320" t="s">
        <v>258</v>
      </c>
      <c r="M26" s="321"/>
      <c r="N26" s="321"/>
      <c r="O26" s="321"/>
      <c r="P26" s="322"/>
      <c r="Q26" s="265"/>
      <c r="R26" s="25"/>
      <c r="S26" s="198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72</v>
      </c>
      <c r="B27" s="193">
        <f>'Données projet'!D40</f>
        <v>32</v>
      </c>
      <c r="C27" s="206">
        <v>105.99999999999999</v>
      </c>
      <c r="D27" s="194">
        <f t="shared" si="3"/>
        <v>3391.9999999999995</v>
      </c>
      <c r="E27" s="206"/>
      <c r="F27" s="264"/>
      <c r="G27" s="259"/>
      <c r="H27" s="203">
        <f t="shared" si="2"/>
        <v>7</v>
      </c>
      <c r="I27" s="204">
        <v>18</v>
      </c>
      <c r="K27" s="225"/>
      <c r="L27" s="323"/>
      <c r="M27" s="324"/>
      <c r="N27" s="324"/>
      <c r="O27" s="324"/>
      <c r="P27" s="325"/>
      <c r="Q27" s="265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81</v>
      </c>
      <c r="B28" s="193">
        <f>'Données projet'!D41</f>
        <v>32</v>
      </c>
      <c r="C28" s="206">
        <v>105.99999999999999</v>
      </c>
      <c r="D28" s="194">
        <f t="shared" si="3"/>
        <v>3391.9999999999995</v>
      </c>
      <c r="E28" s="206"/>
      <c r="F28" s="264"/>
      <c r="G28" s="222"/>
      <c r="H28" s="203">
        <f t="shared" si="2"/>
        <v>8</v>
      </c>
      <c r="I28" s="204">
        <v>18</v>
      </c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90</v>
      </c>
      <c r="B29" s="193">
        <f>'Données projet'!D42</f>
        <v>30</v>
      </c>
      <c r="C29" s="206">
        <v>105.99999999999999</v>
      </c>
      <c r="D29" s="194">
        <f t="shared" si="3"/>
        <v>3179.9999999999995</v>
      </c>
      <c r="E29" s="206"/>
      <c r="F29" s="264"/>
      <c r="G29" s="218"/>
      <c r="H29" s="203">
        <f t="shared" si="2"/>
        <v>9</v>
      </c>
      <c r="I29" s="204">
        <v>18</v>
      </c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102</v>
      </c>
      <c r="B30" s="193">
        <f>'Données projet'!D43</f>
        <v>41</v>
      </c>
      <c r="C30" s="206">
        <v>105.99999999999999</v>
      </c>
      <c r="D30" s="194">
        <f t="shared" si="3"/>
        <v>4345.9999999999991</v>
      </c>
      <c r="E30" s="206"/>
      <c r="F30" s="264"/>
      <c r="G30" s="218"/>
      <c r="H30" s="203">
        <f t="shared" si="2"/>
        <v>10</v>
      </c>
      <c r="I30" s="204">
        <v>18</v>
      </c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114</v>
      </c>
      <c r="B31" s="193">
        <f>'Données projet'!D44</f>
        <v>37</v>
      </c>
      <c r="C31" s="206">
        <v>105.99999999999999</v>
      </c>
      <c r="D31" s="194">
        <f t="shared" si="3"/>
        <v>3921.9999999999995</v>
      </c>
      <c r="E31" s="206"/>
      <c r="F31" s="264"/>
      <c r="G31" s="218"/>
      <c r="H31" s="203">
        <f t="shared" si="2"/>
        <v>11</v>
      </c>
      <c r="I31" s="204">
        <v>18</v>
      </c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126</v>
      </c>
      <c r="B32" s="193">
        <f>'Données projet'!D45</f>
        <v>39</v>
      </c>
      <c r="C32" s="206">
        <v>105.99999999999999</v>
      </c>
      <c r="D32" s="194">
        <f t="shared" si="3"/>
        <v>4133.9999999999991</v>
      </c>
      <c r="E32" s="206"/>
      <c r="F32" s="264"/>
      <c r="G32" s="218"/>
      <c r="H32" s="203">
        <f t="shared" si="2"/>
        <v>12</v>
      </c>
      <c r="I32" s="204">
        <v>18</v>
      </c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138</v>
      </c>
      <c r="B33" s="193">
        <f>'Données projet'!D46</f>
        <v>39</v>
      </c>
      <c r="C33" s="206">
        <v>105.99999999999999</v>
      </c>
      <c r="D33" s="194">
        <f t="shared" si="3"/>
        <v>4133.9999999999991</v>
      </c>
      <c r="E33" s="206"/>
      <c r="F33" s="264"/>
      <c r="G33" s="218"/>
      <c r="H33" s="203">
        <f t="shared" si="2"/>
        <v>13</v>
      </c>
      <c r="I33" s="204">
        <v>18</v>
      </c>
      <c r="K33" s="183"/>
      <c r="L33" s="5"/>
      <c r="M33" s="5"/>
      <c r="N33" s="5"/>
      <c r="O33" s="207">
        <v>0</v>
      </c>
      <c r="P33" s="197">
        <f t="shared" ref="P33:P64" si="4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153</v>
      </c>
      <c r="B34" s="193">
        <f>'Données projet'!D47</f>
        <v>296</v>
      </c>
      <c r="C34" s="206">
        <v>105.99999999999999</v>
      </c>
      <c r="D34" s="194">
        <f t="shared" si="3"/>
        <v>31375.999999999996</v>
      </c>
      <c r="E34" s="206"/>
      <c r="F34" s="264"/>
      <c r="G34" s="218"/>
      <c r="H34" s="203">
        <f t="shared" si="2"/>
        <v>14</v>
      </c>
      <c r="I34" s="204">
        <v>18</v>
      </c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3"/>
        <v>0</v>
      </c>
      <c r="E35" s="206"/>
      <c r="F35" s="264"/>
      <c r="G35" s="218"/>
      <c r="H35" s="203">
        <f t="shared" si="2"/>
        <v>15</v>
      </c>
      <c r="I35" s="204">
        <v>18</v>
      </c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3"/>
        <v>0</v>
      </c>
      <c r="E36" s="206"/>
      <c r="F36" s="264"/>
      <c r="G36" s="218"/>
      <c r="H36" s="203">
        <f t="shared" si="2"/>
        <v>16</v>
      </c>
      <c r="I36" s="204">
        <v>18</v>
      </c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3"/>
        <v>0</v>
      </c>
      <c r="E37" s="206"/>
      <c r="F37" s="264"/>
      <c r="G37" s="218"/>
      <c r="H37" s="203">
        <f t="shared" si="2"/>
        <v>17</v>
      </c>
      <c r="I37" s="204">
        <v>18</v>
      </c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3"/>
        <v>0</v>
      </c>
      <c r="E38" s="206"/>
      <c r="F38" s="264"/>
      <c r="G38" s="218"/>
      <c r="H38" s="203">
        <f t="shared" si="2"/>
        <v>18</v>
      </c>
      <c r="I38" s="204">
        <v>18</v>
      </c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3"/>
        <v>0</v>
      </c>
      <c r="E39" s="206"/>
      <c r="F39" s="264"/>
      <c r="G39" s="218"/>
      <c r="H39" s="203">
        <f t="shared" si="2"/>
        <v>19</v>
      </c>
      <c r="I39" s="204">
        <v>18</v>
      </c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3"/>
        <v>0</v>
      </c>
      <c r="E40" s="206"/>
      <c r="F40" s="264"/>
      <c r="G40" s="218"/>
      <c r="H40" s="203">
        <f t="shared" si="2"/>
        <v>20</v>
      </c>
      <c r="I40" s="204">
        <v>18</v>
      </c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3"/>
        <v>0</v>
      </c>
      <c r="E41" s="206"/>
      <c r="F41" s="264"/>
      <c r="G41" s="218"/>
      <c r="H41" s="203">
        <f t="shared" si="2"/>
        <v>21</v>
      </c>
      <c r="I41" s="204">
        <v>18</v>
      </c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3"/>
        <v>0</v>
      </c>
      <c r="E42" s="206"/>
      <c r="F42" s="264"/>
      <c r="G42" s="218"/>
      <c r="H42" s="203">
        <f t="shared" si="2"/>
        <v>22</v>
      </c>
      <c r="I42" s="204">
        <v>18</v>
      </c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>
        <f t="shared" si="2"/>
        <v>23</v>
      </c>
      <c r="I43" s="204">
        <v>18</v>
      </c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>
        <f t="shared" si="2"/>
        <v>24</v>
      </c>
      <c r="I44" s="204">
        <v>18</v>
      </c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>
        <f t="shared" si="2"/>
        <v>25</v>
      </c>
      <c r="I45" s="204">
        <v>18</v>
      </c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>
        <f t="shared" si="2"/>
        <v>26</v>
      </c>
      <c r="I46" s="204">
        <v>18</v>
      </c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>
        <f t="shared" si="2"/>
        <v>27</v>
      </c>
      <c r="I47" s="204">
        <v>18</v>
      </c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390</v>
      </c>
      <c r="F48" s="262"/>
      <c r="G48" s="218"/>
      <c r="H48" s="203">
        <f t="shared" si="2"/>
        <v>28</v>
      </c>
      <c r="I48" s="204">
        <v>18</v>
      </c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>
        <f>1200*(1.18+0.16+0.43)</f>
        <v>2123.9999999999995</v>
      </c>
      <c r="F49" s="262"/>
      <c r="G49" s="219"/>
      <c r="H49" s="203">
        <f t="shared" si="2"/>
        <v>29</v>
      </c>
      <c r="I49" s="204">
        <v>18</v>
      </c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>
        <v>774</v>
      </c>
      <c r="F50" s="262"/>
      <c r="G50" s="221"/>
      <c r="H50" s="203">
        <f t="shared" si="2"/>
        <v>30</v>
      </c>
      <c r="I50" s="204">
        <v>18</v>
      </c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>
        <v>774</v>
      </c>
      <c r="F51" s="262"/>
      <c r="G51" s="221"/>
      <c r="H51" s="203">
        <f t="shared" si="2"/>
        <v>31</v>
      </c>
      <c r="I51" s="204">
        <v>18</v>
      </c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>
        <v>774</v>
      </c>
      <c r="F52" s="262"/>
      <c r="G52" s="221"/>
      <c r="H52" s="203">
        <f t="shared" si="2"/>
        <v>32</v>
      </c>
      <c r="I52" s="204">
        <v>18</v>
      </c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>
        <v>0</v>
      </c>
      <c r="F53" s="262"/>
      <c r="G53" s="222"/>
      <c r="H53" s="203">
        <f t="shared" si="2"/>
        <v>33</v>
      </c>
      <c r="I53" s="204">
        <v>18</v>
      </c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34.5</v>
      </c>
      <c r="C54" s="204">
        <v>4.999999380209827</v>
      </c>
      <c r="D54" s="191">
        <f>B54*C54</f>
        <v>172.49997861723904</v>
      </c>
      <c r="E54" s="206"/>
      <c r="F54" s="263"/>
      <c r="G54" s="222"/>
      <c r="H54" s="203">
        <f t="shared" si="2"/>
        <v>34</v>
      </c>
      <c r="I54" s="204">
        <v>18</v>
      </c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29.1</v>
      </c>
      <c r="C55" s="204">
        <v>32.499999903959484</v>
      </c>
      <c r="D55" s="191">
        <f t="shared" ref="D55:D73" si="5">B55*C55</f>
        <v>945.74999720522101</v>
      </c>
      <c r="E55" s="206"/>
      <c r="F55" s="263"/>
      <c r="G55" s="222"/>
      <c r="H55" s="203">
        <f t="shared" si="2"/>
        <v>35</v>
      </c>
      <c r="I55" s="204">
        <v>18</v>
      </c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40</v>
      </c>
      <c r="B56" s="193">
        <f>'Données projet'!D64</f>
        <v>37.280000000000008</v>
      </c>
      <c r="C56" s="204">
        <v>32.499999903959484</v>
      </c>
      <c r="D56" s="191">
        <f t="shared" si="5"/>
        <v>1211.5999964196099</v>
      </c>
      <c r="E56" s="206"/>
      <c r="F56" s="263"/>
      <c r="G56" s="222"/>
      <c r="H56" s="203">
        <f t="shared" si="2"/>
        <v>36</v>
      </c>
      <c r="I56" s="204">
        <v>18</v>
      </c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60</v>
      </c>
      <c r="B57" s="193">
        <f>'Données projet'!D65</f>
        <v>299.12</v>
      </c>
      <c r="C57" s="204">
        <v>43.499999835218205</v>
      </c>
      <c r="D57" s="191">
        <f t="shared" si="5"/>
        <v>13011.719950710469</v>
      </c>
      <c r="E57" s="206"/>
      <c r="F57" s="263"/>
      <c r="G57" s="222"/>
      <c r="H57" s="203">
        <f>H56+1</f>
        <v>37</v>
      </c>
      <c r="I57" s="204">
        <v>18</v>
      </c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5"/>
        <v>0</v>
      </c>
      <c r="E58" s="206"/>
      <c r="F58" s="263"/>
      <c r="G58" s="222"/>
      <c r="H58" s="203">
        <f t="shared" si="2"/>
        <v>38</v>
      </c>
      <c r="I58" s="204">
        <v>18</v>
      </c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5"/>
        <v>0</v>
      </c>
      <c r="E59" s="206"/>
      <c r="F59" s="263"/>
      <c r="G59" s="222"/>
      <c r="H59" s="203">
        <f t="shared" si="2"/>
        <v>39</v>
      </c>
      <c r="I59" s="204">
        <v>18</v>
      </c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5"/>
        <v>0</v>
      </c>
      <c r="E60" s="206"/>
      <c r="F60" s="263"/>
      <c r="G60" s="223"/>
      <c r="H60" s="203">
        <f t="shared" si="2"/>
        <v>40</v>
      </c>
      <c r="I60" s="204">
        <v>18</v>
      </c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5"/>
        <v>0</v>
      </c>
      <c r="E61" s="206"/>
      <c r="F61" s="263"/>
      <c r="G61" s="223"/>
      <c r="H61" s="203">
        <f t="shared" si="2"/>
        <v>41</v>
      </c>
      <c r="I61" s="204">
        <v>18</v>
      </c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5"/>
        <v>0</v>
      </c>
      <c r="E62" s="206"/>
      <c r="F62" s="263"/>
      <c r="G62" s="223"/>
      <c r="H62" s="203">
        <f t="shared" si="2"/>
        <v>42</v>
      </c>
      <c r="I62" s="204">
        <v>18</v>
      </c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5"/>
        <v>0</v>
      </c>
      <c r="E63" s="206"/>
      <c r="F63" s="263"/>
      <c r="G63" s="223"/>
      <c r="H63" s="203">
        <f t="shared" si="2"/>
        <v>43</v>
      </c>
      <c r="I63" s="204">
        <v>18</v>
      </c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5"/>
        <v>0</v>
      </c>
      <c r="E64" s="206"/>
      <c r="F64" s="263"/>
      <c r="G64" s="223"/>
      <c r="H64" s="203">
        <f t="shared" si="2"/>
        <v>44</v>
      </c>
      <c r="I64" s="204">
        <v>18</v>
      </c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5"/>
        <v>0</v>
      </c>
      <c r="E65" s="206"/>
      <c r="F65" s="263"/>
      <c r="G65" s="223"/>
      <c r="H65" s="203">
        <f t="shared" si="2"/>
        <v>45</v>
      </c>
      <c r="I65" s="204">
        <v>18</v>
      </c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6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5"/>
        <v>0</v>
      </c>
      <c r="E66" s="206"/>
      <c r="F66" s="263"/>
      <c r="G66" s="223"/>
      <c r="H66" s="203">
        <f t="shared" si="2"/>
        <v>46</v>
      </c>
      <c r="I66" s="204">
        <v>18</v>
      </c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6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5"/>
        <v>0</v>
      </c>
      <c r="E67" s="206"/>
      <c r="F67" s="263"/>
      <c r="G67" s="223"/>
      <c r="H67" s="203">
        <f t="shared" si="2"/>
        <v>47</v>
      </c>
      <c r="I67" s="204">
        <v>18</v>
      </c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6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5"/>
        <v>0</v>
      </c>
      <c r="E68" s="206"/>
      <c r="F68" s="263"/>
      <c r="G68" s="223"/>
      <c r="H68" s="203">
        <f t="shared" si="2"/>
        <v>48</v>
      </c>
      <c r="I68" s="204">
        <v>18</v>
      </c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6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5"/>
        <v>0</v>
      </c>
      <c r="E69" s="206"/>
      <c r="F69" s="263"/>
      <c r="G69" s="223"/>
      <c r="H69" s="203">
        <f t="shared" si="2"/>
        <v>49</v>
      </c>
      <c r="I69" s="204">
        <v>18</v>
      </c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6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5"/>
        <v>0</v>
      </c>
      <c r="E70" s="206"/>
      <c r="F70" s="263"/>
      <c r="G70" s="223"/>
      <c r="H70" s="203">
        <f t="shared" si="2"/>
        <v>50</v>
      </c>
      <c r="I70" s="204">
        <v>18</v>
      </c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6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5"/>
        <v>0</v>
      </c>
      <c r="E71" s="206"/>
      <c r="F71" s="263"/>
      <c r="G71" s="223"/>
      <c r="H71" s="203">
        <f t="shared" si="2"/>
        <v>51</v>
      </c>
      <c r="I71" s="204">
        <v>18</v>
      </c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6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5"/>
        <v>0</v>
      </c>
      <c r="E72" s="206"/>
      <c r="F72" s="263"/>
      <c r="G72" s="223"/>
      <c r="H72" s="203">
        <f t="shared" si="2"/>
        <v>52</v>
      </c>
      <c r="I72" s="204">
        <v>18</v>
      </c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6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5"/>
        <v>0</v>
      </c>
      <c r="E73" s="206"/>
      <c r="F73" s="263"/>
      <c r="G73" s="223"/>
      <c r="H73" s="203">
        <f t="shared" si="2"/>
        <v>53</v>
      </c>
      <c r="I73" s="204">
        <v>18</v>
      </c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6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>
        <f t="shared" si="2"/>
        <v>54</v>
      </c>
      <c r="I74" s="204">
        <v>18</v>
      </c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6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>
        <f t="shared" si="2"/>
        <v>55</v>
      </c>
      <c r="I75" s="204">
        <v>18</v>
      </c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6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>
        <f t="shared" si="2"/>
        <v>56</v>
      </c>
      <c r="I76" s="204">
        <v>18</v>
      </c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6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>
        <f t="shared" si="2"/>
        <v>57</v>
      </c>
      <c r="I77" s="204">
        <v>18</v>
      </c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6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>
        <f t="shared" si="2"/>
        <v>58</v>
      </c>
      <c r="I78" s="204">
        <v>18</v>
      </c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6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390</v>
      </c>
      <c r="F79" s="262"/>
      <c r="G79" s="223"/>
      <c r="H79" s="203">
        <f>H78+1</f>
        <v>59</v>
      </c>
      <c r="I79" s="204">
        <v>18</v>
      </c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6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>
        <f>1600*(0.54+0.16+0.43)</f>
        <v>1808.0000000000002</v>
      </c>
      <c r="F80" s="262"/>
      <c r="G80" s="221"/>
      <c r="H80" s="203">
        <f t="shared" si="2"/>
        <v>60</v>
      </c>
      <c r="I80" s="204">
        <v>18</v>
      </c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6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>
        <v>882</v>
      </c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6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>
        <v>882</v>
      </c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6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>
        <v>882</v>
      </c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6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>
        <v>0</v>
      </c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6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18</v>
      </c>
      <c r="B85" s="193">
        <f>'Données projet'!D88</f>
        <v>0</v>
      </c>
      <c r="C85" s="204">
        <v>10.999999816346017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6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59</v>
      </c>
      <c r="C86" s="204">
        <v>23.000000307140834</v>
      </c>
      <c r="D86" s="191">
        <f t="shared" ref="D86:D104" si="7">B86*C86</f>
        <v>1357.0000181213093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6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32</v>
      </c>
      <c r="B87" s="193">
        <f>'Données projet'!D90</f>
        <v>79</v>
      </c>
      <c r="C87" s="204">
        <v>22.999999843037216</v>
      </c>
      <c r="D87" s="191">
        <f t="shared" si="7"/>
        <v>1816.9999875999401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6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39</v>
      </c>
      <c r="B88" s="193">
        <f>'Données projet'!D91</f>
        <v>80</v>
      </c>
      <c r="C88" s="204">
        <v>46.999999827884636</v>
      </c>
      <c r="D88" s="191">
        <f t="shared" si="7"/>
        <v>3759.9999862307709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6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46</v>
      </c>
      <c r="B89" s="193">
        <f>'Données projet'!D92</f>
        <v>86</v>
      </c>
      <c r="C89" s="204">
        <v>47.000000013965725</v>
      </c>
      <c r="D89" s="191">
        <f t="shared" si="7"/>
        <v>4042.0000012010523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6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53</v>
      </c>
      <c r="B90" s="193">
        <f>'Données projet'!D93</f>
        <v>80</v>
      </c>
      <c r="C90" s="204">
        <v>47.000000013965725</v>
      </c>
      <c r="D90" s="191">
        <f t="shared" si="7"/>
        <v>3760.0000011172579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6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60</v>
      </c>
      <c r="B91" s="193">
        <f>'Données projet'!D94</f>
        <v>97</v>
      </c>
      <c r="C91" s="204">
        <v>47.000000013965725</v>
      </c>
      <c r="D91" s="191">
        <f t="shared" si="7"/>
        <v>4559.0000013546751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6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67</v>
      </c>
      <c r="B92" s="193">
        <f>'Données projet'!D95</f>
        <v>521</v>
      </c>
      <c r="C92" s="204">
        <v>47.000000013965725</v>
      </c>
      <c r="D92" s="191">
        <f t="shared" si="7"/>
        <v>24487.000007276143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6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7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6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7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6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7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6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7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6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7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8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7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8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7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8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8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8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7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8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8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7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8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8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8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8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8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8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390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8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>
        <v>1552</v>
      </c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8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>
        <v>882</v>
      </c>
      <c r="F112" s="287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8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>
        <v>882</v>
      </c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8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>
        <v>882</v>
      </c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>
        <v>0</v>
      </c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22</v>
      </c>
      <c r="B116" s="193">
        <f>'Données projet'!D114</f>
        <v>16</v>
      </c>
      <c r="C116" s="204">
        <v>8.5000006894764724</v>
      </c>
      <c r="D116" s="191">
        <f>B116*C116</f>
        <v>136.00001103162356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17</v>
      </c>
      <c r="C117" s="204">
        <v>15.499999777616177</v>
      </c>
      <c r="D117" s="191">
        <f t="shared" ref="D117:D135" si="9">B117*C117</f>
        <v>263.49999621947501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34</v>
      </c>
      <c r="C118" s="204">
        <v>15.500000020841096</v>
      </c>
      <c r="D118" s="191">
        <f t="shared" si="9"/>
        <v>527.00000070859721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41</v>
      </c>
      <c r="C119" s="204">
        <v>29.499999963126999</v>
      </c>
      <c r="D119" s="191">
        <f t="shared" si="9"/>
        <v>1209.499998488207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41</v>
      </c>
      <c r="C120" s="204">
        <v>29.500000022620341</v>
      </c>
      <c r="D120" s="191">
        <f t="shared" si="9"/>
        <v>1209.500000927434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53</v>
      </c>
      <c r="C121" s="204">
        <v>29.500000022620341</v>
      </c>
      <c r="D121" s="191">
        <f t="shared" si="9"/>
        <v>1563.5000011988782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53</v>
      </c>
      <c r="C122" s="204">
        <v>29.500000022620341</v>
      </c>
      <c r="D122" s="191">
        <f t="shared" si="9"/>
        <v>1563.5000011988782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58</v>
      </c>
      <c r="B123" s="193">
        <f>'Données projet'!D121</f>
        <v>78</v>
      </c>
      <c r="C123" s="204">
        <v>29.500000022620341</v>
      </c>
      <c r="D123" s="191">
        <f t="shared" si="9"/>
        <v>2301.0000017643865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66</v>
      </c>
      <c r="B124" s="193">
        <f>'Données projet'!D122</f>
        <v>65</v>
      </c>
      <c r="C124" s="204">
        <v>29.500000022620341</v>
      </c>
      <c r="D124" s="191">
        <f t="shared" si="9"/>
        <v>1917.5000014703221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74</v>
      </c>
      <c r="B125" s="193">
        <f>'Données projet'!D123</f>
        <v>37</v>
      </c>
      <c r="C125" s="204">
        <v>29.500000022620341</v>
      </c>
      <c r="D125" s="191">
        <f t="shared" si="9"/>
        <v>1091.5000008369527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82</v>
      </c>
      <c r="B126" s="193">
        <f>'Données projet'!D124</f>
        <v>26</v>
      </c>
      <c r="C126" s="204">
        <v>29.500000022620341</v>
      </c>
      <c r="D126" s="191">
        <f t="shared" si="9"/>
        <v>767.00000058812884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90</v>
      </c>
      <c r="B127" s="193">
        <f>'Données projet'!D125</f>
        <v>596.20000000000005</v>
      </c>
      <c r="C127" s="204">
        <v>29.500000022620341</v>
      </c>
      <c r="D127" s="191">
        <f t="shared" si="9"/>
        <v>17587.900013486247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1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1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1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1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1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1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3" ma:contentTypeDescription="Crée un document." ma:contentTypeScope="" ma:versionID="f230247385dada5798064908a0388c21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975fbde808ff08711a97270bb9b29612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4a0a9159-faee-4929-bc18-6e0874945f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2D8F10-4FAB-4066-AF32-E34520513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F3C032-13F7-4F75-989C-8D1C4CC3F832}">
  <ds:schemaRefs>
    <ds:schemaRef ds:uri="http://schemas.microsoft.com/office/2006/metadata/properties"/>
    <ds:schemaRef ds:uri="http://schemas.microsoft.com/office/infopath/2007/PartnerControls"/>
    <ds:schemaRef ds:uri="4a0a9159-faee-4929-bc18-6e0874945fe3"/>
  </ds:schemaRefs>
</ds:datastoreItem>
</file>

<file path=customXml/itemProps3.xml><?xml version="1.0" encoding="utf-8"?>
<ds:datastoreItem xmlns:ds="http://schemas.openxmlformats.org/officeDocument/2006/customXml" ds:itemID="{611DDC1F-7662-44C6-8077-FA9DFCD18A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OCCI_OG</dc:creator>
  <cp:lastModifiedBy>Aurélien Blond</cp:lastModifiedBy>
  <dcterms:created xsi:type="dcterms:W3CDTF">2021-02-01T08:22:39Z</dcterms:created>
  <dcterms:modified xsi:type="dcterms:W3CDTF">2022-04-26T15:50:42Z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Order">
    <vt:r8>1758400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