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Contrats NIF/Contrats NIF - Propriétaires/2CHAV-120 - A. d'Aviau de Ternay - Chavagne/Administration/LBC/Projet/Dossier - Mars22/"/>
    </mc:Choice>
  </mc:AlternateContent>
  <xr:revisionPtr revIDLastSave="124" documentId="13_ncr:1_{53C84713-EF6A-42DB-9F1D-10739D52601F}" xr6:coauthVersionLast="47" xr6:coauthVersionMax="47" xr10:uidLastSave="{3B49B3B8-A97D-49AB-94AC-61C442B8962D}"/>
  <bookViews>
    <workbookView xWindow="-108" yWindow="-108" windowWidth="23256" windowHeight="12576" tabRatio="742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0" i="6" l="1"/>
  <c r="H22" i="6" l="1"/>
  <c r="H23" i="6" s="1"/>
  <c r="H24" i="6" s="1"/>
  <c r="H25" i="6" s="1"/>
  <c r="H26" i="6" s="1"/>
  <c r="H27" i="6" s="1"/>
  <c r="H28" i="6" s="1"/>
  <c r="H29" i="6" s="1"/>
  <c r="H30" i="6" s="1"/>
  <c r="H31" i="6" s="1"/>
  <c r="H32" i="6" s="1"/>
  <c r="H33" i="6" s="1"/>
  <c r="H34" i="6" s="1"/>
  <c r="H35" i="6" s="1"/>
  <c r="H36" i="6" s="1"/>
  <c r="H37" i="6" s="1"/>
  <c r="H38" i="6" s="1"/>
  <c r="H39" i="6" s="1"/>
  <c r="H40" i="6" s="1"/>
  <c r="H41" i="6" s="1"/>
  <c r="H42" i="6" s="1"/>
  <c r="H43" i="6" s="1"/>
  <c r="H44" i="6" s="1"/>
  <c r="H45" i="6" s="1"/>
  <c r="H46" i="6" s="1"/>
  <c r="H47" i="6" s="1"/>
  <c r="H48" i="6" s="1"/>
  <c r="H49" i="6" s="1"/>
  <c r="H50" i="6" s="1"/>
  <c r="H51" i="6" s="1"/>
  <c r="H52" i="6" s="1"/>
  <c r="H53" i="6" s="1"/>
  <c r="H54" i="6" s="1"/>
  <c r="H55" i="6" s="1"/>
  <c r="H56" i="6" s="1"/>
  <c r="H57" i="6" s="1"/>
  <c r="H58" i="6" s="1"/>
  <c r="H59" i="6" s="1"/>
  <c r="H60" i="6" s="1"/>
  <c r="H61" i="6" s="1"/>
  <c r="H62" i="6" s="1"/>
  <c r="H63" i="6" s="1"/>
  <c r="H64" i="6" s="1"/>
  <c r="H65" i="6" s="1"/>
  <c r="H66" i="6" s="1"/>
  <c r="H67" i="6" s="1"/>
  <c r="H68" i="6" s="1"/>
  <c r="H69" i="6" s="1"/>
  <c r="H70" i="6" s="1"/>
  <c r="H71" i="6" s="1"/>
  <c r="H72" i="6" s="1"/>
  <c r="H73" i="6" s="1"/>
  <c r="H74" i="6" s="1"/>
  <c r="H75" i="6" s="1"/>
  <c r="H76" i="6" s="1"/>
  <c r="H77" i="6" s="1"/>
  <c r="H78" i="6" s="1"/>
  <c r="H79" i="6" s="1"/>
  <c r="H80" i="6" s="1"/>
  <c r="H21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HI4" i="2" s="1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X4" i="2"/>
  <c r="EA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HI5" i="2" s="1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I6" i="2" s="1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EC6" i="2" s="1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A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FS7" i="2"/>
  <c r="EV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I8" i="2" s="1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FS8" i="2" s="1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C8" i="2" l="1"/>
  <c r="HG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HG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EX11" i="2" s="1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FS11" i="2"/>
  <c r="EW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HI12" i="2" s="1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FS12" i="2" l="1"/>
  <c r="EV12" i="2"/>
  <c r="HH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S13" i="2" s="1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EC13" i="2"/>
  <c r="HG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I14" i="2"/>
  <c r="HG14" i="2"/>
  <c r="EB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V15" i="2"/>
  <c r="FS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EC16" i="2" s="1"/>
  <c r="DB16" i="2"/>
  <c r="DZ16" i="2"/>
  <c r="DL16" i="2"/>
  <c r="DE16" i="2"/>
  <c r="FM16" i="2"/>
  <c r="FS16" i="2" s="1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X16" i="2" l="1"/>
  <c r="HI16" i="2"/>
  <c r="EA16" i="2"/>
  <c r="HH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HI17" i="2" s="1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EC17" i="2" s="1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EX17" i="2" l="1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C18" i="2" s="1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V18" i="2"/>
  <c r="EW18" i="2"/>
  <c r="HG18" i="2"/>
  <c r="EX18" i="2"/>
  <c r="FS18" i="2"/>
  <c r="EA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EC19" i="2" s="1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DD20" i="2"/>
  <c r="X20" i="2"/>
  <c r="W20" i="2"/>
  <c r="HB20" i="2"/>
  <c r="HC20" i="2"/>
  <c r="HI20" i="2" s="1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HH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EX21" i="2" s="1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HI22" i="2"/>
  <c r="EW22" i="2"/>
  <c r="HG22" i="2"/>
  <c r="EB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C23" i="2" l="1"/>
  <c r="HI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I24" i="2" s="1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C24" i="2"/>
  <c r="EW24" i="2"/>
  <c r="HG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S26" i="2" s="1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FS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X28" i="2"/>
  <c r="EV28" i="2"/>
  <c r="EC28" i="2"/>
  <c r="EB28" i="2"/>
  <c r="HG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EX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I30" i="2" s="1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X30" i="2" l="1"/>
  <c r="EV30" i="2"/>
  <c r="EB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FS32" i="2" s="1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HI32" i="2"/>
  <c r="EC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FS35" i="2" s="1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I35" i="2"/>
  <c r="FQ35" i="2"/>
  <c r="HH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Q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EB37" i="2"/>
  <c r="HG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G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I39" i="2" s="1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EX39" i="2" s="1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FS39" i="2" l="1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FS40" i="2" l="1"/>
  <c r="HG40" i="2"/>
  <c r="EX40" i="2"/>
  <c r="HI40" i="2"/>
  <c r="HH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HI41" i="2" s="1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C42" i="2"/>
  <c r="EA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FS43" i="2" s="1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HI44" i="2" s="1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EC45" i="2" s="1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W46" i="2"/>
  <c r="HG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C47" i="2"/>
  <c r="FS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FS48" i="2" s="1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EX48" i="2"/>
  <c r="HH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EX49" i="2" s="1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W50" i="2"/>
  <c r="HG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I51" i="2" s="1"/>
  <c r="HF51" i="2"/>
  <c r="GK51" i="2"/>
  <c r="HB51" i="2"/>
  <c r="GS51" i="2"/>
  <c r="GR51" i="2"/>
  <c r="GG51" i="2"/>
  <c r="FX51" i="2"/>
  <c r="GH51" i="2"/>
  <c r="FL51" i="2"/>
  <c r="FC51" i="2"/>
  <c r="FW51" i="2"/>
  <c r="FM51" i="2"/>
  <c r="FS51" i="2" s="1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EC52" i="2" s="1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B52" i="2"/>
  <c r="EX52" i="2"/>
  <c r="EV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EC53" i="2" s="1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FS55" i="2" s="1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A55" i="2" l="1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I56" i="2" s="1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G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EC57" i="2" s="1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EX58" i="2" s="1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HI58" i="2"/>
  <c r="FS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EX59" i="2" s="1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HI59" i="2"/>
  <c r="EC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FS60" i="2" s="1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C60" i="2" l="1"/>
  <c r="HG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HI61" i="2"/>
  <c r="EV61" i="2"/>
  <c r="FS61" i="2"/>
  <c r="EW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I63" i="2" s="1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HI64" i="2" s="1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EV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EX68" i="2" l="1"/>
  <c r="FS68" i="2"/>
  <c r="HI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HI69" i="2" s="1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EC70" i="2" s="1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FS70" i="2" l="1"/>
  <c r="EB70" i="2"/>
  <c r="HI70" i="2"/>
  <c r="EW70" i="2"/>
  <c r="HG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X71" i="2"/>
  <c r="FS71" i="2"/>
  <c r="HI71" i="2"/>
  <c r="EA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I72" i="2"/>
  <c r="EB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HI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C74" i="2" s="1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I75" i="2" s="1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EX75" i="2"/>
  <c r="HG75" i="2"/>
  <c r="EA75" i="2"/>
  <c r="HH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HI76" i="2" s="1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EW76" i="2" l="1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FS77" i="2"/>
  <c r="EX77" i="2"/>
  <c r="HI77" i="2"/>
  <c r="EB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EX79" i="2" s="1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HG79" i="2"/>
  <c r="EB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FS80" i="2" l="1"/>
  <c r="HH80" i="2"/>
  <c r="EC80" i="2"/>
  <c r="HG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C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C82" i="2" s="1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HH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EX83" i="2" s="1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C83" i="2" l="1"/>
  <c r="EW83" i="2"/>
  <c r="HI83" i="2"/>
  <c r="EV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EC84" i="2" s="1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I84" i="2" l="1"/>
  <c r="HG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G85" i="2"/>
  <c r="EC85" i="2"/>
  <c r="FS85" i="2"/>
  <c r="HH85" i="2"/>
  <c r="EV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HI86" i="2"/>
  <c r="EX86" i="2"/>
  <c r="FS86" i="2"/>
  <c r="EA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FS87" i="2" l="1"/>
  <c r="HI87" i="2"/>
  <c r="EA87" i="2"/>
  <c r="EB87" i="2"/>
  <c r="HG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FS88" i="2" s="1"/>
  <c r="EU88" i="2"/>
  <c r="EG88" i="2"/>
  <c r="DW88" i="2"/>
  <c r="EC88" i="2" s="1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S89" i="2" s="1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EX89" i="2" s="1"/>
  <c r="DV89" i="2"/>
  <c r="DM89" i="2"/>
  <c r="DA89" i="2"/>
  <c r="HB89" i="2"/>
  <c r="GS89" i="2"/>
  <c r="EU89" i="2"/>
  <c r="EG89" i="2"/>
  <c r="DW89" i="2"/>
  <c r="EC89" i="2" s="1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C90" i="2" s="1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I91" i="2" s="1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EX91" i="2" s="1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HI92" i="2" s="1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FS92" i="2" s="1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S93" i="2" s="1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AW93" i="2" l="1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FS94" i="2" s="1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C94" i="2" s="1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HG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I95" i="2" s="1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FS95" i="2"/>
  <c r="EB95" i="2"/>
  <c r="FQ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FS96" i="2" s="1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HI97" i="2" s="1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EC97" i="2" l="1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C98" i="2" s="1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I99" i="2" s="1"/>
  <c r="HF99" i="2"/>
  <c r="GK99" i="2"/>
  <c r="HB99" i="2"/>
  <c r="GS99" i="2"/>
  <c r="GR99" i="2"/>
  <c r="GG99" i="2"/>
  <c r="FX99" i="2"/>
  <c r="GH99" i="2"/>
  <c r="FL99" i="2"/>
  <c r="FC99" i="2"/>
  <c r="FW99" i="2"/>
  <c r="FM99" i="2"/>
  <c r="FS99" i="2" s="1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EX99" i="2" s="1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I102" i="2" s="1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EX102" i="2" s="1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FS102" i="2" l="1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EX103" i="2" s="1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FS103" i="2" l="1"/>
  <c r="EA103" i="2"/>
  <c r="EC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I104" i="2" s="1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EC104" i="2" s="1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HH105" i="2"/>
  <c r="EB105" i="2"/>
  <c r="EA105" i="2"/>
  <c r="FS105" i="2"/>
  <c r="EV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HG106" i="2"/>
  <c r="EB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HG107" i="2"/>
  <c r="EB107" i="2"/>
  <c r="EA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X108" i="2"/>
  <c r="EB108" i="2"/>
  <c r="EA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EB109" i="2"/>
  <c r="EX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I110" i="2"/>
  <c r="HG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EX111" i="2" s="1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FS112" i="2" s="1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FQ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EB113" i="2"/>
  <c r="HG113" i="2"/>
  <c r="EC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C114" i="2" s="1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I115" i="2" s="1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EC115" i="2" s="1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AW115" i="2" l="1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X116" i="2" l="1"/>
  <c r="EA116" i="2"/>
  <c r="HI116" i="2"/>
  <c r="EV116" i="2"/>
  <c r="HG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C117" i="2" l="1"/>
  <c r="EX117" i="2"/>
  <c r="EA117" i="2"/>
  <c r="HG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HI118" i="2"/>
  <c r="FQ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I119" i="2" s="1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EC120" i="2" s="1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Q120" i="2"/>
  <c r="EX120" i="2"/>
  <c r="FR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C124" i="2"/>
  <c r="HI124" i="2"/>
  <c r="HG124" i="2"/>
  <c r="EX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I126" i="2" s="1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X126" i="2" l="1"/>
  <c r="FS126" i="2"/>
  <c r="EA126" i="2"/>
  <c r="HG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HI128" i="2" s="1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EV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C129" i="2"/>
  <c r="EX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EX131" i="2" s="1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C131" i="2" l="1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HG132" i="2"/>
  <c r="FS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I133" i="2"/>
  <c r="EW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EC134" i="2" s="1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FS135" i="2"/>
  <c r="HI135" i="2"/>
  <c r="EA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I136" i="2" s="1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EC136" i="2" s="1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EX136" i="2" l="1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B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I139" i="2" s="1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EX139" i="2" s="1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HH140" i="2"/>
  <c r="HI140" i="2"/>
  <c r="HG140" i="2"/>
  <c r="EB140" i="2"/>
  <c r="FR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HI141" i="2" s="1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HG141" i="2"/>
  <c r="EX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I142" i="2" s="1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FS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HH144" i="2"/>
  <c r="HI144" i="2"/>
  <c r="HG144" i="2"/>
  <c r="EA144" i="2"/>
  <c r="FR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HI145" i="2" s="1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FS146" i="2"/>
  <c r="HH146" i="2"/>
  <c r="EA146" i="2"/>
  <c r="FR146" i="2"/>
  <c r="HG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EC147" i="2" s="1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HI148" i="2" s="1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EX148" i="2" l="1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S149" i="2" s="1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HG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FS150" i="2"/>
  <c r="HH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HI151" i="2"/>
  <c r="EC151" i="2"/>
  <c r="EV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FS152" i="2" s="1"/>
  <c r="EU152" i="2"/>
  <c r="EG152" i="2"/>
  <c r="DW152" i="2"/>
  <c r="EC152" i="2" s="1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S153" i="2" s="1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EA153" i="2"/>
  <c r="EB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X154" i="2" s="1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I155" i="2" s="1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C155" i="2" s="1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HG155" i="2"/>
  <c r="EX155" i="2"/>
  <c r="HH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FS157" i="2" s="1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X157" i="2"/>
  <c r="EB157" i="2"/>
  <c r="HH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FS159" i="2" s="1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EX159" i="2" s="1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X160" i="2"/>
  <c r="FS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A161" i="2" l="1"/>
  <c r="E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FS162" i="2" s="1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FS163" i="2"/>
  <c r="EC163" i="2"/>
  <c r="HI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EA164" i="2"/>
  <c r="HI164" i="2"/>
  <c r="EV164" i="2"/>
  <c r="EX164" i="2"/>
  <c r="FS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X166" i="2"/>
  <c r="HI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C167" i="2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EX168" i="2" s="1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HI169" i="2" s="1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I171" i="2" s="1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C171" i="2" l="1"/>
  <c r="FS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A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HI173" i="2" s="1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EX173" i="2"/>
  <c r="EB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X175" i="2" s="1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C175" i="2" l="1"/>
  <c r="AA175" i="2"/>
  <c r="EW175" i="2"/>
  <c r="FS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HH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EX177" i="2" s="1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G178" i="2"/>
  <c r="FS178" i="2"/>
  <c r="EX178" i="2"/>
  <c r="HH178" i="2"/>
  <c r="HI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FS179" i="2" s="1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EX179" i="2"/>
  <c r="HI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EC180" i="2" s="1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EC181" i="2" s="1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HI181" i="2"/>
  <c r="HG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EX183" i="2" s="1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FS184" i="2" s="1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X184" i="2" l="1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EB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FR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I187" i="2" s="1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EX187" i="2" s="1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G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HI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HI189" i="2" s="1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FS189" i="2" s="1"/>
  <c r="GS189" i="2"/>
  <c r="GG189" i="2"/>
  <c r="FN189" i="2"/>
  <c r="EU189" i="2"/>
  <c r="GK189" i="2"/>
  <c r="ER189" i="2"/>
  <c r="EH189" i="2"/>
  <c r="DW189" i="2"/>
  <c r="EC189" i="2" s="1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HH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HI190" i="2" s="1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W190" i="2" l="1"/>
  <c r="HG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X191" i="2" l="1"/>
  <c r="HG191" i="2"/>
  <c r="EC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W192" i="2"/>
  <c r="HG192" i="2"/>
  <c r="EA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HG194" i="2"/>
  <c r="EB194" i="2"/>
  <c r="EA194" i="2"/>
  <c r="ED194" i="2" s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A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HI199" i="2"/>
  <c r="HH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C200" i="2" l="1"/>
  <c r="EX200" i="2"/>
  <c r="EW200" i="2"/>
  <c r="HI200" i="2"/>
  <c r="FS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EX201" i="2" s="1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D200" i="2"/>
  <c r="DI200" i="2"/>
  <c r="HG201" i="2" l="1"/>
  <c r="FS201" i="2"/>
  <c r="HI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HI203" i="2" s="1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6" i="2" l="1" a="1"/>
  <c r="AH166" i="2" s="1"/>
  <c r="AH19" i="2" a="1"/>
  <c r="AH19" i="2" s="1"/>
  <c r="BC126" i="2" a="1"/>
  <c r="BC126" i="2" s="1"/>
  <c r="BC55" i="2" a="1"/>
  <c r="BC55" i="2" s="1"/>
  <c r="BC58" i="2" a="1"/>
  <c r="BC58" i="2" s="1"/>
  <c r="BC7" i="2" a="1"/>
  <c r="BC7" i="2" s="1"/>
  <c r="BC18" i="2" a="1"/>
  <c r="BC18" i="2" s="1"/>
  <c r="BC84" i="2" a="1"/>
  <c r="BC84" i="2" s="1"/>
  <c r="BC117" i="2" a="1"/>
  <c r="BC117" i="2" s="1"/>
  <c r="BC38" i="2" a="1"/>
  <c r="BC38" i="2" s="1"/>
  <c r="BC130" i="2" a="1"/>
  <c r="BC130" i="2" s="1"/>
  <c r="BC181" i="2" a="1"/>
  <c r="BC181" i="2" s="1"/>
  <c r="BC82" i="2" a="1"/>
  <c r="BC82" i="2" s="1"/>
  <c r="BC34" i="2" a="1"/>
  <c r="BC34" i="2" s="1"/>
  <c r="BC185" i="2" a="1"/>
  <c r="BC185" i="2" s="1"/>
  <c r="BC83" i="2" a="1"/>
  <c r="BC83" i="2" s="1"/>
  <c r="BC143" i="2" a="1"/>
  <c r="BC143" i="2" s="1"/>
  <c r="BC164" i="2" a="1"/>
  <c r="BC164" i="2" s="1"/>
  <c r="BC65" i="2" a="1"/>
  <c r="BC65" i="2" s="1"/>
  <c r="BC47" i="2" a="1"/>
  <c r="BC47" i="2" s="1"/>
  <c r="BC32" i="2" a="1"/>
  <c r="BC32" i="2" s="1"/>
  <c r="BC151" i="2" a="1"/>
  <c r="BC151" i="2" s="1"/>
  <c r="BC31" i="2" a="1"/>
  <c r="BC31" i="2" s="1"/>
  <c r="BC192" i="2" a="1"/>
  <c r="BC192" i="2" s="1"/>
  <c r="BC114" i="2" a="1"/>
  <c r="BC114" i="2" s="1"/>
  <c r="BC68" i="2" a="1"/>
  <c r="BC68" i="2" s="1"/>
  <c r="AH199" i="2" a="1"/>
  <c r="AH199" i="2" s="1"/>
  <c r="AH92" i="2" a="1"/>
  <c r="AH92" i="2" s="1"/>
  <c r="BP203" i="2"/>
  <c r="EC203" i="2"/>
  <c r="FR203" i="2"/>
  <c r="EX203" i="2"/>
  <c r="HG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<sst xmlns="http://schemas.openxmlformats.org/spreadsheetml/2006/main" count="1168" uniqueCount="322">
  <si>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</si>
  <si>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</si>
  <si>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</si>
  <si>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</si>
  <si>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</si>
  <si>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</si>
  <si>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</si>
  <si>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</si>
  <si>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</si>
  <si>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</si>
  <si>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</si>
  <si>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</si>
  <si>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</si>
  <si>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</si>
  <si>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</si>
  <si>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</si>
  <si>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</si>
  <si>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</si>
  <si>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</si>
  <si>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</si>
  <si>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</si>
  <si>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</si>
  <si>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</si>
  <si>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</si>
  <si>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</si>
  <si>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</si>
  <si>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</si>
  <si>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</si>
  <si>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</si>
  <si>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</si>
  <si>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</si>
  <si>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</si>
  <si>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</si>
  <si>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</si>
  <si>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</si>
  <si>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</si>
  <si>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</si>
  <si>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</si>
  <si>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</si>
  <si>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</si>
  <si>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</si>
  <si>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</si>
  <si>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</si>
  <si>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</si>
  <si>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</si>
  <si>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</si>
  <si>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</si>
  <si>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</si>
  <si>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</si>
  <si>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</si>
  <si>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</si>
  <si>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</si>
  <si>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</si>
  <si>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</si>
  <si>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</si>
  <si>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</si>
  <si>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</si>
  <si>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</si>
  <si>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</si>
  <si>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</si>
  <si>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</si>
  <si>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</si>
  <si>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</si>
  <si>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</si>
  <si>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</si>
  <si>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</si>
  <si>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</si>
  <si>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</si>
  <si>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</si>
  <si>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</si>
  <si>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</si>
  <si>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</si>
  <si>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</si>
  <si>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</si>
  <si>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</si>
  <si>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</si>
  <si>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</si>
  <si>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</si>
  <si>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</si>
  <si>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</si>
  <si>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</si>
  <si>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</si>
  <si>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</si>
  <si>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</si>
  <si>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</si>
  <si>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</si>
  <si>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</si>
  <si>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</si>
  <si>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</si>
  <si>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</si>
  <si>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</si>
  <si>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</si>
  <si>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</si>
  <si>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</si>
  <si>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</si>
  <si>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</si>
  <si>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</si>
  <si>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</si>
  <si>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</si>
  <si>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</si>
  <si>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</si>
  <si>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</si>
  <si>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</si>
  <si>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</si>
  <si>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</si>
  <si>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</si>
  <si>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</si>
  <si>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</si>
  <si>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</si>
  <si>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</si>
  <si>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</si>
  <si>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</si>
  <si>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</si>
  <si>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</si>
  <si>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</si>
  <si>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</si>
  <si>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</si>
  <si>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</si>
  <si>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</si>
  <si>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</si>
  <si>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</si>
  <si>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</si>
  <si>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</si>
  <si>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</si>
  <si>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</si>
  <si>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</si>
  <si>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</si>
  <si>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</si>
  <si>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</si>
  <si>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</si>
  <si>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</si>
  <si>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</si>
  <si>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</si>
  <si>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</si>
  <si>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</si>
  <si>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</si>
  <si>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</si>
  <si>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</si>
  <si>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</si>
  <si>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</si>
  <si>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</si>
  <si>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</si>
  <si>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</si>
  <si>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</si>
  <si>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</si>
  <si>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</si>
  <si>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</si>
  <si>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</si>
  <si>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</si>
  <si>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</si>
  <si>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</si>
  <si>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</si>
  <si>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</si>
  <si>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</si>
  <si>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</si>
  <si>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</si>
  <si>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</si>
  <si>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</si>
  <si>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</si>
  <si>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</si>
  <si>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</si>
  <si>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</si>
  <si>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</si>
  <si>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</si>
  <si>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</si>
  <si>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</si>
  <si>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</si>
  <si>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</si>
  <si>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</si>
  <si>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</si>
  <si>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</si>
  <si>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</si>
  <si>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</si>
  <si>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</si>
  <si>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</si>
  <si>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</si>
  <si>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</si>
  <si>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</si>
  <si>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</si>
  <si>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</si>
  <si>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</si>
  <si>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</si>
  <si>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</si>
  <si>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</si>
  <si>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</si>
  <si>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</si>
  <si>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</si>
  <si>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</si>
  <si>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</si>
  <si>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</si>
  <si>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</si>
  <si>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</si>
  <si>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</si>
  <si>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</si>
  <si>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</si>
  <si>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</si>
  <si>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</si>
  <si>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</si>
  <si>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</si>
  <si>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</si>
  <si>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</si>
  <si>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</si>
  <si>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</si>
  <si>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</si>
  <si>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</si>
  <si>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</si>
  <si>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</si>
  <si>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</si>
  <si>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</si>
  <si>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</si>
  <si>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</si>
  <si>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</si>
  <si>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</si>
  <si>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</si>
  <si>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</si>
  <si>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</si>
  <si>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</si>
  <si>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</si>
  <si>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</si>
  <si>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</si>
  <si>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</si>
  <si>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</si>
  <si>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</si>
  <si>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</si>
  <si>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</si>
  <si>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</si>
  <si>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</si>
  <si>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</si>
  <si>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</si>
  <si>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</si>
  <si>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</si>
  <si>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</si>
  <si>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</si>
  <si>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</si>
  <si>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</si>
  <si>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</si>
  <si>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</si>
  <si>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</si>
  <si>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</si>
  <si>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</si>
  <si>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</si>
  <si>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</si>
  <si>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</si>
  <si>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</si>
  <si>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</si>
  <si>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</si>
  <si>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</si>
  <si>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</si>
  <si>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</si>
  <si>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</si>
  <si>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</si>
  <si>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</si>
  <si>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</si>
  <si>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</si>
  <si>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</si>
  <si>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</si>
  <si>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</si>
  <si>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</si>
  <si>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</si>
  <si>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</si>
  <si>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</si>
  <si>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</si>
  <si>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</si>
  <si>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</si>
  <si>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</si>
  <si>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</si>
  <si>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</si>
  <si>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</si>
  <si>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</si>
  <si>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</si>
  <si>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</si>
  <si>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</si>
  <si>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</si>
  <si>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</si>
  <si>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</si>
  <si>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</si>
  <si>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</si>
  <si>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</si>
  <si>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</si>
  <si>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</si>
  <si>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</si>
  <si>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</si>
  <si>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</si>
  <si>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</si>
  <si>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</si>
  <si>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</si>
  <si>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</si>
  <si>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</si>
  <si>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</si>
  <si>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</si>
  <si>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</si>
  <si>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</si>
  <si>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</si>
  <si>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</si>
  <si>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</si>
  <si>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</si>
  <si>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</si>
  <si>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</si>
  <si>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</si>
  <si>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</si>
  <si>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</si>
  <si>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</si>
  <si>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</si>
  <si>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</si>
  <si>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</si>
  <si>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</si>
  <si>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</si>
  <si>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</si>
  <si>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</si>
  <si>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</si>
  <si>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</si>
  <si>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</si>
  <si>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</si>
  <si>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</si>
  <si>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</si>
  <si>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</si>
  <si>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</si>
  <si>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</si>
  <si>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</si>
  <si>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</si>
  <si>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</si>
  <si>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 xml:space="preserve">2CHAV-120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</si>
</sst>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</cellStyleXfs>
  <cellXfs count="337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Normal" xfId="0" builtinId="0"/>
    <cellStyle name="Normal 2" xfId="3" xr:uid="{027764BA-6F5B-4F59-9E79-CE06A66BD040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1.7471324476962327</c:v>
                </c:pt>
                <c:pt idx="2">
                  <c:v>2.1000375586612816</c:v>
                </c:pt>
                <c:pt idx="3">
                  <c:v>2.5244985381045817</c:v>
                </c:pt>
                <c:pt idx="4">
                  <c:v>3.0350764601295253</c:v>
                </c:pt>
                <c:pt idx="5">
                  <c:v>3.649305453628056</c:v>
                </c:pt>
                <c:pt idx="6">
                  <c:v>4.3883016379710513</c:v>
                </c:pt>
                <c:pt idx="7">
                  <c:v>5.277497141014706</c:v>
                </c:pt>
                <c:pt idx="8">
                  <c:v>6.347524961118034</c:v>
                </c:pt>
                <c:pt idx="9">
                  <c:v>7.6352857535938439</c:v>
                </c:pt>
                <c:pt idx="10">
                  <c:v>9.185234041268771</c:v>
                </c:pt>
                <c:pt idx="11">
                  <c:v>11.050929096778928</c:v>
                </c:pt>
                <c:pt idx="12">
                  <c:v>13.29690509644024</c:v>
                </c:pt>
                <c:pt idx="13">
                  <c:v>16.000926434821906</c:v>
                </c:pt>
                <c:pt idx="14">
                  <c:v>19.256707717498703</c:v>
                </c:pt>
                <c:pt idx="15">
                  <c:v>23.17719440240521</c:v>
                </c:pt>
                <c:pt idx="16">
                  <c:v>27.89851992426421</c:v>
                </c:pt>
                <c:pt idx="17">
                  <c:v>33.584779120196053</c:v>
                </c:pt>
                <c:pt idx="18">
                  <c:v>40.433786733711173</c:v>
                </c:pt>
                <c:pt idx="19">
                  <c:v>48.684024742817336</c:v>
                </c:pt>
                <c:pt idx="20">
                  <c:v>58.623024485120716</c:v>
                </c:pt>
                <c:pt idx="21">
                  <c:v>70.597480547820311</c:v>
                </c:pt>
                <c:pt idx="22">
                  <c:v>85.025454976926028</c:v>
                </c:pt>
                <c:pt idx="23">
                  <c:v>102.41110474123873</c:v>
                </c:pt>
                <c:pt idx="24">
                  <c:v>123.36245522501308</c:v>
                </c:pt>
                <c:pt idx="25">
                  <c:v>148.61285103598712</c:v>
                </c:pt>
                <c:pt idx="26">
                  <c:v>163.60271424229867</c:v>
                </c:pt>
                <c:pt idx="27">
                  <c:v>178.56010595280418</c:v>
                </c:pt>
                <c:pt idx="28">
                  <c:v>193.48813068444886</c:v>
                </c:pt>
                <c:pt idx="29">
                  <c:v>208.38937415106577</c:v>
                </c:pt>
                <c:pt idx="30">
                  <c:v>223.26602168348816</c:v>
                </c:pt>
                <c:pt idx="31">
                  <c:v>238.11994335836471</c:v>
                </c:pt>
                <c:pt idx="32">
                  <c:v>252.95275673171489</c:v>
                </c:pt>
                <c:pt idx="33">
                  <c:v>267.76587406410857</c:v>
                </c:pt>
                <c:pt idx="34">
                  <c:v>282.56053853494797</c:v>
                </c:pt>
                <c:pt idx="35">
                  <c:v>239.6843711876767</c:v>
                </c:pt>
                <c:pt idx="36">
                  <c:v>254.47498915325073</c:v>
                </c:pt>
                <c:pt idx="37">
                  <c:v>269.24615167932609</c:v>
                </c:pt>
                <c:pt idx="38">
                  <c:v>283.99907655080125</c:v>
                </c:pt>
                <c:pt idx="39">
                  <c:v>298.73484466039878</c:v>
                </c:pt>
                <c:pt idx="40">
                  <c:v>313.45442153350569</c:v>
                </c:pt>
                <c:pt idx="41">
                  <c:v>328.15867459561036</c:v>
                </c:pt>
                <c:pt idx="42">
                  <c:v>342.84838718131488</c:v>
                </c:pt>
                <c:pt idx="43">
                  <c:v>357.52427001589405</c:v>
                </c:pt>
                <c:pt idx="44">
                  <c:v>372.18697071252132</c:v>
                </c:pt>
                <c:pt idx="45">
                  <c:v>312.97598163029028</c:v>
                </c:pt>
                <c:pt idx="46">
                  <c:v>326.60526674391036</c:v>
                </c:pt>
                <c:pt idx="47">
                  <c:v>340.22199413371692</c:v>
                </c:pt>
                <c:pt idx="48">
                  <c:v>353.82673724371847</c:v>
                </c:pt>
                <c:pt idx="49">
                  <c:v>367.42002181512527</c:v>
                </c:pt>
                <c:pt idx="50">
                  <c:v>381.00233150984445</c:v>
                </c:pt>
                <c:pt idx="51">
                  <c:v>394.57411269006053</c:v>
                </c:pt>
                <c:pt idx="52">
                  <c:v>408.13577850580651</c:v>
                </c:pt>
                <c:pt idx="53">
                  <c:v>421.68771241084659</c:v>
                </c:pt>
                <c:pt idx="54">
                  <c:v>435.23027120300316</c:v>
                </c:pt>
                <c:pt idx="55">
                  <c:v>375.99957052901351</c:v>
                </c:pt>
                <c:pt idx="56">
                  <c:v>388.14665972088761</c:v>
                </c:pt>
                <c:pt idx="57">
                  <c:v>400.28549788835903</c:v>
                </c:pt>
                <c:pt idx="58">
                  <c:v>412.41637053890577</c:v>
                </c:pt>
                <c:pt idx="59">
                  <c:v>424.53954501187854</c:v>
                </c:pt>
                <c:pt idx="60">
                  <c:v>436.65527213141831</c:v>
                </c:pt>
                <c:pt idx="61">
                  <c:v>448.76378766634571</c:v>
                </c:pt>
                <c:pt idx="62">
                  <c:v>460.86531362427496</c:v>
                </c:pt>
                <c:pt idx="63">
                  <c:v>472.96005940272175</c:v>
                </c:pt>
                <c:pt idx="64">
                  <c:v>485.04822281633687</c:v>
                </c:pt>
                <c:pt idx="65">
                  <c:v>420.73700938420797</c:v>
                </c:pt>
                <c:pt idx="66">
                  <c:v>431.19222333135826</c:v>
                </c:pt>
                <c:pt idx="67">
                  <c:v>441.64199189383504</c:v>
                </c:pt>
                <c:pt idx="68">
                  <c:v>452.08646210641103</c:v>
                </c:pt>
                <c:pt idx="69">
                  <c:v>462.5257736545164</c:v>
                </c:pt>
                <c:pt idx="70">
                  <c:v>472.96005940272192</c:v>
                </c:pt>
                <c:pt idx="71">
                  <c:v>483.38944587415341</c:v>
                </c:pt>
                <c:pt idx="72">
                  <c:v>493.81405368637508</c:v>
                </c:pt>
                <c:pt idx="73">
                  <c:v>504.23399794855032</c:v>
                </c:pt>
                <c:pt idx="74">
                  <c:v>514.64938862406314</c:v>
                </c:pt>
                <c:pt idx="75">
                  <c:v>448.64511100857021</c:v>
                </c:pt>
                <c:pt idx="76">
                  <c:v>457.3067542554665</c:v>
                </c:pt>
                <c:pt idx="77">
                  <c:v>465.96489398773321</c:v>
                </c:pt>
                <c:pt idx="78">
                  <c:v>474.61960450741572</c:v>
                </c:pt>
                <c:pt idx="79">
                  <c:v>483.27095718481286</c:v>
                </c:pt>
                <c:pt idx="80">
                  <c:v>491.91902062570398</c:v>
                </c:pt>
                <c:pt idx="81">
                  <c:v>500.56386082620321</c:v>
                </c:pt>
                <c:pt idx="82">
                  <c:v>509.20554131635839</c:v>
                </c:pt>
                <c:pt idx="83">
                  <c:v>517.84412329349186</c:v>
                </c:pt>
                <c:pt idx="84">
                  <c:v>526.47966574618124</c:v>
                </c:pt>
                <c:pt idx="85">
                  <c:v>465.01622538204015</c:v>
                </c:pt>
                <c:pt idx="86">
                  <c:v>472.2487878598775</c:v>
                </c:pt>
                <c:pt idx="87">
                  <c:v>479.4789923008305</c:v>
                </c:pt>
                <c:pt idx="88">
                  <c:v>486.7068792948175</c:v>
                </c:pt>
                <c:pt idx="89">
                  <c:v>493.93248812728581</c:v>
                </c:pt>
                <c:pt idx="90">
                  <c:v>501.15585684002275</c:v>
                </c:pt>
                <c:pt idx="91">
                  <c:v>508.37702228827624</c:v>
                </c:pt>
                <c:pt idx="92">
                  <c:v>515.59602019445981</c:v>
                </c:pt>
                <c:pt idx="93">
                  <c:v>522.81288519869372</c:v>
                </c:pt>
                <c:pt idx="94">
                  <c:v>530.02765090640958</c:v>
                </c:pt>
                <c:pt idx="95">
                  <c:v>4.2156162524465543E-12</c:v>
                </c:pt>
                <c:pt idx="96">
                  <c:v>4.2156162524465543E-12</c:v>
                </c:pt>
                <c:pt idx="97">
                  <c:v>4.2156162524465543E-12</c:v>
                </c:pt>
                <c:pt idx="98">
                  <c:v>4.2156162524465543E-12</c:v>
                </c:pt>
                <c:pt idx="99">
                  <c:v>4.2156162524465543E-12</c:v>
                </c:pt>
                <c:pt idx="100">
                  <c:v>4.2156162524465543E-12</c:v>
                </c:pt>
                <c:pt idx="101">
                  <c:v>4.2156162524465543E-12</c:v>
                </c:pt>
                <c:pt idx="102">
                  <c:v>4.2156162524465543E-12</c:v>
                </c:pt>
                <c:pt idx="103">
                  <c:v>4.2156162524465543E-12</c:v>
                </c:pt>
                <c:pt idx="104">
                  <c:v>4.2156162524465543E-12</c:v>
                </c:pt>
                <c:pt idx="105">
                  <c:v>4.2156162524465543E-12</c:v>
                </c:pt>
                <c:pt idx="106">
                  <c:v>4.2156162524465543E-12</c:v>
                </c:pt>
                <c:pt idx="107">
                  <c:v>4.2156162524465543E-12</c:v>
                </c:pt>
                <c:pt idx="108">
                  <c:v>4.2156162524465543E-12</c:v>
                </c:pt>
                <c:pt idx="109">
                  <c:v>4.2156162524465543E-12</c:v>
                </c:pt>
                <c:pt idx="110">
                  <c:v>4.2156162524465543E-12</c:v>
                </c:pt>
                <c:pt idx="111">
                  <c:v>4.2156162524465543E-12</c:v>
                </c:pt>
                <c:pt idx="112">
                  <c:v>4.2156162524465543E-12</c:v>
                </c:pt>
                <c:pt idx="113">
                  <c:v>4.2156162524465543E-12</c:v>
                </c:pt>
                <c:pt idx="114">
                  <c:v>4.2156162524465543E-12</c:v>
                </c:pt>
                <c:pt idx="115">
                  <c:v>4.2156162524465543E-12</c:v>
                </c:pt>
                <c:pt idx="116">
                  <c:v>4.2156162524465543E-12</c:v>
                </c:pt>
                <c:pt idx="117">
                  <c:v>4.2156162524465543E-12</c:v>
                </c:pt>
                <c:pt idx="118">
                  <c:v>4.2156162524465543E-12</c:v>
                </c:pt>
                <c:pt idx="119">
                  <c:v>4.2156162524465543E-12</c:v>
                </c:pt>
                <c:pt idx="120">
                  <c:v>4.2156162524465543E-12</c:v>
                </c:pt>
                <c:pt idx="121">
                  <c:v>4.2156162524465543E-12</c:v>
                </c:pt>
                <c:pt idx="122">
                  <c:v>4.2156162524465543E-12</c:v>
                </c:pt>
                <c:pt idx="123">
                  <c:v>4.2156162524465543E-12</c:v>
                </c:pt>
                <c:pt idx="124">
                  <c:v>4.2156162524465543E-12</c:v>
                </c:pt>
                <c:pt idx="125">
                  <c:v>4.2156162524465543E-12</c:v>
                </c:pt>
                <c:pt idx="126">
                  <c:v>4.2156162524465543E-12</c:v>
                </c:pt>
                <c:pt idx="127">
                  <c:v>4.2156162524465543E-12</c:v>
                </c:pt>
                <c:pt idx="128">
                  <c:v>4.2156162524465543E-12</c:v>
                </c:pt>
                <c:pt idx="129">
                  <c:v>4.2156162524465543E-12</c:v>
                </c:pt>
                <c:pt idx="130">
                  <c:v>4.2156162524465543E-12</c:v>
                </c:pt>
                <c:pt idx="131">
                  <c:v>4.2156162524465543E-12</c:v>
                </c:pt>
                <c:pt idx="132">
                  <c:v>4.2156162524465543E-12</c:v>
                </c:pt>
                <c:pt idx="133">
                  <c:v>4.2156162524465543E-12</c:v>
                </c:pt>
                <c:pt idx="134">
                  <c:v>4.2156162524465543E-12</c:v>
                </c:pt>
                <c:pt idx="135">
                  <c:v>4.2156162524465543E-12</c:v>
                </c:pt>
                <c:pt idx="136">
                  <c:v>4.2156162524465543E-12</c:v>
                </c:pt>
                <c:pt idx="137">
                  <c:v>4.2156162524465543E-12</c:v>
                </c:pt>
                <c:pt idx="138">
                  <c:v>4.2156162524465543E-12</c:v>
                </c:pt>
                <c:pt idx="139">
                  <c:v>4.2156162524465543E-12</c:v>
                </c:pt>
                <c:pt idx="140">
                  <c:v>4.2156162524465543E-12</c:v>
                </c:pt>
                <c:pt idx="141">
                  <c:v>4.2156162524465543E-12</c:v>
                </c:pt>
                <c:pt idx="142">
                  <c:v>4.2156162524465543E-12</c:v>
                </c:pt>
                <c:pt idx="143">
                  <c:v>4.2156162524465543E-12</c:v>
                </c:pt>
                <c:pt idx="144">
                  <c:v>4.2156162524465543E-12</c:v>
                </c:pt>
                <c:pt idx="145">
                  <c:v>4.2156162524465543E-12</c:v>
                </c:pt>
                <c:pt idx="146">
                  <c:v>4.2156162524465543E-12</c:v>
                </c:pt>
                <c:pt idx="147">
                  <c:v>4.2156162524465543E-12</c:v>
                </c:pt>
                <c:pt idx="148">
                  <c:v>4.2156162524465543E-12</c:v>
                </c:pt>
                <c:pt idx="149">
                  <c:v>4.2156162524465543E-12</c:v>
                </c:pt>
                <c:pt idx="150">
                  <c:v>4.2156162524465543E-12</c:v>
                </c:pt>
                <c:pt idx="151">
                  <c:v>4.2156162524465543E-12</c:v>
                </c:pt>
                <c:pt idx="152">
                  <c:v>4.2156162524465543E-12</c:v>
                </c:pt>
                <c:pt idx="153">
                  <c:v>4.2156162524465543E-12</c:v>
                </c:pt>
                <c:pt idx="154">
                  <c:v>4.2156162524465543E-12</c:v>
                </c:pt>
                <c:pt idx="155">
                  <c:v>4.2156162524465543E-12</c:v>
                </c:pt>
                <c:pt idx="156">
                  <c:v>4.2156162524465543E-12</c:v>
                </c:pt>
                <c:pt idx="157">
                  <c:v>4.2156162524465543E-12</c:v>
                </c:pt>
                <c:pt idx="158">
                  <c:v>4.2156162524465543E-12</c:v>
                </c:pt>
                <c:pt idx="159">
                  <c:v>4.2156162524465543E-12</c:v>
                </c:pt>
                <c:pt idx="160">
                  <c:v>4.2156162524465543E-12</c:v>
                </c:pt>
                <c:pt idx="161">
                  <c:v>4.2156162524465543E-12</c:v>
                </c:pt>
                <c:pt idx="162">
                  <c:v>4.2156162524465543E-12</c:v>
                </c:pt>
                <c:pt idx="163">
                  <c:v>4.2156162524465543E-12</c:v>
                </c:pt>
                <c:pt idx="164">
                  <c:v>4.2156162524465543E-12</c:v>
                </c:pt>
                <c:pt idx="165">
                  <c:v>4.2156162524465543E-12</c:v>
                </c:pt>
                <c:pt idx="166">
                  <c:v>4.2156162524465543E-12</c:v>
                </c:pt>
                <c:pt idx="167">
                  <c:v>4.2156162524465543E-12</c:v>
                </c:pt>
                <c:pt idx="168">
                  <c:v>4.2156162524465543E-12</c:v>
                </c:pt>
                <c:pt idx="169">
                  <c:v>4.2156162524465543E-12</c:v>
                </c:pt>
                <c:pt idx="170">
                  <c:v>4.2156162524465543E-12</c:v>
                </c:pt>
                <c:pt idx="171">
                  <c:v>4.2156162524465543E-12</c:v>
                </c:pt>
                <c:pt idx="172">
                  <c:v>4.2156162524465543E-12</c:v>
                </c:pt>
                <c:pt idx="173">
                  <c:v>4.2156162524465543E-12</c:v>
                </c:pt>
                <c:pt idx="174">
                  <c:v>4.2156162524465543E-12</c:v>
                </c:pt>
                <c:pt idx="175">
                  <c:v>4.2156162524465543E-12</c:v>
                </c:pt>
                <c:pt idx="176">
                  <c:v>4.2156162524465543E-12</c:v>
                </c:pt>
                <c:pt idx="177">
                  <c:v>4.2156162524465543E-12</c:v>
                </c:pt>
                <c:pt idx="178">
                  <c:v>4.2156162524465543E-12</c:v>
                </c:pt>
                <c:pt idx="179">
                  <c:v>4.2156162524465543E-12</c:v>
                </c:pt>
                <c:pt idx="180">
                  <c:v>4.2156162524465543E-12</c:v>
                </c:pt>
                <c:pt idx="181">
                  <c:v>4.2156162524465543E-12</c:v>
                </c:pt>
                <c:pt idx="182">
                  <c:v>4.2156162524465543E-12</c:v>
                </c:pt>
                <c:pt idx="183">
                  <c:v>4.2156162524465543E-12</c:v>
                </c:pt>
                <c:pt idx="184">
                  <c:v>4.2156162524465543E-12</c:v>
                </c:pt>
                <c:pt idx="185">
                  <c:v>4.2156162524465543E-12</c:v>
                </c:pt>
                <c:pt idx="186">
                  <c:v>4.2156162524465543E-12</c:v>
                </c:pt>
                <c:pt idx="187">
                  <c:v>4.2156162524465543E-12</c:v>
                </c:pt>
                <c:pt idx="188">
                  <c:v>4.2156162524465543E-12</c:v>
                </c:pt>
                <c:pt idx="189">
                  <c:v>4.2156162524465543E-12</c:v>
                </c:pt>
                <c:pt idx="190">
                  <c:v>4.2156162524465543E-12</c:v>
                </c:pt>
                <c:pt idx="191">
                  <c:v>4.2156162524465543E-12</c:v>
                </c:pt>
                <c:pt idx="192">
                  <c:v>4.2156162524465543E-12</c:v>
                </c:pt>
                <c:pt idx="193">
                  <c:v>4.2156162524465543E-12</c:v>
                </c:pt>
                <c:pt idx="194">
                  <c:v>4.2156162524465543E-12</c:v>
                </c:pt>
                <c:pt idx="195">
                  <c:v>4.2156162524465543E-12</c:v>
                </c:pt>
                <c:pt idx="196">
                  <c:v>4.2156162524465543E-12</c:v>
                </c:pt>
                <c:pt idx="197">
                  <c:v>4.2156162524465543E-12</c:v>
                </c:pt>
                <c:pt idx="198">
                  <c:v>4.2156162524465543E-12</c:v>
                </c:pt>
                <c:pt idx="199">
                  <c:v>4.2156162524465543E-12</c:v>
                </c:pt>
                <c:pt idx="200">
                  <c:v>4.2156162524465543E-12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92.141527621369264</c:v>
                </c:pt>
                <c:pt idx="22">
                  <c:v>98.835125282146407</c:v>
                </c:pt>
                <c:pt idx="23">
                  <c:v>105.51746700786147</c:v>
                </c:pt>
                <c:pt idx="24">
                  <c:v>112.18936769914613</c:v>
                </c:pt>
                <c:pt idx="25">
                  <c:v>118.85153716442493</c:v>
                </c:pt>
                <c:pt idx="26">
                  <c:v>125.50459894026331</c:v>
                </c:pt>
                <c:pt idx="27">
                  <c:v>132.14910489975804</c:v>
                </c:pt>
                <c:pt idx="28">
                  <c:v>138.78554676063962</c:v>
                </c:pt>
                <c:pt idx="29">
                  <c:v>145.41436527108689</c:v>
                </c:pt>
                <c:pt idx="30">
                  <c:v>152.03595762869563</c:v>
                </c:pt>
                <c:pt idx="31">
                  <c:v>129.49229651280905</c:v>
                </c:pt>
                <c:pt idx="32">
                  <c:v>136.64231946228742</c:v>
                </c:pt>
                <c:pt idx="33">
                  <c:v>143.78334118192845</c:v>
                </c:pt>
                <c:pt idx="34">
                  <c:v>150.91587256603668</c:v>
                </c:pt>
                <c:pt idx="35">
                  <c:v>158.04037217767925</c:v>
                </c:pt>
                <c:pt idx="36">
                  <c:v>165.15725377990339</c:v>
                </c:pt>
                <c:pt idx="37">
                  <c:v>172.26689249809047</c:v>
                </c:pt>
                <c:pt idx="38">
                  <c:v>179.36962990969707</c:v>
                </c:pt>
                <c:pt idx="39">
                  <c:v>186.46577828407854</c:v>
                </c:pt>
                <c:pt idx="40">
                  <c:v>193.55562414196137</c:v>
                </c:pt>
                <c:pt idx="41">
                  <c:v>163.34823342573378</c:v>
                </c:pt>
                <c:pt idx="42">
                  <c:v>170.96736952034459</c:v>
                </c:pt>
                <c:pt idx="43">
                  <c:v>178.57851371672646</c:v>
                </c:pt>
                <c:pt idx="44">
                  <c:v>186.18205518665516</c:v>
                </c:pt>
                <c:pt idx="45">
                  <c:v>193.77834866786893</c:v>
                </c:pt>
                <c:pt idx="46">
                  <c:v>201.36771877144167</c:v>
                </c:pt>
                <c:pt idx="47">
                  <c:v>208.95046360475382</c:v>
                </c:pt>
                <c:pt idx="48">
                  <c:v>216.52685784022904</c:v>
                </c:pt>
                <c:pt idx="49">
                  <c:v>224.09715533146343</c:v>
                </c:pt>
                <c:pt idx="50">
                  <c:v>231.66159135686442</c:v>
                </c:pt>
                <c:pt idx="51">
                  <c:v>239.22038455452602</c:v>
                </c:pt>
                <c:pt idx="52">
                  <c:v>246.77373859945556</c:v>
                </c:pt>
                <c:pt idx="53">
                  <c:v>254.32184366446259</c:v>
                </c:pt>
                <c:pt idx="54">
                  <c:v>261.86487769834724</c:v>
                </c:pt>
                <c:pt idx="55">
                  <c:v>269.40300754895145</c:v>
                </c:pt>
                <c:pt idx="56">
                  <c:v>276.93638995381065</c:v>
                </c:pt>
                <c:pt idx="57">
                  <c:v>284.46517241726917</c:v>
                </c:pt>
                <c:pt idx="58">
                  <c:v>291.98949398979374</c:v>
                </c:pt>
                <c:pt idx="59">
                  <c:v>299.50948596268842</c:v>
                </c:pt>
                <c:pt idx="60">
                  <c:v>307.02527248932705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1.9352661844229233</c:v>
                </c:pt>
                <c:pt idx="2">
                  <c:v>2.4149673876437041</c:v>
                </c:pt>
                <c:pt idx="3">
                  <c:v>3.0140413538229347</c:v>
                </c:pt>
                <c:pt idx="4">
                  <c:v>3.7623036984977323</c:v>
                </c:pt>
                <c:pt idx="5">
                  <c:v>4.6970427959099803</c:v>
                </c:pt>
                <c:pt idx="6">
                  <c:v>5.8648987005287836</c:v>
                </c:pt>
                <c:pt idx="7">
                  <c:v>7.3242158938789501</c:v>
                </c:pt>
                <c:pt idx="8">
                  <c:v>9.1479896693427509</c:v>
                </c:pt>
                <c:pt idx="9">
                  <c:v>11.427556338537373</c:v>
                </c:pt>
                <c:pt idx="10">
                  <c:v>14.277215529677607</c:v>
                </c:pt>
                <c:pt idx="11">
                  <c:v>17.840020615226845</c:v>
                </c:pt>
                <c:pt idx="12">
                  <c:v>22.295033218270405</c:v>
                </c:pt>
                <c:pt idx="13">
                  <c:v>30.533019432592351</c:v>
                </c:pt>
                <c:pt idx="14">
                  <c:v>38.708733450074185</c:v>
                </c:pt>
                <c:pt idx="15">
                  <c:v>46.837334349974448</c:v>
                </c:pt>
                <c:pt idx="16">
                  <c:v>54.928208921069135</c:v>
                </c:pt>
                <c:pt idx="17">
                  <c:v>57.862298732599697</c:v>
                </c:pt>
                <c:pt idx="18">
                  <c:v>66.243665135009351</c:v>
                </c:pt>
                <c:pt idx="19">
                  <c:v>74.597641734705931</c:v>
                </c:pt>
                <c:pt idx="20">
                  <c:v>82.927736892003523</c:v>
                </c:pt>
                <c:pt idx="21">
                  <c:v>87.546282159677943</c:v>
                </c:pt>
                <c:pt idx="22">
                  <c:v>98.343511201321675</c:v>
                </c:pt>
                <c:pt idx="23">
                  <c:v>109.11127889310849</c:v>
                </c:pt>
                <c:pt idx="24">
                  <c:v>119.85290732351018</c:v>
                </c:pt>
                <c:pt idx="25">
                  <c:v>113.79741059533346</c:v>
                </c:pt>
                <c:pt idx="26">
                  <c:v>124.10363581182408</c:v>
                </c:pt>
                <c:pt idx="27">
                  <c:v>134.38907346705406</c:v>
                </c:pt>
                <c:pt idx="28">
                  <c:v>144.65554079472784</c:v>
                </c:pt>
                <c:pt idx="29">
                  <c:v>137.98712766428412</c:v>
                </c:pt>
                <c:pt idx="30">
                  <c:v>148.3883506784862</c:v>
                </c:pt>
                <c:pt idx="31">
                  <c:v>158.77217404924244</c:v>
                </c:pt>
                <c:pt idx="32">
                  <c:v>169.13989733075229</c:v>
                </c:pt>
                <c:pt idx="33">
                  <c:v>179.49264750524489</c:v>
                </c:pt>
                <c:pt idx="34">
                  <c:v>189.83141075244791</c:v>
                </c:pt>
                <c:pt idx="35">
                  <c:v>167.06325741863051</c:v>
                </c:pt>
                <c:pt idx="36">
                  <c:v>176.44667266117702</c:v>
                </c:pt>
                <c:pt idx="37">
                  <c:v>185.81837946271426</c:v>
                </c:pt>
                <c:pt idx="38">
                  <c:v>195.17905224304135</c:v>
                </c:pt>
                <c:pt idx="39">
                  <c:v>204.52929536441374</c:v>
                </c:pt>
                <c:pt idx="40">
                  <c:v>213.869653349744</c:v>
                </c:pt>
                <c:pt idx="41">
                  <c:v>191.14707962335385</c:v>
                </c:pt>
                <c:pt idx="42">
                  <c:v>198.54114021779455</c:v>
                </c:pt>
                <c:pt idx="43">
                  <c:v>205.92881371047042</c:v>
                </c:pt>
                <c:pt idx="44">
                  <c:v>213.31036188702635</c:v>
                </c:pt>
                <c:pt idx="45">
                  <c:v>220.68602690887778</c:v>
                </c:pt>
                <c:pt idx="46">
                  <c:v>228.05603340567441</c:v>
                </c:pt>
                <c:pt idx="47">
                  <c:v>208.83480491969581</c:v>
                </c:pt>
                <c:pt idx="48">
                  <c:v>213.61152302149853</c:v>
                </c:pt>
                <c:pt idx="49">
                  <c:v>218.38578096047695</c:v>
                </c:pt>
                <c:pt idx="50">
                  <c:v>223.15764021827377</c:v>
                </c:pt>
                <c:pt idx="51">
                  <c:v>227.92715942733045</c:v>
                </c:pt>
                <c:pt idx="52">
                  <c:v>232.69439456116172</c:v>
                </c:pt>
                <c:pt idx="53">
                  <c:v>237.45939910819689</c:v>
                </c:pt>
                <c:pt idx="54">
                  <c:v>242.2222242309156</c:v>
                </c:pt>
                <c:pt idx="55">
                  <c:v>224.06015943080061</c:v>
                </c:pt>
                <c:pt idx="56">
                  <c:v>226.12274806826437</c:v>
                </c:pt>
                <c:pt idx="57">
                  <c:v>228.1849057168223</c:v>
                </c:pt>
                <c:pt idx="58">
                  <c:v>230.24663683192753</c:v>
                </c:pt>
                <c:pt idx="59">
                  <c:v>232.30794578251707</c:v>
                </c:pt>
                <c:pt idx="60">
                  <c:v>234.36883685346262</c:v>
                </c:pt>
                <c:pt idx="61">
                  <c:v>236.42931424793142</c:v>
                </c:pt>
                <c:pt idx="62">
                  <c:v>238.48938208965947</c:v>
                </c:pt>
                <c:pt idx="63">
                  <c:v>224.70476495045224</c:v>
                </c:pt>
                <c:pt idx="64">
                  <c:v>224.70476495045224</c:v>
                </c:pt>
                <c:pt idx="65">
                  <c:v>224.70476495045224</c:v>
                </c:pt>
                <c:pt idx="66">
                  <c:v>224.70476495045224</c:v>
                </c:pt>
                <c:pt idx="67">
                  <c:v>224.70476495045224</c:v>
                </c:pt>
                <c:pt idx="68">
                  <c:v>224.70476495045224</c:v>
                </c:pt>
                <c:pt idx="69">
                  <c:v>224.70476495045224</c:v>
                </c:pt>
                <c:pt idx="70">
                  <c:v>224.70476495045224</c:v>
                </c:pt>
                <c:pt idx="71">
                  <c:v>224.70476495045224</c:v>
                </c:pt>
                <c:pt idx="72">
                  <c:v>224.70476495045224</c:v>
                </c:pt>
                <c:pt idx="73">
                  <c:v>224.70476495045224</c:v>
                </c:pt>
                <c:pt idx="74">
                  <c:v>224.70476495045224</c:v>
                </c:pt>
                <c:pt idx="75">
                  <c:v>224.70476495045224</c:v>
                </c:pt>
                <c:pt idx="76">
                  <c:v>224.70476495045224</c:v>
                </c:pt>
                <c:pt idx="77">
                  <c:v>224.70476495045224</c:v>
                </c:pt>
                <c:pt idx="78">
                  <c:v>224.70476495045224</c:v>
                </c:pt>
                <c:pt idx="79">
                  <c:v>224.70476495045224</c:v>
                </c:pt>
                <c:pt idx="80">
                  <c:v>224.70476495045224</c:v>
                </c:pt>
                <c:pt idx="81">
                  <c:v>224.70476495045224</c:v>
                </c:pt>
                <c:pt idx="82">
                  <c:v>224.70476495045224</c:v>
                </c:pt>
                <c:pt idx="83">
                  <c:v>224.70476495045224</c:v>
                </c:pt>
                <c:pt idx="84">
                  <c:v>224.70476495045224</c:v>
                </c:pt>
                <c:pt idx="85">
                  <c:v>224.70476495045224</c:v>
                </c:pt>
                <c:pt idx="86">
                  <c:v>224.70476495045224</c:v>
                </c:pt>
                <c:pt idx="87">
                  <c:v>224.70476495045224</c:v>
                </c:pt>
                <c:pt idx="88">
                  <c:v>224.70476495045224</c:v>
                </c:pt>
                <c:pt idx="89">
                  <c:v>224.70476495045224</c:v>
                </c:pt>
                <c:pt idx="90">
                  <c:v>224.70476495045224</c:v>
                </c:pt>
                <c:pt idx="91">
                  <c:v>224.70476495045224</c:v>
                </c:pt>
                <c:pt idx="92">
                  <c:v>224.70476495045224</c:v>
                </c:pt>
                <c:pt idx="93">
                  <c:v>224.70476495045224</c:v>
                </c:pt>
                <c:pt idx="94">
                  <c:v>224.70476495045224</c:v>
                </c:pt>
                <c:pt idx="95">
                  <c:v>224.70476495045224</c:v>
                </c:pt>
                <c:pt idx="96">
                  <c:v>224.70476495045224</c:v>
                </c:pt>
                <c:pt idx="97">
                  <c:v>224.70476495045224</c:v>
                </c:pt>
                <c:pt idx="98">
                  <c:v>224.70476495045224</c:v>
                </c:pt>
                <c:pt idx="99">
                  <c:v>224.70476495045224</c:v>
                </c:pt>
                <c:pt idx="100">
                  <c:v>224.70476495045224</c:v>
                </c:pt>
                <c:pt idx="101">
                  <c:v>224.70476495045224</c:v>
                </c:pt>
                <c:pt idx="102">
                  <c:v>224.70476495045224</c:v>
                </c:pt>
                <c:pt idx="103">
                  <c:v>224.70476495045224</c:v>
                </c:pt>
                <c:pt idx="104">
                  <c:v>224.70476495045224</c:v>
                </c:pt>
                <c:pt idx="105">
                  <c:v>224.70476495045224</c:v>
                </c:pt>
                <c:pt idx="106">
                  <c:v>224.70476495045224</c:v>
                </c:pt>
                <c:pt idx="107">
                  <c:v>224.70476495045224</c:v>
                </c:pt>
                <c:pt idx="108">
                  <c:v>224.70476495045224</c:v>
                </c:pt>
                <c:pt idx="109">
                  <c:v>224.70476495045224</c:v>
                </c:pt>
                <c:pt idx="110">
                  <c:v>224.70476495045224</c:v>
                </c:pt>
                <c:pt idx="111">
                  <c:v>224.70476495045224</c:v>
                </c:pt>
                <c:pt idx="112">
                  <c:v>224.70476495045224</c:v>
                </c:pt>
                <c:pt idx="113">
                  <c:v>224.70476495045224</c:v>
                </c:pt>
                <c:pt idx="114">
                  <c:v>224.70476495045224</c:v>
                </c:pt>
                <c:pt idx="115">
                  <c:v>224.70476495045224</c:v>
                </c:pt>
                <c:pt idx="116">
                  <c:v>224.70476495045224</c:v>
                </c:pt>
                <c:pt idx="117">
                  <c:v>224.70476495045224</c:v>
                </c:pt>
                <c:pt idx="118">
                  <c:v>224.70476495045224</c:v>
                </c:pt>
                <c:pt idx="119">
                  <c:v>224.70476495045224</c:v>
                </c:pt>
                <c:pt idx="120">
                  <c:v>224.70476495045224</c:v>
                </c:pt>
                <c:pt idx="121">
                  <c:v>224.70476495045224</c:v>
                </c:pt>
                <c:pt idx="122">
                  <c:v>224.70476495045224</c:v>
                </c:pt>
                <c:pt idx="123">
                  <c:v>224.70476495045224</c:v>
                </c:pt>
                <c:pt idx="124">
                  <c:v>224.70476495045224</c:v>
                </c:pt>
                <c:pt idx="125">
                  <c:v>224.70476495045224</c:v>
                </c:pt>
                <c:pt idx="126">
                  <c:v>224.70476495045224</c:v>
                </c:pt>
                <c:pt idx="127">
                  <c:v>224.70476495045224</c:v>
                </c:pt>
                <c:pt idx="128">
                  <c:v>224.70476495045224</c:v>
                </c:pt>
                <c:pt idx="129">
                  <c:v>224.70476495045224</c:v>
                </c:pt>
                <c:pt idx="130">
                  <c:v>224.70476495045224</c:v>
                </c:pt>
                <c:pt idx="131">
                  <c:v>224.70476495045224</c:v>
                </c:pt>
                <c:pt idx="132">
                  <c:v>224.70476495045224</c:v>
                </c:pt>
                <c:pt idx="133">
                  <c:v>224.70476495045224</c:v>
                </c:pt>
                <c:pt idx="134">
                  <c:v>224.70476495045224</c:v>
                </c:pt>
                <c:pt idx="135">
                  <c:v>224.70476495045224</c:v>
                </c:pt>
                <c:pt idx="136">
                  <c:v>224.70476495045224</c:v>
                </c:pt>
                <c:pt idx="137">
                  <c:v>224.70476495045224</c:v>
                </c:pt>
                <c:pt idx="138">
                  <c:v>224.70476495045224</c:v>
                </c:pt>
                <c:pt idx="139">
                  <c:v>224.70476495045224</c:v>
                </c:pt>
                <c:pt idx="140">
                  <c:v>224.70476495045224</c:v>
                </c:pt>
                <c:pt idx="141">
                  <c:v>224.70476495045224</c:v>
                </c:pt>
                <c:pt idx="142">
                  <c:v>224.70476495045224</c:v>
                </c:pt>
                <c:pt idx="143">
                  <c:v>224.70476495045224</c:v>
                </c:pt>
                <c:pt idx="144">
                  <c:v>224.70476495045224</c:v>
                </c:pt>
                <c:pt idx="145">
                  <c:v>224.70476495045224</c:v>
                </c:pt>
                <c:pt idx="146">
                  <c:v>224.70476495045224</c:v>
                </c:pt>
                <c:pt idx="147">
                  <c:v>224.70476495045224</c:v>
                </c:pt>
                <c:pt idx="148">
                  <c:v>224.70476495045224</c:v>
                </c:pt>
                <c:pt idx="149">
                  <c:v>224.70476495045224</c:v>
                </c:pt>
                <c:pt idx="150">
                  <c:v>224.70476495045224</c:v>
                </c:pt>
                <c:pt idx="151">
                  <c:v>224.70476495045224</c:v>
                </c:pt>
                <c:pt idx="152">
                  <c:v>224.70476495045224</c:v>
                </c:pt>
                <c:pt idx="153">
                  <c:v>224.70476495045224</c:v>
                </c:pt>
                <c:pt idx="154">
                  <c:v>224.70476495045224</c:v>
                </c:pt>
                <c:pt idx="155">
                  <c:v>224.70476495045224</c:v>
                </c:pt>
                <c:pt idx="156">
                  <c:v>224.70476495045224</c:v>
                </c:pt>
                <c:pt idx="157">
                  <c:v>224.70476495045224</c:v>
                </c:pt>
                <c:pt idx="158">
                  <c:v>224.70476495045224</c:v>
                </c:pt>
                <c:pt idx="159">
                  <c:v>224.70476495045224</c:v>
                </c:pt>
                <c:pt idx="160">
                  <c:v>224.70476495045224</c:v>
                </c:pt>
                <c:pt idx="161">
                  <c:v>224.70476495045224</c:v>
                </c:pt>
                <c:pt idx="162">
                  <c:v>224.70476495045224</c:v>
                </c:pt>
                <c:pt idx="163">
                  <c:v>224.70476495045224</c:v>
                </c:pt>
                <c:pt idx="164">
                  <c:v>224.70476495045224</c:v>
                </c:pt>
                <c:pt idx="165">
                  <c:v>224.70476495045224</c:v>
                </c:pt>
                <c:pt idx="166">
                  <c:v>224.70476495045224</c:v>
                </c:pt>
                <c:pt idx="167">
                  <c:v>224.70476495045224</c:v>
                </c:pt>
                <c:pt idx="168">
                  <c:v>224.70476495045224</c:v>
                </c:pt>
                <c:pt idx="169">
                  <c:v>224.70476495045224</c:v>
                </c:pt>
                <c:pt idx="170">
                  <c:v>224.70476495045224</c:v>
                </c:pt>
                <c:pt idx="171">
                  <c:v>224.70476495045224</c:v>
                </c:pt>
                <c:pt idx="172">
                  <c:v>224.70476495045224</c:v>
                </c:pt>
                <c:pt idx="173">
                  <c:v>224.70476495045224</c:v>
                </c:pt>
                <c:pt idx="174">
                  <c:v>224.70476495045224</c:v>
                </c:pt>
                <c:pt idx="175">
                  <c:v>224.70476495045224</c:v>
                </c:pt>
                <c:pt idx="176">
                  <c:v>224.70476495045224</c:v>
                </c:pt>
                <c:pt idx="177">
                  <c:v>224.70476495045224</c:v>
                </c:pt>
                <c:pt idx="178">
                  <c:v>224.70476495045224</c:v>
                </c:pt>
                <c:pt idx="179">
                  <c:v>224.70476495045224</c:v>
                </c:pt>
                <c:pt idx="180">
                  <c:v>224.70476495045224</c:v>
                </c:pt>
                <c:pt idx="181">
                  <c:v>224.70476495045224</c:v>
                </c:pt>
                <c:pt idx="182">
                  <c:v>224.70476495045224</c:v>
                </c:pt>
                <c:pt idx="183">
                  <c:v>224.70476495045224</c:v>
                </c:pt>
                <c:pt idx="184">
                  <c:v>224.70476495045224</c:v>
                </c:pt>
                <c:pt idx="185">
                  <c:v>224.70476495045224</c:v>
                </c:pt>
                <c:pt idx="186">
                  <c:v>224.70476495045224</c:v>
                </c:pt>
                <c:pt idx="187">
                  <c:v>224.70476495045224</c:v>
                </c:pt>
                <c:pt idx="188">
                  <c:v>224.70476495045224</c:v>
                </c:pt>
                <c:pt idx="189">
                  <c:v>224.70476495045224</c:v>
                </c:pt>
                <c:pt idx="190">
                  <c:v>224.70476495045224</c:v>
                </c:pt>
                <c:pt idx="191">
                  <c:v>224.70476495045224</c:v>
                </c:pt>
                <c:pt idx="192">
                  <c:v>224.70476495045224</c:v>
                </c:pt>
                <c:pt idx="193">
                  <c:v>224.70476495045224</c:v>
                </c:pt>
                <c:pt idx="194">
                  <c:v>224.70476495045224</c:v>
                </c:pt>
                <c:pt idx="195">
                  <c:v>224.70476495045224</c:v>
                </c:pt>
                <c:pt idx="196">
                  <c:v>224.70476495045224</c:v>
                </c:pt>
                <c:pt idx="197">
                  <c:v>224.70476495045224</c:v>
                </c:pt>
                <c:pt idx="198">
                  <c:v>224.70476495045224</c:v>
                </c:pt>
                <c:pt idx="199">
                  <c:v>224.70476495045224</c:v>
                </c:pt>
                <c:pt idx="200">
                  <c:v>224.70476495045224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28" zoomScale="115" zoomScaleNormal="115" workbookViewId="0">
      <selection activeCell="C35" sqref="C35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87" t="s">
        <v>292</v>
      </c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</row>
    <row r="13" spans="2:13" ht="15" customHeight="1" x14ac:dyDescent="0.3">
      <c r="B13" s="287"/>
      <c r="C13" s="287"/>
      <c r="D13" s="287"/>
      <c r="E13" s="287"/>
      <c r="F13" s="287"/>
      <c r="G13" s="287"/>
      <c r="H13" s="287"/>
      <c r="I13" s="287"/>
      <c r="J13" s="287"/>
      <c r="K13" s="287"/>
      <c r="L13" s="287"/>
      <c r="M13" s="287"/>
    </row>
    <row r="14" spans="2:13" ht="15" customHeight="1" x14ac:dyDescent="0.3"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</row>
    <row r="15" spans="2:13" ht="18.75" customHeight="1" x14ac:dyDescent="0.3">
      <c r="B15" s="287"/>
      <c r="C15" s="287"/>
      <c r="D15" s="287"/>
      <c r="E15" s="287"/>
      <c r="F15" s="287"/>
      <c r="G15" s="287"/>
      <c r="H15" s="287"/>
      <c r="I15" s="287"/>
      <c r="J15" s="287"/>
      <c r="K15" s="287"/>
      <c r="L15" s="287"/>
      <c r="M15" s="287"/>
    </row>
    <row r="16" spans="2:13" ht="18.75" customHeight="1" x14ac:dyDescent="0.3"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</row>
    <row r="18" spans="2:13" ht="12" customHeight="1" x14ac:dyDescent="0.3">
      <c r="B18" s="287" t="s">
        <v>293</v>
      </c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</row>
    <row r="19" spans="2:13" ht="12" customHeight="1" x14ac:dyDescent="0.3">
      <c r="B19" s="287"/>
      <c r="C19" s="287"/>
      <c r="D19" s="287"/>
      <c r="E19" s="287"/>
      <c r="F19" s="287"/>
      <c r="G19" s="287"/>
      <c r="H19" s="287"/>
      <c r="I19" s="287"/>
      <c r="J19" s="287"/>
      <c r="K19" s="287"/>
      <c r="L19" s="287"/>
      <c r="M19" s="287"/>
    </row>
    <row r="20" spans="2:13" ht="12" customHeight="1" x14ac:dyDescent="0.3">
      <c r="B20" s="287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</row>
    <row r="21" spans="2:13" ht="12" customHeight="1" x14ac:dyDescent="0.3">
      <c r="B21" s="287"/>
      <c r="C21" s="287"/>
      <c r="D21" s="287"/>
      <c r="E21" s="287"/>
      <c r="F21" s="287"/>
      <c r="G21" s="287"/>
      <c r="H21" s="287"/>
      <c r="I21" s="287"/>
      <c r="J21" s="287"/>
      <c r="K21" s="287"/>
      <c r="L21" s="287"/>
      <c r="M21" s="287"/>
    </row>
    <row r="22" spans="2:13" ht="12" customHeight="1" x14ac:dyDescent="0.3">
      <c r="B22" s="287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</row>
    <row r="23" spans="2:13" ht="12" customHeight="1" x14ac:dyDescent="0.3">
      <c r="B23" s="287"/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</row>
    <row r="24" spans="2:13" ht="12" customHeight="1" x14ac:dyDescent="0.3"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</row>
    <row r="25" spans="2:13" ht="12" customHeight="1" x14ac:dyDescent="0.3">
      <c r="B25" s="287"/>
      <c r="C25" s="287"/>
      <c r="D25" s="287"/>
      <c r="E25" s="287"/>
      <c r="F25" s="287"/>
      <c r="G25" s="287"/>
      <c r="H25" s="287"/>
      <c r="I25" s="287"/>
      <c r="J25" s="287"/>
      <c r="K25" s="287"/>
      <c r="L25" s="287"/>
      <c r="M25" s="287"/>
    </row>
    <row r="26" spans="2:13" ht="12" customHeight="1" x14ac:dyDescent="0.3">
      <c r="B26" s="287"/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</row>
    <row r="27" spans="2:13" ht="12" customHeight="1" x14ac:dyDescent="0.3">
      <c r="B27" s="287"/>
      <c r="C27" s="287"/>
      <c r="D27" s="287"/>
      <c r="E27" s="287"/>
      <c r="F27" s="287"/>
      <c r="G27" s="287"/>
      <c r="H27" s="287"/>
      <c r="I27" s="287"/>
      <c r="J27" s="287"/>
      <c r="K27" s="287"/>
      <c r="L27" s="287"/>
      <c r="M27" s="287"/>
    </row>
    <row r="28" spans="2:13" ht="12" customHeight="1" x14ac:dyDescent="0.3"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</row>
    <row r="29" spans="2:13" ht="12" customHeight="1" x14ac:dyDescent="0.3">
      <c r="B29" s="287"/>
      <c r="C29" s="287"/>
      <c r="D29" s="287"/>
      <c r="E29" s="287"/>
      <c r="F29" s="287"/>
      <c r="G29" s="287"/>
      <c r="H29" s="287"/>
      <c r="I29" s="287"/>
      <c r="J29" s="287"/>
      <c r="K29" s="287"/>
      <c r="L29" s="287"/>
      <c r="M29" s="287"/>
    </row>
    <row r="30" spans="2:13" ht="12" customHeight="1" x14ac:dyDescent="0.3">
      <c r="B30" s="287"/>
      <c r="C30" s="287"/>
      <c r="D30" s="287"/>
      <c r="E30" s="287"/>
      <c r="F30" s="287"/>
      <c r="G30" s="287"/>
      <c r="H30" s="287"/>
      <c r="I30" s="287"/>
      <c r="J30" s="287"/>
      <c r="K30" s="287"/>
      <c r="L30" s="287"/>
      <c r="M30" s="287"/>
    </row>
    <row r="31" spans="2:13" ht="12" customHeight="1" x14ac:dyDescent="0.3">
      <c r="B31" s="287"/>
      <c r="C31" s="287"/>
      <c r="D31" s="287"/>
      <c r="E31" s="287"/>
      <c r="F31" s="287"/>
      <c r="G31" s="287"/>
      <c r="H31" s="287"/>
      <c r="I31" s="287"/>
      <c r="J31" s="287"/>
      <c r="K31" s="287"/>
      <c r="L31" s="287"/>
      <c r="M31" s="28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70" zoomScaleNormal="70" workbookViewId="0">
      <selection activeCell="E11" sqref="E11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320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3" t="s">
        <v>192</v>
      </c>
      <c r="C3" s="294"/>
      <c r="D3" s="294"/>
      <c r="E3" s="294"/>
      <c r="F3" s="295"/>
      <c r="G3" s="95"/>
      <c r="I3" s="228" t="s">
        <v>305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306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99" t="s">
        <v>231</v>
      </c>
      <c r="B5" s="299"/>
      <c r="C5" s="26">
        <v>7.5</v>
      </c>
      <c r="D5" s="300" t="s">
        <v>229</v>
      </c>
      <c r="E5" s="301"/>
      <c r="F5" s="97"/>
      <c r="G5" s="238"/>
      <c r="H5" s="239"/>
      <c r="I5" s="239" t="s">
        <v>321</v>
      </c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297" t="s">
        <v>226</v>
      </c>
      <c r="B7" s="297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18</v>
      </c>
      <c r="C9" s="35">
        <v>6.6666666666666666E-2</v>
      </c>
      <c r="D9" s="36">
        <f t="shared" ref="D9:D18" si="0">C9*$C$5</f>
        <v>0.5</v>
      </c>
      <c r="E9" s="37">
        <v>94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307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164</v>
      </c>
      <c r="C10" s="35">
        <v>0.26666666666666666</v>
      </c>
      <c r="D10" s="36">
        <f t="shared" si="0"/>
        <v>2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36</v>
      </c>
      <c r="C11" s="35">
        <v>0.66666666666666663</v>
      </c>
      <c r="D11" s="36">
        <f t="shared" si="0"/>
        <v>5</v>
      </c>
      <c r="E11" s="37">
        <v>62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7.5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6" t="s">
        <v>232</v>
      </c>
      <c r="B22" s="296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98" t="s">
        <v>227</v>
      </c>
      <c r="B30" s="298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Douglas</v>
      </c>
      <c r="D32" s="259" t="s">
        <v>308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88" t="s">
        <v>186</v>
      </c>
      <c r="D34" s="288"/>
      <c r="E34" s="289" t="s">
        <v>187</v>
      </c>
      <c r="F34" s="290"/>
      <c r="G34" s="290"/>
      <c r="H34" s="291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25</v>
      </c>
      <c r="B36" s="63">
        <v>119</v>
      </c>
      <c r="C36" s="63">
        <v>1</v>
      </c>
      <c r="D36" s="63">
        <v>0</v>
      </c>
      <c r="E36" s="286">
        <v>0.1</v>
      </c>
      <c r="F36" s="286">
        <v>0.8</v>
      </c>
      <c r="G36" s="286">
        <v>0</v>
      </c>
      <c r="H36" s="286">
        <v>0.1</v>
      </c>
      <c r="I36" s="52">
        <f>IFERROR(B36/A36,"")</f>
        <v>4.76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34</v>
      </c>
      <c r="B37" s="63">
        <v>230</v>
      </c>
      <c r="C37" s="63">
        <v>2</v>
      </c>
      <c r="D37" s="63">
        <v>48</v>
      </c>
      <c r="E37" s="286">
        <v>0.3</v>
      </c>
      <c r="F37" s="286">
        <v>0.5</v>
      </c>
      <c r="G37" s="286">
        <v>0</v>
      </c>
      <c r="H37" s="286">
        <v>0.2</v>
      </c>
      <c r="I37" s="56">
        <f t="shared" ref="I37:I55" si="1">IF(A37&lt;&gt;0,(B37-(B36-D36))/(A37-A36),"")</f>
        <v>12.333333333333334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44</v>
      </c>
      <c r="B38" s="63">
        <v>305</v>
      </c>
      <c r="C38" s="63">
        <v>3</v>
      </c>
      <c r="D38" s="63">
        <v>61</v>
      </c>
      <c r="E38" s="286">
        <v>0.3</v>
      </c>
      <c r="F38" s="286">
        <v>0.5</v>
      </c>
      <c r="G38" s="286">
        <v>0</v>
      </c>
      <c r="H38" s="286">
        <v>0.2</v>
      </c>
      <c r="I38" s="56">
        <f t="shared" si="1"/>
        <v>12.3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54</v>
      </c>
      <c r="B39" s="63">
        <v>358</v>
      </c>
      <c r="C39" s="63">
        <v>4</v>
      </c>
      <c r="D39" s="63">
        <v>60</v>
      </c>
      <c r="E39" s="286">
        <v>0.7</v>
      </c>
      <c r="F39" s="286">
        <v>0.3</v>
      </c>
      <c r="G39" s="286">
        <v>0</v>
      </c>
      <c r="H39" s="286">
        <v>0</v>
      </c>
      <c r="I39" s="52">
        <f t="shared" si="1"/>
        <v>11.4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64</v>
      </c>
      <c r="B40" s="63">
        <v>400</v>
      </c>
      <c r="C40" s="63">
        <v>5</v>
      </c>
      <c r="D40" s="63">
        <v>63</v>
      </c>
      <c r="E40" s="286">
        <v>0.7</v>
      </c>
      <c r="F40" s="286">
        <v>0.3</v>
      </c>
      <c r="G40" s="286">
        <v>0</v>
      </c>
      <c r="H40" s="286">
        <v>0</v>
      </c>
      <c r="I40" s="52">
        <f t="shared" si="1"/>
        <v>10.199999999999999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74</v>
      </c>
      <c r="B41" s="63">
        <v>425</v>
      </c>
      <c r="C41" s="63">
        <v>6</v>
      </c>
      <c r="D41" s="63">
        <v>63</v>
      </c>
      <c r="E41" s="286">
        <v>0.7</v>
      </c>
      <c r="F41" s="286">
        <v>0.3</v>
      </c>
      <c r="G41" s="286">
        <v>0</v>
      </c>
      <c r="H41" s="286">
        <v>0</v>
      </c>
      <c r="I41" s="56">
        <f t="shared" si="1"/>
        <v>8.8000000000000007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84</v>
      </c>
      <c r="B42" s="63">
        <v>435</v>
      </c>
      <c r="C42" s="63">
        <v>7</v>
      </c>
      <c r="D42" s="63">
        <v>58</v>
      </c>
      <c r="E42" s="286">
        <v>0.7</v>
      </c>
      <c r="F42" s="286">
        <v>0.3</v>
      </c>
      <c r="G42" s="286">
        <v>0</v>
      </c>
      <c r="H42" s="286">
        <v>0</v>
      </c>
      <c r="I42" s="56">
        <f t="shared" si="1"/>
        <v>7.3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94</v>
      </c>
      <c r="B43" s="63">
        <v>438</v>
      </c>
      <c r="C43" s="63">
        <v>8</v>
      </c>
      <c r="D43" s="63">
        <v>438</v>
      </c>
      <c r="E43" s="286">
        <v>0.7</v>
      </c>
      <c r="F43" s="286">
        <v>0.3</v>
      </c>
      <c r="G43" s="286">
        <v>0</v>
      </c>
      <c r="H43" s="286">
        <v>0</v>
      </c>
      <c r="I43" s="52">
        <f t="shared" si="1"/>
        <v>6.1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Cèdre de l'Atlas</v>
      </c>
      <c r="D58" s="259" t="s">
        <v>308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88" t="s">
        <v>186</v>
      </c>
      <c r="D60" s="288"/>
      <c r="E60" s="289" t="s">
        <v>187</v>
      </c>
      <c r="F60" s="290"/>
      <c r="G60" s="290"/>
      <c r="H60" s="291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115</v>
      </c>
      <c r="C62" s="53">
        <v>1</v>
      </c>
      <c r="D62" s="63">
        <v>34.5</v>
      </c>
      <c r="E62" s="286">
        <v>0.1</v>
      </c>
      <c r="F62" s="286">
        <v>0.8</v>
      </c>
      <c r="G62" s="286">
        <v>0</v>
      </c>
      <c r="H62" s="286">
        <v>0.1</v>
      </c>
      <c r="I62" s="56">
        <f>IFERROR(B62/A62,"")</f>
        <v>5.75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30</v>
      </c>
      <c r="B63" s="63">
        <v>145.5</v>
      </c>
      <c r="C63" s="53">
        <v>2</v>
      </c>
      <c r="D63" s="63">
        <v>29.1</v>
      </c>
      <c r="E63" s="286">
        <v>0.3</v>
      </c>
      <c r="F63" s="286">
        <v>0.5</v>
      </c>
      <c r="G63" s="286">
        <v>0</v>
      </c>
      <c r="H63" s="286">
        <v>0.2</v>
      </c>
      <c r="I63" s="52">
        <f>IF(A63&lt;&gt;0,(B63-(B62-D62))/(A63-A62),"")</f>
        <v>6.5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40</v>
      </c>
      <c r="B64" s="63">
        <v>186.4</v>
      </c>
      <c r="C64" s="53">
        <v>3</v>
      </c>
      <c r="D64" s="63">
        <v>37.280000000000008</v>
      </c>
      <c r="E64" s="286">
        <v>0.3</v>
      </c>
      <c r="F64" s="286">
        <v>0.5</v>
      </c>
      <c r="G64" s="286">
        <v>0</v>
      </c>
      <c r="H64" s="286">
        <v>0.2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60</v>
      </c>
      <c r="B65" s="63">
        <v>299.12</v>
      </c>
      <c r="C65" s="53">
        <v>4</v>
      </c>
      <c r="D65" s="63">
        <v>299.12</v>
      </c>
      <c r="E65" s="286">
        <v>0.7</v>
      </c>
      <c r="F65" s="286">
        <v>0.3</v>
      </c>
      <c r="G65" s="286">
        <v>0</v>
      </c>
      <c r="H65" s="286">
        <v>0</v>
      </c>
      <c r="I65" s="52">
        <f>IF(A65&lt;&gt;0,(B65-(B64-D64))/(A65-A64),"")</f>
        <v>7.5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53"/>
      <c r="D66" s="63"/>
      <c r="E66" s="286"/>
      <c r="F66" s="286"/>
      <c r="G66" s="286"/>
      <c r="H66" s="286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53"/>
      <c r="D67" s="63"/>
      <c r="E67" s="286"/>
      <c r="F67" s="286"/>
      <c r="G67" s="286"/>
      <c r="H67" s="286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53"/>
      <c r="D68" s="63"/>
      <c r="E68" s="286"/>
      <c r="F68" s="286"/>
      <c r="G68" s="286"/>
      <c r="H68" s="286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Pin maritime</v>
      </c>
      <c r="D84" s="259" t="s">
        <v>308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88" t="s">
        <v>186</v>
      </c>
      <c r="D86" s="288"/>
      <c r="E86" s="289" t="s">
        <v>187</v>
      </c>
      <c r="F86" s="290"/>
      <c r="G86" s="290"/>
      <c r="H86" s="291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12</v>
      </c>
      <c r="B88" s="63">
        <v>15.8</v>
      </c>
      <c r="C88" s="53">
        <v>1</v>
      </c>
      <c r="D88" s="63">
        <v>0</v>
      </c>
      <c r="E88" s="286">
        <v>0.1</v>
      </c>
      <c r="F88" s="286">
        <v>0.8</v>
      </c>
      <c r="G88" s="286">
        <v>0</v>
      </c>
      <c r="H88" s="286">
        <v>0.1</v>
      </c>
      <c r="I88" s="56">
        <f>IFERROR(B88/A88,"")</f>
        <v>1.3166666666666667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16</v>
      </c>
      <c r="B89" s="63">
        <v>40</v>
      </c>
      <c r="C89" s="53">
        <v>2</v>
      </c>
      <c r="D89" s="63">
        <v>4.0999999999999996</v>
      </c>
      <c r="E89" s="286">
        <v>0.29999999999999993</v>
      </c>
      <c r="F89" s="286">
        <v>0.5</v>
      </c>
      <c r="G89" s="286">
        <v>0</v>
      </c>
      <c r="H89" s="286">
        <v>0.2</v>
      </c>
      <c r="I89" s="56">
        <f t="shared" ref="I89:I107" si="3">IF(A89&lt;&gt;0,(B89-(B88-D88))/(A89-A88),"")</f>
        <v>6.05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20</v>
      </c>
      <c r="B90" s="63">
        <v>61.1</v>
      </c>
      <c r="C90" s="53">
        <v>3</v>
      </c>
      <c r="D90" s="63">
        <v>4.7</v>
      </c>
      <c r="E90" s="286">
        <v>0.3</v>
      </c>
      <c r="F90" s="286">
        <v>0.5</v>
      </c>
      <c r="G90" s="286">
        <v>0</v>
      </c>
      <c r="H90" s="286">
        <v>0.2</v>
      </c>
      <c r="I90" s="56">
        <f t="shared" si="3"/>
        <v>6.3000000000000007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24</v>
      </c>
      <c r="B91" s="63">
        <v>89.2</v>
      </c>
      <c r="C91" s="53">
        <v>4</v>
      </c>
      <c r="D91" s="63">
        <v>12.5</v>
      </c>
      <c r="E91" s="286">
        <v>0.3</v>
      </c>
      <c r="F91" s="286">
        <v>0.5</v>
      </c>
      <c r="G91" s="286">
        <v>0</v>
      </c>
      <c r="H91" s="286">
        <v>0.20000000000000004</v>
      </c>
      <c r="I91" s="56">
        <f t="shared" si="3"/>
        <v>8.2000000000000011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28</v>
      </c>
      <c r="B92" s="63">
        <v>108.2</v>
      </c>
      <c r="C92" s="53">
        <v>5</v>
      </c>
      <c r="D92" s="63">
        <v>13.1</v>
      </c>
      <c r="E92" s="286">
        <v>0.3</v>
      </c>
      <c r="F92" s="286">
        <v>0.5</v>
      </c>
      <c r="G92" s="286">
        <v>0</v>
      </c>
      <c r="H92" s="286">
        <v>0.2</v>
      </c>
      <c r="I92" s="56">
        <f t="shared" si="3"/>
        <v>7.875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34</v>
      </c>
      <c r="B93" s="63">
        <v>143</v>
      </c>
      <c r="C93" s="53">
        <v>6</v>
      </c>
      <c r="D93" s="63">
        <v>24.8</v>
      </c>
      <c r="E93" s="286">
        <v>0.3</v>
      </c>
      <c r="F93" s="286">
        <v>0.5</v>
      </c>
      <c r="G93" s="286">
        <v>0</v>
      </c>
      <c r="H93" s="286">
        <v>0.2</v>
      </c>
      <c r="I93" s="56">
        <f t="shared" si="3"/>
        <v>7.9833333333333316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40</v>
      </c>
      <c r="B94" s="63">
        <v>161.6</v>
      </c>
      <c r="C94" s="53">
        <v>7</v>
      </c>
      <c r="D94" s="63">
        <v>23.3</v>
      </c>
      <c r="E94" s="286">
        <v>0.3</v>
      </c>
      <c r="F94" s="286">
        <v>0.5</v>
      </c>
      <c r="G94" s="286">
        <v>0</v>
      </c>
      <c r="H94" s="286">
        <v>0.2</v>
      </c>
      <c r="I94" s="56">
        <f t="shared" si="3"/>
        <v>7.2333333333333316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46</v>
      </c>
      <c r="B95" s="63">
        <v>172.6</v>
      </c>
      <c r="C95" s="53">
        <v>8</v>
      </c>
      <c r="D95" s="63">
        <v>18.600000000000001</v>
      </c>
      <c r="E95" s="286">
        <v>0.3</v>
      </c>
      <c r="F95" s="286">
        <v>0.5</v>
      </c>
      <c r="G95" s="286">
        <v>0</v>
      </c>
      <c r="H95" s="286">
        <v>0.2</v>
      </c>
      <c r="I95" s="56">
        <f t="shared" si="3"/>
        <v>5.7166666666666686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54</v>
      </c>
      <c r="B96" s="63">
        <v>183.6</v>
      </c>
      <c r="C96" s="53">
        <v>9</v>
      </c>
      <c r="D96" s="63">
        <v>15.7</v>
      </c>
      <c r="E96" s="93">
        <v>0.7</v>
      </c>
      <c r="F96" s="93">
        <v>0.3</v>
      </c>
      <c r="G96" s="93">
        <v>0</v>
      </c>
      <c r="H96" s="93">
        <v>0</v>
      </c>
      <c r="I96" s="56">
        <f t="shared" si="3"/>
        <v>3.6999999999999993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62</v>
      </c>
      <c r="B97" s="63">
        <v>180.7</v>
      </c>
      <c r="C97" s="53">
        <v>10</v>
      </c>
      <c r="D97" s="63">
        <v>10.7</v>
      </c>
      <c r="E97" s="93">
        <v>0.7</v>
      </c>
      <c r="F97" s="93">
        <v>0.3</v>
      </c>
      <c r="G97" s="93">
        <v>0</v>
      </c>
      <c r="H97" s="93">
        <v>0</v>
      </c>
      <c r="I97" s="56">
        <f t="shared" si="3"/>
        <v>1.5999999999999979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5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308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88" t="s">
        <v>186</v>
      </c>
      <c r="D112" s="288"/>
      <c r="E112" s="289" t="s">
        <v>187</v>
      </c>
      <c r="F112" s="290"/>
      <c r="G112" s="290"/>
      <c r="H112" s="291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308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88" t="s">
        <v>186</v>
      </c>
      <c r="D138" s="288"/>
      <c r="E138" s="289" t="s">
        <v>187</v>
      </c>
      <c r="F138" s="290"/>
      <c r="G138" s="290"/>
      <c r="H138" s="291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308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88" t="s">
        <v>186</v>
      </c>
      <c r="D164" s="288"/>
      <c r="E164" s="289" t="s">
        <v>187</v>
      </c>
      <c r="F164" s="290"/>
      <c r="G164" s="290"/>
      <c r="H164" s="291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308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88" t="s">
        <v>186</v>
      </c>
      <c r="D190" s="288"/>
      <c r="E190" s="289" t="s">
        <v>187</v>
      </c>
      <c r="F190" s="290"/>
      <c r="G190" s="290"/>
      <c r="H190" s="291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88" t="s">
        <v>186</v>
      </c>
      <c r="D216" s="288"/>
      <c r="E216" s="289" t="s">
        <v>187</v>
      </c>
      <c r="F216" s="290"/>
      <c r="G216" s="290"/>
      <c r="H216" s="291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308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88" t="s">
        <v>186</v>
      </c>
      <c r="D242" s="288"/>
      <c r="E242" s="289" t="s">
        <v>187</v>
      </c>
      <c r="F242" s="290"/>
      <c r="G242" s="290"/>
      <c r="H242" s="291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308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88" t="s">
        <v>186</v>
      </c>
      <c r="D268" s="288"/>
      <c r="E268" s="289" t="s">
        <v>187</v>
      </c>
      <c r="F268" s="290"/>
      <c r="G268" s="290"/>
      <c r="H268" s="291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WNNfjMejANGVl6TwNyOWjr6uE9FSKeYKc8G1xSRzhSSEEHHoiD4MGdHL+75tgTa2hkuargjtI146ITZNl/t3TQ==" saltValue="Rm8CBJr+fsZI1hzxuzToYA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 xr:uid="{00000000-0002-0000-0100-000000000000}">
      <formula1>Essence</formula1>
    </dataValidation>
    <dataValidation type="list" allowBlank="1" showInputMessage="1" showErrorMessage="1" sqref="C24" xr:uid="{00000000-0002-0000-0100-000001000000}">
      <formula1>VAN</formula1>
    </dataValidation>
    <dataValidation type="list" allowBlank="1" showInputMessage="1" showErrorMessage="1" sqref="C26" xr:uid="{00000000-0002-0000-0100-000002000000}">
      <formula1>Incendie</formula1>
    </dataValidation>
    <dataValidation type="list" allowBlank="1" showInputMessage="1" showErrorMessage="1" sqref="C27" xr:uid="{00000000-0002-0000-0100-000003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85" zoomScaleNormal="85" workbookViewId="0">
      <selection activeCell="G16" sqref="G16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3" t="s">
        <v>191</v>
      </c>
      <c r="C2" s="304"/>
      <c r="D2" s="304"/>
      <c r="E2" s="304"/>
      <c r="F2" s="304"/>
      <c r="G2" s="305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2"/>
      <c r="C4" s="302"/>
      <c r="D4" s="302"/>
      <c r="E4" s="302"/>
      <c r="F4" s="302"/>
      <c r="G4" s="302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297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296</v>
      </c>
      <c r="C7" s="109" t="s">
        <v>214</v>
      </c>
      <c r="D7" s="235"/>
      <c r="E7" s="110"/>
      <c r="F7" s="29" t="s">
        <v>296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302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310</v>
      </c>
      <c r="D14" s="236"/>
      <c r="E14" s="108"/>
      <c r="F14" s="116"/>
      <c r="G14" s="107" t="s">
        <v>295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296</v>
      </c>
      <c r="C15" s="5"/>
      <c r="D15" s="25"/>
      <c r="E15" s="5"/>
      <c r="F15" s="5"/>
      <c r="G15" s="2" t="s">
        <v>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bYYTRLA362MILumSLNbeoQ2hy+GJikiAN9JWuBENQVQ+g49rNjpbVQfv4HKmwJd5sECAbS9qnJ5D7VbOYAr62A==" saltValue="mhj60ytZCew56tNQmRqpzw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H3" sqref="BH3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09" t="s">
        <v>176</v>
      </c>
      <c r="C1" s="310"/>
      <c r="D1" s="310"/>
      <c r="E1" s="310"/>
      <c r="F1" s="310"/>
      <c r="G1" s="310"/>
      <c r="H1" s="311"/>
      <c r="I1" s="306" t="str">
        <f>IF('Données projet'!$B$9="","",'Données projet'!$B$9)</f>
        <v>Douglas</v>
      </c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8"/>
      <c r="AD1" s="307" t="str">
        <f>IF('Données projet'!$B$10="","",'Données projet'!$B$10)</f>
        <v>Cèdre de l'Atlas</v>
      </c>
      <c r="AE1" s="307"/>
      <c r="AF1" s="307"/>
      <c r="AG1" s="307"/>
      <c r="AH1" s="307"/>
      <c r="AI1" s="307"/>
      <c r="AJ1" s="307"/>
      <c r="AK1" s="307"/>
      <c r="AL1" s="307"/>
      <c r="AM1" s="307"/>
      <c r="AN1" s="307"/>
      <c r="AO1" s="307"/>
      <c r="AP1" s="307"/>
      <c r="AQ1" s="307"/>
      <c r="AR1" s="307"/>
      <c r="AS1" s="307"/>
      <c r="AT1" s="307"/>
      <c r="AU1" s="307"/>
      <c r="AV1" s="307"/>
      <c r="AW1" s="307"/>
      <c r="AX1" s="308"/>
      <c r="AY1" s="306" t="str">
        <f>IF('Données projet'!$B$11="","",'Données projet'!$B$11)</f>
        <v>Pin maritime</v>
      </c>
      <c r="AZ1" s="307"/>
      <c r="BA1" s="307"/>
      <c r="BB1" s="307"/>
      <c r="BC1" s="307"/>
      <c r="BD1" s="307"/>
      <c r="BE1" s="307"/>
      <c r="BF1" s="307"/>
      <c r="BG1" s="307"/>
      <c r="BH1" s="307"/>
      <c r="BI1" s="307"/>
      <c r="BJ1" s="307"/>
      <c r="BK1" s="307"/>
      <c r="BL1" s="307"/>
      <c r="BM1" s="307"/>
      <c r="BN1" s="307"/>
      <c r="BO1" s="307"/>
      <c r="BP1" s="307"/>
      <c r="BQ1" s="307"/>
      <c r="BR1" s="307"/>
      <c r="BS1" s="308"/>
      <c r="BT1" s="306" t="str">
        <f>IF('Données projet'!$B$12="","",'Données projet'!$B$12)</f>
        <v/>
      </c>
      <c r="BU1" s="307"/>
      <c r="BV1" s="307"/>
      <c r="BW1" s="307"/>
      <c r="BX1" s="307"/>
      <c r="BY1" s="307"/>
      <c r="BZ1" s="307"/>
      <c r="CA1" s="307"/>
      <c r="CB1" s="307"/>
      <c r="CC1" s="307"/>
      <c r="CD1" s="307"/>
      <c r="CE1" s="307"/>
      <c r="CF1" s="307"/>
      <c r="CG1" s="307"/>
      <c r="CH1" s="307"/>
      <c r="CI1" s="307"/>
      <c r="CJ1" s="307"/>
      <c r="CK1" s="307"/>
      <c r="CL1" s="307"/>
      <c r="CM1" s="307"/>
      <c r="CN1" s="308"/>
      <c r="CO1" s="306" t="str">
        <f>IF('Données projet'!$B$13="","",'Données projet'!$B$13)</f>
        <v/>
      </c>
      <c r="CP1" s="307"/>
      <c r="CQ1" s="307"/>
      <c r="CR1" s="307"/>
      <c r="CS1" s="307"/>
      <c r="CT1" s="307"/>
      <c r="CU1" s="307"/>
      <c r="CV1" s="307"/>
      <c r="CW1" s="307"/>
      <c r="CX1" s="307"/>
      <c r="CY1" s="307"/>
      <c r="CZ1" s="307"/>
      <c r="DA1" s="307"/>
      <c r="DB1" s="307"/>
      <c r="DC1" s="307"/>
      <c r="DD1" s="307"/>
      <c r="DE1" s="307"/>
      <c r="DF1" s="307"/>
      <c r="DG1" s="307"/>
      <c r="DH1" s="307"/>
      <c r="DI1" s="308"/>
      <c r="DJ1" s="306" t="str">
        <f>IF('Données projet'!$B$14="","",'Données projet'!$B$14)</f>
        <v/>
      </c>
      <c r="DK1" s="307"/>
      <c r="DL1" s="307"/>
      <c r="DM1" s="307"/>
      <c r="DN1" s="307"/>
      <c r="DO1" s="307"/>
      <c r="DP1" s="307"/>
      <c r="DQ1" s="307"/>
      <c r="DR1" s="307"/>
      <c r="DS1" s="307"/>
      <c r="DT1" s="307"/>
      <c r="DU1" s="307"/>
      <c r="DV1" s="307"/>
      <c r="DW1" s="307"/>
      <c r="DX1" s="307"/>
      <c r="DY1" s="307"/>
      <c r="DZ1" s="307"/>
      <c r="EA1" s="307"/>
      <c r="EB1" s="307"/>
      <c r="EC1" s="307"/>
      <c r="ED1" s="308"/>
      <c r="EE1" s="306" t="str">
        <f>IF('Données projet'!$B$15="","",'Données projet'!$B$15)</f>
        <v/>
      </c>
      <c r="EF1" s="307"/>
      <c r="EG1" s="307"/>
      <c r="EH1" s="307"/>
      <c r="EI1" s="307"/>
      <c r="EJ1" s="307"/>
      <c r="EK1" s="307"/>
      <c r="EL1" s="307"/>
      <c r="EM1" s="307"/>
      <c r="EN1" s="307"/>
      <c r="EO1" s="307"/>
      <c r="EP1" s="307"/>
      <c r="EQ1" s="307"/>
      <c r="ER1" s="307"/>
      <c r="ES1" s="307"/>
      <c r="ET1" s="307"/>
      <c r="EU1" s="307"/>
      <c r="EV1" s="307"/>
      <c r="EW1" s="307"/>
      <c r="EX1" s="307"/>
      <c r="EY1" s="308"/>
      <c r="EZ1" s="306" t="str">
        <f>IF('Données projet'!$B$16="","",'Données projet'!$B$16)</f>
        <v/>
      </c>
      <c r="FA1" s="307"/>
      <c r="FB1" s="307"/>
      <c r="FC1" s="307"/>
      <c r="FD1" s="307"/>
      <c r="FE1" s="307"/>
      <c r="FF1" s="307"/>
      <c r="FG1" s="307"/>
      <c r="FH1" s="307"/>
      <c r="FI1" s="307"/>
      <c r="FJ1" s="307"/>
      <c r="FK1" s="307"/>
      <c r="FL1" s="307"/>
      <c r="FM1" s="307"/>
      <c r="FN1" s="307"/>
      <c r="FO1" s="307"/>
      <c r="FP1" s="307"/>
      <c r="FQ1" s="307"/>
      <c r="FR1" s="307"/>
      <c r="FS1" s="307"/>
      <c r="FT1" s="308"/>
      <c r="FU1" s="306" t="str">
        <f>IF('Données projet'!$B$17="","",'Données projet'!$B$17)</f>
        <v/>
      </c>
      <c r="FV1" s="307"/>
      <c r="FW1" s="307"/>
      <c r="FX1" s="307"/>
      <c r="FY1" s="307"/>
      <c r="FZ1" s="307"/>
      <c r="GA1" s="307"/>
      <c r="GB1" s="307"/>
      <c r="GC1" s="307"/>
      <c r="GD1" s="307"/>
      <c r="GE1" s="307"/>
      <c r="GF1" s="307"/>
      <c r="GG1" s="307"/>
      <c r="GH1" s="307"/>
      <c r="GI1" s="307"/>
      <c r="GJ1" s="307"/>
      <c r="GK1" s="307"/>
      <c r="GL1" s="307"/>
      <c r="GM1" s="307"/>
      <c r="GN1" s="307"/>
      <c r="GO1" s="308"/>
      <c r="GP1" s="306" t="str">
        <f>IF('Données projet'!$B$18="","",'Données projet'!$B$18)</f>
        <v/>
      </c>
      <c r="GQ1" s="307"/>
      <c r="GR1" s="307"/>
      <c r="GS1" s="307"/>
      <c r="GT1" s="307"/>
      <c r="GU1" s="307"/>
      <c r="GV1" s="307"/>
      <c r="GW1" s="307"/>
      <c r="GX1" s="307"/>
      <c r="GY1" s="307"/>
      <c r="GZ1" s="307"/>
      <c r="HA1" s="307"/>
      <c r="HB1" s="307"/>
      <c r="HC1" s="307"/>
      <c r="HD1" s="307"/>
      <c r="HE1" s="307"/>
      <c r="HF1" s="307"/>
      <c r="HG1" s="307"/>
      <c r="HH1" s="307"/>
      <c r="HI1" s="307"/>
      <c r="HJ1" s="308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299</v>
      </c>
      <c r="F2" s="6" t="s">
        <v>298</v>
      </c>
      <c r="G2" s="6" t="s">
        <v>303</v>
      </c>
      <c r="H2" s="69" t="s">
        <v>300</v>
      </c>
      <c r="I2" s="72" t="s">
        <v>299</v>
      </c>
      <c r="J2" s="73" t="s">
        <v>298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303</v>
      </c>
      <c r="R2" s="7" t="s">
        <v>301</v>
      </c>
      <c r="S2" s="7" t="s">
        <v>309</v>
      </c>
      <c r="T2" s="7" t="s">
        <v>304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299</v>
      </c>
      <c r="AE2" s="73" t="s">
        <v>298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303</v>
      </c>
      <c r="AM2" s="7" t="s">
        <v>301</v>
      </c>
      <c r="AN2" s="7" t="s">
        <v>309</v>
      </c>
      <c r="AO2" s="7" t="s">
        <v>304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299</v>
      </c>
      <c r="AZ2" s="73" t="s">
        <v>298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303</v>
      </c>
      <c r="BH2" s="7" t="s">
        <v>301</v>
      </c>
      <c r="BI2" s="7" t="s">
        <v>309</v>
      </c>
      <c r="BJ2" s="7" t="s">
        <v>304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299</v>
      </c>
      <c r="BU2" s="73" t="s">
        <v>298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303</v>
      </c>
      <c r="CC2" s="7" t="s">
        <v>301</v>
      </c>
      <c r="CD2" s="7" t="s">
        <v>309</v>
      </c>
      <c r="CE2" s="7" t="s">
        <v>304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299</v>
      </c>
      <c r="CP2" s="73" t="s">
        <v>298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303</v>
      </c>
      <c r="CX2" s="7" t="s">
        <v>301</v>
      </c>
      <c r="CY2" s="7" t="s">
        <v>309</v>
      </c>
      <c r="CZ2" s="7" t="s">
        <v>304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299</v>
      </c>
      <c r="DK2" s="73" t="s">
        <v>298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303</v>
      </c>
      <c r="DS2" s="7" t="s">
        <v>301</v>
      </c>
      <c r="DT2" s="7" t="s">
        <v>309</v>
      </c>
      <c r="DU2" s="7" t="s">
        <v>304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299</v>
      </c>
      <c r="EF2" s="73" t="s">
        <v>298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303</v>
      </c>
      <c r="EN2" s="7" t="s">
        <v>301</v>
      </c>
      <c r="EO2" s="7" t="s">
        <v>309</v>
      </c>
      <c r="EP2" s="7" t="s">
        <v>304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299</v>
      </c>
      <c r="FA2" s="73" t="s">
        <v>298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303</v>
      </c>
      <c r="FI2" s="7" t="s">
        <v>301</v>
      </c>
      <c r="FJ2" s="7" t="s">
        <v>309</v>
      </c>
      <c r="FK2" s="7" t="s">
        <v>304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299</v>
      </c>
      <c r="FV2" s="73" t="s">
        <v>298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303</v>
      </c>
      <c r="GD2" s="7" t="s">
        <v>301</v>
      </c>
      <c r="GE2" s="7" t="s">
        <v>309</v>
      </c>
      <c r="GF2" s="7" t="s">
        <v>304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299</v>
      </c>
      <c r="GQ2" s="73" t="s">
        <v>298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303</v>
      </c>
      <c r="GY2" s="7" t="s">
        <v>301</v>
      </c>
      <c r="GZ2" s="7" t="s">
        <v>309</v>
      </c>
      <c r="HA2" s="7" t="s">
        <v>304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222.18341301864729</v>
      </c>
      <c r="T3" s="62">
        <f>IF('Données projet'!E9&gt;30,$R$33-$H$33,LOOKUP('Données projet'!$E$9,$A$3:$A$203,R3:R203)-LOOKUP('Données projet'!$E$9,$A$3:$A$203,$H$3:$H$203))</f>
        <v>172.63628480089358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82.840015321739202</v>
      </c>
      <c r="AO3" s="62">
        <f>IF('Données projet'!E10&gt;30,$AM$33-$H$33,LOOKUP('Données projet'!$E$10,$A$3:$A$203,AM3:AM203)-LOOKUP('Données projet'!$E$10,$A$3:$A$203,$H$3:$H$203))</f>
        <v>101.40622074610098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83.354474428753292</v>
      </c>
      <c r="BJ3" s="62">
        <f>IF('Données projet'!E11&gt;30,$BH$33-$H$33,LOOKUP('Données projet'!$E$11,$A$3:$A$203,BH3:BH203)-LOOKUP('Données projet'!$E$11,$A$3:$A$203,$H$3:$H$203))</f>
        <v>97.75861379589162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0.73319999999999996</v>
      </c>
      <c r="D4" s="12">
        <f>IFERROR(EXP(-1.0587+0.8836*LN(C4)+0.284),0)</f>
        <v>0.35031814074723205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8.3639996829610901</v>
      </c>
      <c r="H4" s="70">
        <f t="shared" ref="H4:H67" si="1">(B4+E4+F4)*44/12+(C4+D4)*0.475*44/12</f>
        <v>295.22046076180141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4.76</v>
      </c>
      <c r="N4" s="14">
        <f>IF('Données projet'!$A$36&gt;35,N3+M4-V3,IF(A4&lt;'Données projet'!$A$36,$K$205^A4,IF(A4='Données projet'!$A$36,'Données projet'!$B$36,N3+M4-V3)))</f>
        <v>1.2106591213960454</v>
      </c>
      <c r="O4" s="14">
        <f>N4*VLOOKUP('Données projet'!$B$9,Paramètres!$A$1:$I$88,3,0)*VLOOKUP('Données projet'!$B$9,Paramètres!$A$1:$I$88,5,0)</f>
        <v>0.67675844886038938</v>
      </c>
      <c r="P4" s="14">
        <f>EXP(-1.0587+0.8836*LN(O4)+0.284)</f>
        <v>0.32637979862070121</v>
      </c>
      <c r="Q4" s="22">
        <f t="shared" ref="Q4:Q34" si="2">(O4+P4)*0.475*44/12</f>
        <v>1.7471324476962327</v>
      </c>
      <c r="R4" s="62">
        <f t="shared" si="0"/>
        <v>295.08046578102955</v>
      </c>
      <c r="S4" s="62">
        <f ca="1">AVERAGE(OFFSET($R$3,0,0,'Données projet'!$E$9+1,1))-AVERAGE(OFFSET($H$3,0,0,'Données projet'!$E$9+1,1))</f>
        <v>222.18341301864729</v>
      </c>
      <c r="T4" s="62">
        <f>$T$3</f>
        <v>172.63628480089358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5.75</v>
      </c>
      <c r="AI4" s="14">
        <f>IF('Données projet'!$A$62&gt;35,AI3+AH4-AQ3,IF(A4&lt;'Données projet'!$A$62,$AF$205^A4,IF(A4='Données projet'!$A$62,'Données projet'!$B$62,AI3+AH4-AQ3)))</f>
        <v>1.2677537154322802</v>
      </c>
      <c r="AJ4" s="14">
        <f>AI4*VLOOKUP('Données projet'!$B$10,Paramètres!$A$1:$I$88,3,0)*VLOOKUP('Données projet'!$B$10,Paramètres!$A$1:$I$88,5,0)</f>
        <v>0.59330873882230706</v>
      </c>
      <c r="AK4" s="14">
        <f>EXP(-1.0587+0.8836*LN(AJ4)+0.284)</f>
        <v>0.29055137246158741</v>
      </c>
      <c r="AL4" s="22">
        <f t="shared" ref="AL4:AL67" si="4">(AJ4+AK4)*0.475*44/12</f>
        <v>1.5393896938194491</v>
      </c>
      <c r="AM4" s="62">
        <f t="shared" ref="AM4:AM67" si="5">AL4+(AD4+AE4)*44/12</f>
        <v>294.87272302715274</v>
      </c>
      <c r="AN4" s="62">
        <f ca="1">AVERAGE(OFFSET($AM$3,0,0,'Données projet'!$E$10+1,1))-AVERAGE(OFFSET($H$3,0,0,'Données projet'!$E$10+1,1))</f>
        <v>82.840015321739202</v>
      </c>
      <c r="AO4" s="62">
        <f>$AO$3</f>
        <v>101.40622074610098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1.3166666666666667</v>
      </c>
      <c r="BD4" s="13">
        <f>IF('Données projet'!$A$88&gt;35,BD3+BC4-BL3,IF(A4&lt;'Données projet'!$A$88,$BA$205^A4,IF(A4='Données projet'!$A$88,'Données projet'!$B$88,BD3+BC4-BL3)))</f>
        <v>1.2586010524737041</v>
      </c>
      <c r="BE4" s="14">
        <f>BD4*VLOOKUP('Données projet'!$B$11,Paramètres!$A$1:$I$88,3,0)*VLOOKUP('Données projet'!$B$11,Paramètres!$A$1:$I$88,5,0)</f>
        <v>0.75264342937927509</v>
      </c>
      <c r="BF4" s="14">
        <f>EXP(-1.0587+0.8836*LN(BE4)+0.284)</f>
        <v>0.3585141884712072</v>
      </c>
      <c r="BG4" s="22">
        <f t="shared" ref="BG4:BG67" si="7">(BE4+BF4)*0.475*44/12</f>
        <v>1.9352661844229233</v>
      </c>
      <c r="BH4" s="62">
        <f t="shared" ref="BH4:BH67" si="8">BG4+(AY4+AZ4)*44/12</f>
        <v>295.26859951775623</v>
      </c>
      <c r="BI4" s="62">
        <f ca="1">AVERAGE(OFFSET($BH$3,0,0,'Données projet'!$E$11+1,1))-AVERAGE(OFFSET($H$3,0,0,'Données projet'!$E$11+1,1))</f>
        <v>83.354474428753292</v>
      </c>
      <c r="BJ4" s="62">
        <f>$BJ$3</f>
        <v>97.75861379589162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projet'!$B$12,Paramètres!$A$1:$I$88,3,0)*0.475*44/12</f>
        <v>#N/A</v>
      </c>
      <c r="CL4" s="23" t="e">
        <f>EXP(-LN(2)/25)*CL3+(1-EXP(-LN(2)/25))/(LN(2)/25)*Calculateur!CG4*Calculateur!CI4*VLOOKUP('Données projet'!$B$12,Paramètres!$A$1:$I$88,3,0)*0.475*44/12</f>
        <v>#N/A</v>
      </c>
      <c r="CM4" s="23" t="e">
        <f>EXP(-LN(2)/2)*CM3+(1-EXP(-LN(2)/2))/(LN(2)/2)*CG4*CJ4*VLOOKUP('Données projet'!$B$12,Paramètres!$A$1:$I$88,3,0)*0.475*44/12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1.4663999999999999</v>
      </c>
      <c r="D5" s="12">
        <f t="shared" ref="D5:D68" si="32">IFERROR(EXP(-1.0587+0.8836*LN(C5)+0.284),0)</f>
        <v>0.64632764391155073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16.308774795106711</v>
      </c>
      <c r="H5" s="70">
        <f t="shared" si="1"/>
        <v>297.01300064647927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4.76</v>
      </c>
      <c r="N5" s="14">
        <f>IF('Données projet'!$A$36&gt;35,N4+M5-V4,IF(A5&lt;'Données projet'!$A$36,$K$205^A5,IF(A5='Données projet'!$A$36,'Données projet'!$B$36,N4+M5-V4)))</f>
        <v>1.4656955082194445</v>
      </c>
      <c r="O5" s="14">
        <f>N5*VLOOKUP('Données projet'!$B$9,Paramètres!$A$1:$I$88,3,0)*VLOOKUP('Données projet'!$B$9,Paramètres!$A$1:$I$88,5,0)</f>
        <v>0.81932378909466952</v>
      </c>
      <c r="P5" s="14">
        <f t="shared" ref="P5:P68" si="33">EXP(-1.0587+0.8836*LN(O5)+0.284)</f>
        <v>0.3864394024811858</v>
      </c>
      <c r="Q5" s="22">
        <f t="shared" si="2"/>
        <v>2.1000375586612816</v>
      </c>
      <c r="R5" s="62">
        <f t="shared" si="0"/>
        <v>295.43337089199457</v>
      </c>
      <c r="S5" s="62">
        <f ca="1">AVERAGE(OFFSET($R$3,0,0,'Données projet'!$E$9+1,1))-AVERAGE(OFFSET($H$3,0,0,'Données projet'!$E$9+1,1))</f>
        <v>222.18341301864729</v>
      </c>
      <c r="T5" s="62">
        <f t="shared" ref="T5:T68" si="34">$T$3</f>
        <v>172.63628480089358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5.75</v>
      </c>
      <c r="AI5" s="14">
        <f>IF('Données projet'!$A$62&gt;35,AI4+AH5-AQ4,IF(A5&lt;'Données projet'!$A$62,$AF$205^A5,IF(A5='Données projet'!$A$62,'Données projet'!$B$62,AI4+AH5-AQ4)))</f>
        <v>1.6071994829923508</v>
      </c>
      <c r="AJ5" s="14">
        <f>AI5*VLOOKUP('Données projet'!$B$10,Paramètres!$A$1:$I$88,3,0)*VLOOKUP('Données projet'!$B$10,Paramètres!$A$1:$I$88,5,0)</f>
        <v>0.75216935804042018</v>
      </c>
      <c r="AK5" s="14">
        <f t="shared" ref="AK5:AK68" si="35">EXP(-1.0587+0.8836*LN(AJ5)+0.284)</f>
        <v>0.35831464735172275</v>
      </c>
      <c r="AL5" s="22">
        <f t="shared" si="4"/>
        <v>1.9340929760579824</v>
      </c>
      <c r="AM5" s="62">
        <f t="shared" si="5"/>
        <v>295.26742630939128</v>
      </c>
      <c r="AN5" s="62">
        <f ca="1">AVERAGE(OFFSET($AM$3,0,0,'Données projet'!$E$10+1,1))-AVERAGE(OFFSET($H$3,0,0,'Données projet'!$E$10+1,1))</f>
        <v>82.840015321739202</v>
      </c>
      <c r="AO5" s="62">
        <f t="shared" ref="AO5:AO68" si="36">$AO$3</f>
        <v>101.40622074610098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1.3166666666666667</v>
      </c>
      <c r="BD5" s="13">
        <f>IF('Données projet'!$A$88&gt;35,BD4+BC5-BL4,IF(A5&lt;'Données projet'!$A$88,$BA$205^A5,IF(A5='Données projet'!$A$88,'Données projet'!$B$88,BD4+BC5-BL4)))</f>
        <v>1.5840766092879157</v>
      </c>
      <c r="BE5" s="14">
        <f>BD5*VLOOKUP('Données projet'!$B$11,Paramètres!$A$1:$I$88,3,0)*VLOOKUP('Données projet'!$B$11,Paramètres!$A$1:$I$88,5,0)</f>
        <v>0.94727781235417363</v>
      </c>
      <c r="BF5" s="14">
        <f t="shared" ref="BF5:BF68" si="37">EXP(-1.0587+0.8836*LN(BE5)+0.284)</f>
        <v>0.4393063336613503</v>
      </c>
      <c r="BG5" s="22">
        <f t="shared" si="7"/>
        <v>2.4149673876437041</v>
      </c>
      <c r="BH5" s="62">
        <f t="shared" si="8"/>
        <v>295.748300720977</v>
      </c>
      <c r="BI5" s="62">
        <f ca="1">AVERAGE(OFFSET($BH$3,0,0,'Données projet'!$E$11+1,1))-AVERAGE(OFFSET($H$3,0,0,'Données projet'!$E$11+1,1))</f>
        <v>83.354474428753292</v>
      </c>
      <c r="BJ5" s="62">
        <f t="shared" ref="BJ5:BJ68" si="38">$BJ$3</f>
        <v>97.75861379589162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projet'!$B$12,Paramètres!$A$1:$I$88,3,0)*0.475*44/12</f>
        <v>#N/A</v>
      </c>
      <c r="CL5" s="23" t="e">
        <f>EXP(-LN(2)/25)*CL4+(1-EXP(-LN(2)/25))/(LN(2)/25)*Calculateur!CG5*Calculateur!CI5*VLOOKUP('Données projet'!$B$12,Paramètres!$A$1:$I$88,3,0)*0.475*44/12</f>
        <v>#N/A</v>
      </c>
      <c r="CM5" s="23" t="e">
        <f>EXP(-LN(2)/2)*CM4+(1-EXP(-LN(2)/2))/(LN(2)/2)*CG5*CJ5*VLOOKUP('Données projet'!$B$12,Paramètres!$A$1:$I$88,3,0)*0.475*44/12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2.1995999999999998</v>
      </c>
      <c r="D6" s="12">
        <f t="shared" si="32"/>
        <v>0.92479818325965968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24.118161414635967</v>
      </c>
      <c r="H6" s="70">
        <f t="shared" si="1"/>
        <v>298.77499350251054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4.76</v>
      </c>
      <c r="N6" s="14">
        <f>IF('Données projet'!$A$36&gt;35,N5+M6-V5,IF(A6&lt;'Données projet'!$A$36,$K$205^A6,IF(A6='Données projet'!$A$36,'Données projet'!$B$36,N5+M6-V5)))</f>
        <v>1.7744576362150828</v>
      </c>
      <c r="O6" s="14">
        <f>N6*VLOOKUP('Données projet'!$B$9,Paramètres!$A$1:$I$88,3,0)*VLOOKUP('Données projet'!$B$9,Paramètres!$A$1:$I$88,5,0)</f>
        <v>0.99192181864423135</v>
      </c>
      <c r="P6" s="14">
        <f t="shared" si="33"/>
        <v>0.45755102620050464</v>
      </c>
      <c r="Q6" s="22">
        <f t="shared" si="2"/>
        <v>2.5244985381045817</v>
      </c>
      <c r="R6" s="62">
        <f t="shared" si="0"/>
        <v>295.8578318714379</v>
      </c>
      <c r="S6" s="62">
        <f ca="1">AVERAGE(OFFSET($R$3,0,0,'Données projet'!$E$9+1,1))-AVERAGE(OFFSET($H$3,0,0,'Données projet'!$E$9+1,1))</f>
        <v>222.18341301864729</v>
      </c>
      <c r="T6" s="62">
        <f t="shared" si="34"/>
        <v>172.63628480089358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5.75</v>
      </c>
      <c r="AI6" s="14">
        <f>IF('Données projet'!$A$62&gt;35,AI5+AH6-AQ5,IF(A6&lt;'Données projet'!$A$62,$AF$205^A6,IF(A6='Données projet'!$A$62,'Données projet'!$B$62,AI5+AH6-AQ5)))</f>
        <v>2.0375331160043926</v>
      </c>
      <c r="AJ6" s="14">
        <f>AI6*VLOOKUP('Données projet'!$B$10,Paramètres!$A$1:$I$88,3,0)*VLOOKUP('Données projet'!$B$10,Paramètres!$A$1:$I$88,5,0)</f>
        <v>0.95356549829005577</v>
      </c>
      <c r="AK6" s="14">
        <f t="shared" si="35"/>
        <v>0.44188187933534279</v>
      </c>
      <c r="AL6" s="22">
        <f t="shared" si="4"/>
        <v>2.4304041826975693</v>
      </c>
      <c r="AM6" s="62">
        <f t="shared" si="5"/>
        <v>295.76373751603086</v>
      </c>
      <c r="AN6" s="62">
        <f ca="1">AVERAGE(OFFSET($AM$3,0,0,'Données projet'!$E$10+1,1))-AVERAGE(OFFSET($H$3,0,0,'Données projet'!$E$10+1,1))</f>
        <v>82.840015321739202</v>
      </c>
      <c r="AO6" s="62">
        <f t="shared" si="36"/>
        <v>101.40622074610098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1.3166666666666667</v>
      </c>
      <c r="BD6" s="13">
        <f>IF('Données projet'!$A$88&gt;35,BD5+BC6-BL5,IF(A6&lt;'Données projet'!$A$88,$BA$205^A6,IF(A6='Données projet'!$A$88,'Données projet'!$B$88,BD5+BC6-BL5)))</f>
        <v>1.9937204876487473</v>
      </c>
      <c r="BE6" s="14">
        <f>BD6*VLOOKUP('Données projet'!$B$11,Paramètres!$A$1:$I$88,3,0)*VLOOKUP('Données projet'!$B$11,Paramètres!$A$1:$I$88,5,0)</f>
        <v>1.192244851613951</v>
      </c>
      <c r="BF6" s="14">
        <f t="shared" si="37"/>
        <v>0.53830520799730341</v>
      </c>
      <c r="BG6" s="22">
        <f t="shared" si="7"/>
        <v>3.0140413538229347</v>
      </c>
      <c r="BH6" s="62">
        <f t="shared" si="8"/>
        <v>296.34737468715628</v>
      </c>
      <c r="BI6" s="62">
        <f ca="1">AVERAGE(OFFSET($BH$3,0,0,'Données projet'!$E$11+1,1))-AVERAGE(OFFSET($H$3,0,0,'Données projet'!$E$11+1,1))</f>
        <v>83.354474428753292</v>
      </c>
      <c r="BJ6" s="62">
        <f t="shared" si="38"/>
        <v>97.75861379589162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projet'!$B$12,Paramètres!$A$1:$I$88,3,0)*0.475*44/12</f>
        <v>#N/A</v>
      </c>
      <c r="CL6" s="23" t="e">
        <f>EXP(-LN(2)/25)*CL5+(1-EXP(-LN(2)/25))/(LN(2)/25)*Calculateur!CG6*Calculateur!CI6*VLOOKUP('Données projet'!$B$12,Paramètres!$A$1:$I$88,3,0)*0.475*44/12</f>
        <v>#N/A</v>
      </c>
      <c r="CM6" s="23" t="e">
        <f>EXP(-LN(2)/2)*CM5+(1-EXP(-LN(2)/2))/(LN(2)/2)*CG6*CJ6*VLOOKUP('Données projet'!$B$12,Paramètres!$A$1:$I$88,3,0)*0.475*44/12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2.9327999999999999</v>
      </c>
      <c r="D7" s="12">
        <f t="shared" si="32"/>
        <v>1.1924572972247856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31.844091417173786</v>
      </c>
      <c r="H7" s="70">
        <f t="shared" si="1"/>
        <v>300.51815645933317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4.76</v>
      </c>
      <c r="N7" s="14">
        <f>IF('Données projet'!$A$36&gt;35,N6+M7-V6,IF(A7&lt;'Données projet'!$A$36,$K$205^A7,IF(A7='Données projet'!$A$36,'Données projet'!$B$36,N6+M7-V6)))</f>
        <v>2.1482633228146555</v>
      </c>
      <c r="O7" s="14">
        <f>N7*VLOOKUP('Données projet'!$B$9,Paramètres!$A$1:$I$88,3,0)*VLOOKUP('Données projet'!$B$9,Paramètres!$A$1:$I$88,5,0)</f>
        <v>1.2008791974533926</v>
      </c>
      <c r="P7" s="14">
        <f t="shared" si="33"/>
        <v>0.54174843515686133</v>
      </c>
      <c r="Q7" s="22">
        <f t="shared" si="2"/>
        <v>3.0350764601295253</v>
      </c>
      <c r="R7" s="62">
        <f t="shared" si="0"/>
        <v>296.36840979346283</v>
      </c>
      <c r="S7" s="62">
        <f ca="1">AVERAGE(OFFSET($R$3,0,0,'Données projet'!$E$9+1,1))-AVERAGE(OFFSET($H$3,0,0,'Données projet'!$E$9+1,1))</f>
        <v>222.18341301864729</v>
      </c>
      <c r="T7" s="62">
        <f t="shared" si="34"/>
        <v>172.63628480089358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5.75</v>
      </c>
      <c r="AI7" s="14">
        <f>IF('Données projet'!$A$62&gt;35,AI6+AH7-AQ6,IF(A7&lt;'Données projet'!$A$62,$AF$205^A7,IF(A7='Données projet'!$A$62,'Données projet'!$B$62,AI6+AH7-AQ6)))</f>
        <v>2.5830901781308797</v>
      </c>
      <c r="AJ7" s="14">
        <f>AI7*VLOOKUP('Données projet'!$B$10,Paramètres!$A$1:$I$88,3,0)*VLOOKUP('Données projet'!$B$10,Paramètres!$A$1:$I$88,5,0)</f>
        <v>1.2088862033652517</v>
      </c>
      <c r="AK7" s="14">
        <f t="shared" si="35"/>
        <v>0.54493891535856476</v>
      </c>
      <c r="AL7" s="22">
        <f t="shared" si="4"/>
        <v>3.0545787484439804</v>
      </c>
      <c r="AM7" s="62">
        <f t="shared" si="5"/>
        <v>296.3879120817773</v>
      </c>
      <c r="AN7" s="62">
        <f ca="1">AVERAGE(OFFSET($AM$3,0,0,'Données projet'!$E$10+1,1))-AVERAGE(OFFSET($H$3,0,0,'Données projet'!$E$10+1,1))</f>
        <v>82.840015321739202</v>
      </c>
      <c r="AO7" s="62">
        <f t="shared" si="36"/>
        <v>101.40622074610098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1.3166666666666667</v>
      </c>
      <c r="BD7" s="13">
        <f>IF('Données projet'!$A$88&gt;35,BD6+BC7-BL6,IF(A7&lt;'Données projet'!$A$88,$BA$205^A7,IF(A7='Données projet'!$A$88,'Données projet'!$B$88,BD6+BC7-BL6)))</f>
        <v>2.5092987040931001</v>
      </c>
      <c r="BE7" s="14">
        <f>BD7*VLOOKUP('Données projet'!$B$11,Paramètres!$A$1:$I$88,3,0)*VLOOKUP('Données projet'!$B$11,Paramètres!$A$1:$I$88,5,0)</f>
        <v>1.500560625047674</v>
      </c>
      <c r="BF7" s="14">
        <f t="shared" si="37"/>
        <v>0.6596137472955218</v>
      </c>
      <c r="BG7" s="22">
        <f t="shared" si="7"/>
        <v>3.7623036984977323</v>
      </c>
      <c r="BH7" s="62">
        <f t="shared" si="8"/>
        <v>297.09563703183107</v>
      </c>
      <c r="BI7" s="62">
        <f ca="1">AVERAGE(OFFSET($BH$3,0,0,'Données projet'!$E$11+1,1))-AVERAGE(OFFSET($H$3,0,0,'Données projet'!$E$11+1,1))</f>
        <v>83.354474428753292</v>
      </c>
      <c r="BJ7" s="62">
        <f t="shared" si="38"/>
        <v>97.75861379589162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projet'!$B$12,Paramètres!$A$1:$I$88,3,0)*0.475*44/12</f>
        <v>#N/A</v>
      </c>
      <c r="CL7" s="23" t="e">
        <f>EXP(-LN(2)/25)*CL6+(1-EXP(-LN(2)/25))/(LN(2)/25)*Calculateur!CG7*Calculateur!CI7*VLOOKUP('Données projet'!$B$12,Paramètres!$A$1:$I$88,3,0)*0.475*44/12</f>
        <v>#N/A</v>
      </c>
      <c r="CM7" s="23" t="e">
        <f>EXP(-LN(2)/2)*CM6+(1-EXP(-LN(2)/2))/(LN(2)/2)*CG7*CJ7*VLOOKUP('Données projet'!$B$12,Paramètres!$A$1:$I$88,3,0)*0.475*44/12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3.6659999999999999</v>
      </c>
      <c r="D8" s="12">
        <f t="shared" si="32"/>
        <v>1.4523541267681601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39.510102031192822</v>
      </c>
      <c r="H8" s="70">
        <f t="shared" si="1"/>
        <v>302.24780010412121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4.76</v>
      </c>
      <c r="N8" s="14">
        <f>IF('Données projet'!$A$36&gt;35,N7+M8-V7,IF(A8&lt;'Données projet'!$A$36,$K$205^A8,IF(A8='Données projet'!$A$36,'Données projet'!$B$36,N7+M8-V7)))</f>
        <v>2.6008145869261399</v>
      </c>
      <c r="O8" s="14">
        <f>N8*VLOOKUP('Données projet'!$B$9,Paramètres!$A$1:$I$88,3,0)*VLOOKUP('Données projet'!$B$9,Paramètres!$A$1:$I$88,5,0)</f>
        <v>1.4538553540917123</v>
      </c>
      <c r="P8" s="14">
        <f t="shared" si="33"/>
        <v>0.64143964320669311</v>
      </c>
      <c r="Q8" s="22">
        <f t="shared" si="2"/>
        <v>3.649305453628056</v>
      </c>
      <c r="R8" s="62">
        <f t="shared" si="0"/>
        <v>296.98263878696139</v>
      </c>
      <c r="S8" s="62">
        <f ca="1">AVERAGE(OFFSET($R$3,0,0,'Données projet'!$E$9+1,1))-AVERAGE(OFFSET($H$3,0,0,'Données projet'!$E$9+1,1))</f>
        <v>222.18341301864729</v>
      </c>
      <c r="T8" s="62">
        <f t="shared" si="34"/>
        <v>172.63628480089358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5.75</v>
      </c>
      <c r="AI8" s="14">
        <f>IF('Données projet'!$A$62&gt;35,AI7+AH8-AQ7,IF(A8&lt;'Données projet'!$A$62,$AF$205^A8,IF(A8='Données projet'!$A$62,'Données projet'!$B$62,AI7+AH8-AQ7)))</f>
        <v>3.2747221706220535</v>
      </c>
      <c r="AJ8" s="14">
        <f>AI8*VLOOKUP('Données projet'!$B$10,Paramètres!$A$1:$I$88,3,0)*VLOOKUP('Données projet'!$B$10,Paramètres!$A$1:$I$88,5,0)</f>
        <v>1.5325699758511209</v>
      </c>
      <c r="AK8" s="14">
        <f t="shared" si="35"/>
        <v>0.67203122680395833</v>
      </c>
      <c r="AL8" s="22">
        <f t="shared" si="4"/>
        <v>3.839680427957596</v>
      </c>
      <c r="AM8" s="62">
        <f t="shared" si="5"/>
        <v>297.17301376129092</v>
      </c>
      <c r="AN8" s="62">
        <f ca="1">AVERAGE(OFFSET($AM$3,0,0,'Données projet'!$E$10+1,1))-AVERAGE(OFFSET($H$3,0,0,'Données projet'!$E$10+1,1))</f>
        <v>82.840015321739202</v>
      </c>
      <c r="AO8" s="62">
        <f t="shared" si="36"/>
        <v>101.40622074610098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1.3166666666666667</v>
      </c>
      <c r="BD8" s="13">
        <f>IF('Données projet'!$A$88&gt;35,BD7+BC8-BL7,IF(A8&lt;'Données projet'!$A$88,$BA$205^A8,IF(A8='Données projet'!$A$88,'Données projet'!$B$88,BD7+BC8-BL7)))</f>
        <v>3.1582059899424775</v>
      </c>
      <c r="BE8" s="14">
        <f>BD8*VLOOKUP('Données projet'!$B$11,Paramètres!$A$1:$I$88,3,0)*VLOOKUP('Données projet'!$B$11,Paramètres!$A$1:$I$88,5,0)</f>
        <v>1.8886071819856016</v>
      </c>
      <c r="BF8" s="14">
        <f t="shared" si="37"/>
        <v>0.80825949509189965</v>
      </c>
      <c r="BG8" s="22">
        <f t="shared" si="7"/>
        <v>4.6970427959099803</v>
      </c>
      <c r="BH8" s="62">
        <f t="shared" si="8"/>
        <v>298.03037612924328</v>
      </c>
      <c r="BI8" s="62">
        <f ca="1">AVERAGE(OFFSET($BH$3,0,0,'Données projet'!$E$11+1,1))-AVERAGE(OFFSET($H$3,0,0,'Données projet'!$E$11+1,1))</f>
        <v>83.354474428753292</v>
      </c>
      <c r="BJ8" s="62">
        <f t="shared" si="38"/>
        <v>97.75861379589162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projet'!$B$12,Paramètres!$A$1:$I$88,3,0)*0.475*44/12</f>
        <v>#N/A</v>
      </c>
      <c r="CL8" s="23" t="e">
        <f>EXP(-LN(2)/25)*CL7+(1-EXP(-LN(2)/25))/(LN(2)/25)*Calculateur!CG8*Calculateur!CI8*VLOOKUP('Données projet'!$B$12,Paramètres!$A$1:$I$88,3,0)*0.475*44/12</f>
        <v>#N/A</v>
      </c>
      <c r="CM8" s="23" t="e">
        <f>EXP(-LN(2)/2)*CM7+(1-EXP(-LN(2)/2))/(LN(2)/2)*CG8*CJ8*VLOOKUP('Données projet'!$B$12,Paramètres!$A$1:$I$88,3,0)*0.475*44/12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4.3991999999999996</v>
      </c>
      <c r="D9" s="12">
        <f t="shared" si="32"/>
        <v>1.7062280291992591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47.129619874520593</v>
      </c>
      <c r="H9" s="70">
        <f t="shared" si="1"/>
        <v>303.96695381752204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4.76</v>
      </c>
      <c r="N9" s="14">
        <f>IF('Données projet'!$A$36&gt;35,N8+M9-V8,IF(A9&lt;'Données projet'!$A$36,$K$205^A9,IF(A9='Données projet'!$A$36,'Données projet'!$B$36,N8+M9-V8)))</f>
        <v>3.1486999027220191</v>
      </c>
      <c r="O9" s="14">
        <f>N9*VLOOKUP('Données projet'!$B$9,Paramètres!$A$1:$I$88,3,0)*VLOOKUP('Données projet'!$B$9,Paramètres!$A$1:$I$88,5,0)</f>
        <v>1.7601232456216087</v>
      </c>
      <c r="P9" s="14">
        <f t="shared" si="33"/>
        <v>0.75947578096464141</v>
      </c>
      <c r="Q9" s="22">
        <f t="shared" si="2"/>
        <v>4.3883016379710513</v>
      </c>
      <c r="R9" s="62">
        <f t="shared" si="0"/>
        <v>297.72163497130435</v>
      </c>
      <c r="S9" s="62">
        <f ca="1">AVERAGE(OFFSET($R$3,0,0,'Données projet'!$E$9+1,1))-AVERAGE(OFFSET($H$3,0,0,'Données projet'!$E$9+1,1))</f>
        <v>222.18341301864729</v>
      </c>
      <c r="T9" s="62">
        <f t="shared" si="34"/>
        <v>172.63628480089358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5.75</v>
      </c>
      <c r="AI9" s="14">
        <f>IF('Données projet'!$A$62&gt;35,AI8+AH9-AQ8,IF(A9&lt;'Données projet'!$A$62,$AF$205^A9,IF(A9='Données projet'!$A$62,'Données projet'!$B$62,AI8+AH9-AQ8)))</f>
        <v>4.1515411988145692</v>
      </c>
      <c r="AJ9" s="14">
        <f>AI9*VLOOKUP('Données projet'!$B$10,Paramètres!$A$1:$I$88,3,0)*VLOOKUP('Données projet'!$B$10,Paramètres!$A$1:$I$88,5,0)</f>
        <v>1.9429212810452183</v>
      </c>
      <c r="AK9" s="14">
        <f t="shared" si="35"/>
        <v>0.82876439371643607</v>
      </c>
      <c r="AL9" s="22">
        <f t="shared" si="4"/>
        <v>4.8273525502098815</v>
      </c>
      <c r="AM9" s="62">
        <f t="shared" si="5"/>
        <v>298.16068588354318</v>
      </c>
      <c r="AN9" s="62">
        <f ca="1">AVERAGE(OFFSET($AM$3,0,0,'Données projet'!$E$10+1,1))-AVERAGE(OFFSET($H$3,0,0,'Données projet'!$E$10+1,1))</f>
        <v>82.840015321739202</v>
      </c>
      <c r="AO9" s="62">
        <f t="shared" si="36"/>
        <v>101.40622074610098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1.3166666666666667</v>
      </c>
      <c r="BD9" s="13">
        <f>IF('Données projet'!$A$88&gt;35,BD8+BC9-BL8,IF(A9&lt;'Données projet'!$A$88,$BA$205^A9,IF(A9='Données projet'!$A$88,'Données projet'!$B$88,BD8+BC9-BL8)))</f>
        <v>3.9749213828703591</v>
      </c>
      <c r="BE9" s="14">
        <f>BD9*VLOOKUP('Données projet'!$B$11,Paramètres!$A$1:$I$88,3,0)*VLOOKUP('Données projet'!$B$11,Paramètres!$A$1:$I$88,5,0)</f>
        <v>2.3770029869564748</v>
      </c>
      <c r="BF9" s="14">
        <f t="shared" si="37"/>
        <v>0.99040296550024298</v>
      </c>
      <c r="BG9" s="22">
        <f t="shared" si="7"/>
        <v>5.8648987005287836</v>
      </c>
      <c r="BH9" s="62">
        <f t="shared" si="8"/>
        <v>299.1982320338621</v>
      </c>
      <c r="BI9" s="62">
        <f ca="1">AVERAGE(OFFSET($BH$3,0,0,'Données projet'!$E$11+1,1))-AVERAGE(OFFSET($H$3,0,0,'Données projet'!$E$11+1,1))</f>
        <v>83.354474428753292</v>
      </c>
      <c r="BJ9" s="62">
        <f t="shared" si="38"/>
        <v>97.75861379589162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projet'!$B$12,Paramètres!$A$1:$I$88,3,0)*0.475*44/12</f>
        <v>#N/A</v>
      </c>
      <c r="CL9" s="23" t="e">
        <f>EXP(-LN(2)/25)*CL8+(1-EXP(-LN(2)/25))/(LN(2)/25)*Calculateur!CG9*Calculateur!CI9*VLOOKUP('Données projet'!$B$12,Paramètres!$A$1:$I$88,3,0)*0.475*44/12</f>
        <v>#N/A</v>
      </c>
      <c r="CM9" s="23" t="e">
        <f>EXP(-LN(2)/2)*CM8+(1-EXP(-LN(2)/2))/(LN(2)/2)*CG9*CJ9*VLOOKUP('Données projet'!$B$12,Paramètres!$A$1:$I$88,3,0)*0.475*44/12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5.1323999999999996</v>
      </c>
      <c r="D10" s="12">
        <f t="shared" si="32"/>
        <v>1.9552003009222731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54.711300568522809</v>
      </c>
      <c r="H10" s="70">
        <f t="shared" si="1"/>
        <v>305.67757052410627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4.76</v>
      </c>
      <c r="N10" s="14">
        <f>IF('Données projet'!$A$36&gt;35,N9+M10-V9,IF(A10&lt;'Données projet'!$A$36,$K$205^A10,IF(A10='Données projet'!$A$36,'Données projet'!$B$36,N9+M10-V9)))</f>
        <v>3.8120022577692527</v>
      </c>
      <c r="O10" s="14">
        <f>N10*VLOOKUP('Données projet'!$B$9,Paramètres!$A$1:$I$88,3,0)*VLOOKUP('Données projet'!$B$9,Paramètres!$A$1:$I$88,5,0)</f>
        <v>2.1309092620930121</v>
      </c>
      <c r="P10" s="14">
        <f t="shared" si="33"/>
        <v>0.89923263705418777</v>
      </c>
      <c r="Q10" s="22">
        <f t="shared" si="2"/>
        <v>5.277497141014706</v>
      </c>
      <c r="R10" s="62">
        <f t="shared" si="0"/>
        <v>298.61083047434801</v>
      </c>
      <c r="S10" s="62">
        <f ca="1">AVERAGE(OFFSET($R$3,0,0,'Données projet'!$E$9+1,1))-AVERAGE(OFFSET($H$3,0,0,'Données projet'!$E$9+1,1))</f>
        <v>222.18341301864729</v>
      </c>
      <c r="T10" s="62">
        <f t="shared" si="34"/>
        <v>172.63628480089358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5.75</v>
      </c>
      <c r="AI10" s="14">
        <f>IF('Données projet'!$A$62&gt;35,AI9+AH10-AQ9,IF(A10&lt;'Données projet'!$A$62,$AF$205^A10,IF(A10='Données projet'!$A$62,'Données projet'!$B$62,AI9+AH10-AQ9)))</f>
        <v>5.2631317795673525</v>
      </c>
      <c r="AJ10" s="14">
        <f>AI10*VLOOKUP('Données projet'!$B$10,Paramètres!$A$1:$I$88,3,0)*VLOOKUP('Données projet'!$B$10,Paramètres!$A$1:$I$88,5,0)</f>
        <v>2.4631456728375212</v>
      </c>
      <c r="AK10" s="14">
        <f t="shared" si="35"/>
        <v>1.0220513465701448</v>
      </c>
      <c r="AL10" s="22">
        <f t="shared" si="4"/>
        <v>6.0700514754683512</v>
      </c>
      <c r="AM10" s="62">
        <f t="shared" si="5"/>
        <v>299.40338480880166</v>
      </c>
      <c r="AN10" s="62">
        <f ca="1">AVERAGE(OFFSET($AM$3,0,0,'Données projet'!$E$10+1,1))-AVERAGE(OFFSET($H$3,0,0,'Données projet'!$E$10+1,1))</f>
        <v>82.840015321739202</v>
      </c>
      <c r="AO10" s="62">
        <f t="shared" si="36"/>
        <v>101.40622074610098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1.3166666666666667</v>
      </c>
      <c r="BD10" s="13">
        <f>IF('Données projet'!$A$88&gt;35,BD9+BC10-BL9,IF(A10&lt;'Données projet'!$A$88,$BA$205^A10,IF(A10='Données projet'!$A$88,'Données projet'!$B$88,BD9+BC10-BL9)))</f>
        <v>5.002840235980865</v>
      </c>
      <c r="BE10" s="14">
        <f>BD10*VLOOKUP('Données projet'!$B$11,Paramètres!$A$1:$I$88,3,0)*VLOOKUP('Données projet'!$B$11,Paramètres!$A$1:$I$88,5,0)</f>
        <v>2.9916984611165574</v>
      </c>
      <c r="BF10" s="14">
        <f t="shared" si="37"/>
        <v>1.213592961206285</v>
      </c>
      <c r="BG10" s="22">
        <f t="shared" si="7"/>
        <v>7.3242158938789501</v>
      </c>
      <c r="BH10" s="62">
        <f t="shared" si="8"/>
        <v>300.65754922721226</v>
      </c>
      <c r="BI10" s="62">
        <f ca="1">AVERAGE(OFFSET($BH$3,0,0,'Données projet'!$E$11+1,1))-AVERAGE(OFFSET($H$3,0,0,'Données projet'!$E$11+1,1))</f>
        <v>83.354474428753292</v>
      </c>
      <c r="BJ10" s="62">
        <f t="shared" si="38"/>
        <v>97.75861379589162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projet'!$B$12,Paramètres!$A$1:$I$88,3,0)*0.475*44/12</f>
        <v>#N/A</v>
      </c>
      <c r="CL10" s="23" t="e">
        <f>EXP(-LN(2)/25)*CL9+(1-EXP(-LN(2)/25))/(LN(2)/25)*Calculateur!CG10*Calculateur!CI10*VLOOKUP('Données projet'!$B$12,Paramètres!$A$1:$I$88,3,0)*0.475*44/12</f>
        <v>#N/A</v>
      </c>
      <c r="CM10" s="23" t="e">
        <f>EXP(-LN(2)/2)*CM9+(1-EXP(-LN(2)/2))/(LN(2)/2)*CG10*CJ10*VLOOKUP('Données projet'!$B$12,Paramètres!$A$1:$I$88,3,0)*0.475*44/12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5.8655999999999997</v>
      </c>
      <c r="D11" s="12">
        <f t="shared" si="32"/>
        <v>2.2000519691514757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62.261173095204363</v>
      </c>
      <c r="H11" s="70">
        <f t="shared" si="1"/>
        <v>307.38101051293881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4.76</v>
      </c>
      <c r="N11" s="14">
        <f>IF('Données projet'!$A$36&gt;35,N10+M11-V10,IF(A11&lt;'Données projet'!$A$36,$K$205^A11,IF(A11='Données projet'!$A$36,'Données projet'!$B$36,N10+M11-V10)))</f>
        <v>4.6150353041506644</v>
      </c>
      <c r="O11" s="14">
        <f>N11*VLOOKUP('Données projet'!$B$9,Paramètres!$A$1:$I$88,3,0)*VLOOKUP('Données projet'!$B$9,Paramètres!$A$1:$I$88,5,0)</f>
        <v>2.5798047350202213</v>
      </c>
      <c r="P11" s="14">
        <f t="shared" si="33"/>
        <v>1.0647072043776935</v>
      </c>
      <c r="Q11" s="22">
        <f t="shared" si="2"/>
        <v>6.347524961118034</v>
      </c>
      <c r="R11" s="62">
        <f t="shared" si="0"/>
        <v>299.68085829445135</v>
      </c>
      <c r="S11" s="62">
        <f ca="1">AVERAGE(OFFSET($R$3,0,0,'Données projet'!$E$9+1,1))-AVERAGE(OFFSET($H$3,0,0,'Données projet'!$E$9+1,1))</f>
        <v>222.18341301864729</v>
      </c>
      <c r="T11" s="62">
        <f t="shared" si="34"/>
        <v>172.63628480089358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5.75</v>
      </c>
      <c r="AI11" s="14">
        <f>IF('Données projet'!$A$62&gt;35,AI10+AH11-AQ10,IF(A11&lt;'Données projet'!$A$62,$AF$205^A11,IF(A11='Données projet'!$A$62,'Données projet'!$B$62,AI10+AH11-AQ10)))</f>
        <v>6.6723548683562202</v>
      </c>
      <c r="AJ11" s="14">
        <f>AI11*VLOOKUP('Données projet'!$B$10,Paramètres!$A$1:$I$88,3,0)*VLOOKUP('Données projet'!$B$10,Paramètres!$A$1:$I$88,5,0)</f>
        <v>3.1226620783907113</v>
      </c>
      <c r="AK11" s="14">
        <f t="shared" si="35"/>
        <v>1.2604172705122936</v>
      </c>
      <c r="AL11" s="22">
        <f t="shared" si="4"/>
        <v>7.6338631993393991</v>
      </c>
      <c r="AM11" s="62">
        <f t="shared" si="5"/>
        <v>300.96719653267269</v>
      </c>
      <c r="AN11" s="62">
        <f ca="1">AVERAGE(OFFSET($AM$3,0,0,'Données projet'!$E$10+1,1))-AVERAGE(OFFSET($H$3,0,0,'Données projet'!$E$10+1,1))</f>
        <v>82.840015321739202</v>
      </c>
      <c r="AO11" s="62">
        <f t="shared" si="36"/>
        <v>101.40622074610098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1.3166666666666667</v>
      </c>
      <c r="BD11" s="13">
        <f>IF('Données projet'!$A$88&gt;35,BD10+BC11-BL10,IF(A11&lt;'Données projet'!$A$88,$BA$205^A11,IF(A11='Données projet'!$A$88,'Données projet'!$B$88,BD10+BC11-BL10)))</f>
        <v>6.2965799863633114</v>
      </c>
      <c r="BE11" s="14">
        <f>BD11*VLOOKUP('Données projet'!$B$11,Paramètres!$A$1:$I$88,3,0)*VLOOKUP('Données projet'!$B$11,Paramètres!$A$1:$I$88,5,0)</f>
        <v>3.7653548318452605</v>
      </c>
      <c r="BF11" s="14">
        <f t="shared" si="37"/>
        <v>1.4870794280644533</v>
      </c>
      <c r="BG11" s="22">
        <f t="shared" si="7"/>
        <v>9.1479896693427509</v>
      </c>
      <c r="BH11" s="62">
        <f t="shared" si="8"/>
        <v>302.48132300267605</v>
      </c>
      <c r="BI11" s="62">
        <f ca="1">AVERAGE(OFFSET($BH$3,0,0,'Données projet'!$E$11+1,1))-AVERAGE(OFFSET($H$3,0,0,'Données projet'!$E$11+1,1))</f>
        <v>83.354474428753292</v>
      </c>
      <c r="BJ11" s="62">
        <f t="shared" si="38"/>
        <v>97.75861379589162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projet'!$B$12,Paramètres!$A$1:$I$88,3,0)*0.475*44/12</f>
        <v>#N/A</v>
      </c>
      <c r="CL11" s="23" t="e">
        <f>EXP(-LN(2)/25)*CL10+(1-EXP(-LN(2)/25))/(LN(2)/25)*Calculateur!CG11*Calculateur!CI11*VLOOKUP('Données projet'!$B$12,Paramètres!$A$1:$I$88,3,0)*0.475*44/12</f>
        <v>#N/A</v>
      </c>
      <c r="CM11" s="23" t="e">
        <f>EXP(-LN(2)/2)*CM10+(1-EXP(-LN(2)/2))/(LN(2)/2)*CG11*CJ11*VLOOKUP('Données projet'!$B$12,Paramètres!$A$1:$I$88,3,0)*0.475*44/12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6.5987999999999998</v>
      </c>
      <c r="D12" s="12">
        <f t="shared" si="32"/>
        <v>2.4413570988248194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69.783668833033701</v>
      </c>
      <c r="H12" s="70">
        <f t="shared" si="1"/>
        <v>309.07827361378656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4.76</v>
      </c>
      <c r="N12" s="14">
        <f>IF('Données projet'!$A$36&gt;35,N11+M12-V11,IF(A12&lt;'Données projet'!$A$36,$K$205^A12,IF(A12='Données projet'!$A$36,'Données projet'!$B$36,N11+M12-V11)))</f>
        <v>5.5872345865347741</v>
      </c>
      <c r="O12" s="14">
        <f>N12*VLOOKUP('Données projet'!$B$9,Paramètres!$A$1:$I$88,3,0)*VLOOKUP('Données projet'!$B$9,Paramètres!$A$1:$I$88,5,0)</f>
        <v>3.1232641338729383</v>
      </c>
      <c r="P12" s="14">
        <f t="shared" si="33"/>
        <v>1.260631992592427</v>
      </c>
      <c r="Q12" s="22">
        <f t="shared" si="2"/>
        <v>7.6352857535938439</v>
      </c>
      <c r="R12" s="62">
        <f t="shared" si="0"/>
        <v>300.96861908692716</v>
      </c>
      <c r="S12" s="62">
        <f ca="1">AVERAGE(OFFSET($R$3,0,0,'Données projet'!$E$9+1,1))-AVERAGE(OFFSET($H$3,0,0,'Données projet'!$E$9+1,1))</f>
        <v>222.18341301864729</v>
      </c>
      <c r="T12" s="62">
        <f t="shared" si="34"/>
        <v>172.63628480089358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5.75</v>
      </c>
      <c r="AI12" s="14">
        <f>IF('Données projet'!$A$62&gt;35,AI11+AH12-AQ11,IF(A12&lt;'Données projet'!$A$62,$AF$205^A12,IF(A12='Données projet'!$A$62,'Données projet'!$B$62,AI11+AH12-AQ11)))</f>
        <v>8.4589026750412604</v>
      </c>
      <c r="AJ12" s="14">
        <f>AI12*VLOOKUP('Données projet'!$B$10,Paramètres!$A$1:$I$88,3,0)*VLOOKUP('Données projet'!$B$10,Paramètres!$A$1:$I$88,5,0)</f>
        <v>3.9587664519193098</v>
      </c>
      <c r="AK12" s="14">
        <f t="shared" si="35"/>
        <v>1.5543756203021926</v>
      </c>
      <c r="AL12" s="22">
        <f t="shared" si="4"/>
        <v>9.6020557757857823</v>
      </c>
      <c r="AM12" s="62">
        <f t="shared" si="5"/>
        <v>302.93538910911911</v>
      </c>
      <c r="AN12" s="62">
        <f ca="1">AVERAGE(OFFSET($AM$3,0,0,'Données projet'!$E$10+1,1))-AVERAGE(OFFSET($H$3,0,0,'Données projet'!$E$10+1,1))</f>
        <v>82.840015321739202</v>
      </c>
      <c r="AO12" s="62">
        <f t="shared" si="36"/>
        <v>101.40622074610098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1.3166666666666667</v>
      </c>
      <c r="BD12" s="13">
        <f>IF('Données projet'!$A$88&gt;35,BD11+BC12-BL11,IF(A12&lt;'Données projet'!$A$88,$BA$205^A12,IF(A12='Données projet'!$A$88,'Données projet'!$B$88,BD11+BC12-BL11)))</f>
        <v>7.9248821978217254</v>
      </c>
      <c r="BE12" s="14">
        <f>BD12*VLOOKUP('Données projet'!$B$11,Paramètres!$A$1:$I$88,3,0)*VLOOKUP('Données projet'!$B$11,Paramètres!$A$1:$I$88,5,0)</f>
        <v>4.7390795542973922</v>
      </c>
      <c r="BF12" s="14">
        <f t="shared" si="37"/>
        <v>1.8221968123269376</v>
      </c>
      <c r="BG12" s="22">
        <f t="shared" si="7"/>
        <v>11.427556338537373</v>
      </c>
      <c r="BH12" s="62">
        <f t="shared" si="8"/>
        <v>304.7608896718707</v>
      </c>
      <c r="BI12" s="62">
        <f ca="1">AVERAGE(OFFSET($BH$3,0,0,'Données projet'!$E$11+1,1))-AVERAGE(OFFSET($H$3,0,0,'Données projet'!$E$11+1,1))</f>
        <v>83.354474428753292</v>
      </c>
      <c r="BJ12" s="62">
        <f t="shared" si="38"/>
        <v>97.75861379589162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projet'!$B$12,Paramètres!$A$1:$I$88,3,0)*0.475*44/12</f>
        <v>#N/A</v>
      </c>
      <c r="CL12" s="23" t="e">
        <f>EXP(-LN(2)/25)*CL11+(1-EXP(-LN(2)/25))/(LN(2)/25)*Calculateur!CG12*Calculateur!CI12*VLOOKUP('Données projet'!$B$12,Paramètres!$A$1:$I$88,3,0)*0.475*44/12</f>
        <v>#N/A</v>
      </c>
      <c r="CM12" s="23" t="e">
        <f>EXP(-LN(2)/2)*CM11+(1-EXP(-LN(2)/2))/(LN(2)/2)*CG12*CJ12*VLOOKUP('Données projet'!$B$12,Paramètres!$A$1:$I$88,3,0)*0.475*44/12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7.3319999999999999</v>
      </c>
      <c r="D13" s="12">
        <f t="shared" si="32"/>
        <v>2.6795547009841778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77.282176639176114</v>
      </c>
      <c r="H13" s="70">
        <f t="shared" si="1"/>
        <v>310.77012443754745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4.76</v>
      </c>
      <c r="N13" s="14">
        <f>IF('Données projet'!$A$36&gt;35,N12+M13-V12,IF(A13&lt;'Données projet'!$A$36,$K$205^A13,IF(A13='Données projet'!$A$36,'Données projet'!$B$36,N12+M13-V12)))</f>
        <v>6.764236515567787</v>
      </c>
      <c r="O13" s="14">
        <f>N13*VLOOKUP('Données projet'!$B$9,Paramètres!$A$1:$I$88,3,0)*VLOOKUP('Données projet'!$B$9,Paramètres!$A$1:$I$88,5,0)</f>
        <v>3.7812082122023929</v>
      </c>
      <c r="P13" s="14">
        <f t="shared" si="33"/>
        <v>1.4926103760858971</v>
      </c>
      <c r="Q13" s="22">
        <f t="shared" si="2"/>
        <v>9.185234041268771</v>
      </c>
      <c r="R13" s="62">
        <f t="shared" si="0"/>
        <v>302.51856737460207</v>
      </c>
      <c r="S13" s="62">
        <f ca="1">AVERAGE(OFFSET($R$3,0,0,'Données projet'!$E$9+1,1))-AVERAGE(OFFSET($H$3,0,0,'Données projet'!$E$9+1,1))</f>
        <v>222.18341301864729</v>
      </c>
      <c r="T13" s="62">
        <f t="shared" si="34"/>
        <v>172.63628480089358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5.75</v>
      </c>
      <c r="AI13" s="14">
        <f>IF('Données projet'!$A$62&gt;35,AI12+AH13-AQ12,IF(A13&lt;'Données projet'!$A$62,$AF$205^A13,IF(A13='Données projet'!$A$62,'Données projet'!$B$62,AI12+AH13-AQ12)))</f>
        <v>10.723805294763611</v>
      </c>
      <c r="AJ13" s="14">
        <f>AI13*VLOOKUP('Données projet'!$B$10,Paramètres!$A$1:$I$88,3,0)*VLOOKUP('Données projet'!$B$10,Paramètres!$A$1:$I$88,5,0)</f>
        <v>5.0187408779493703</v>
      </c>
      <c r="AK13" s="14">
        <f t="shared" si="35"/>
        <v>1.9168918305981435</v>
      </c>
      <c r="AL13" s="22">
        <f t="shared" si="4"/>
        <v>12.079560300720253</v>
      </c>
      <c r="AM13" s="62">
        <f t="shared" si="5"/>
        <v>305.41289363405355</v>
      </c>
      <c r="AN13" s="62">
        <f ca="1">AVERAGE(OFFSET($AM$3,0,0,'Données projet'!$E$10+1,1))-AVERAGE(OFFSET($H$3,0,0,'Données projet'!$E$10+1,1))</f>
        <v>82.840015321739202</v>
      </c>
      <c r="AO13" s="62">
        <f t="shared" si="36"/>
        <v>101.40622074610098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1.3166666666666667</v>
      </c>
      <c r="BD13" s="13">
        <f>IF('Données projet'!$A$88&gt;35,BD12+BC13-BL12,IF(A13&lt;'Données projet'!$A$88,$BA$205^A13,IF(A13='Données projet'!$A$88,'Données projet'!$B$88,BD12+BC13-BL12)))</f>
        <v>9.9742650749085442</v>
      </c>
      <c r="BE13" s="14">
        <f>BD13*VLOOKUP('Données projet'!$B$11,Paramètres!$A$1:$I$88,3,0)*VLOOKUP('Données projet'!$B$11,Paramètres!$A$1:$I$88,5,0)</f>
        <v>5.9646105147953108</v>
      </c>
      <c r="BF13" s="14">
        <f t="shared" si="37"/>
        <v>2.23283380846456</v>
      </c>
      <c r="BG13" s="22">
        <f t="shared" si="7"/>
        <v>14.277215529677607</v>
      </c>
      <c r="BH13" s="62">
        <f t="shared" si="8"/>
        <v>307.61054886301093</v>
      </c>
      <c r="BI13" s="62">
        <f ca="1">AVERAGE(OFFSET($BH$3,0,0,'Données projet'!$E$11+1,1))-AVERAGE(OFFSET($H$3,0,0,'Données projet'!$E$11+1,1))</f>
        <v>83.354474428753292</v>
      </c>
      <c r="BJ13" s="62">
        <f t="shared" si="38"/>
        <v>97.75861379589162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projet'!$B$12,Paramètres!$A$1:$I$88,3,0)*0.475*44/12</f>
        <v>#N/A</v>
      </c>
      <c r="CL13" s="23" t="e">
        <f>EXP(-LN(2)/25)*CL12+(1-EXP(-LN(2)/25))/(LN(2)/25)*Calculateur!CG13*Calculateur!CI13*VLOOKUP('Données projet'!$B$12,Paramètres!$A$1:$I$88,3,0)*0.475*44/12</f>
        <v>#N/A</v>
      </c>
      <c r="CM13" s="23" t="e">
        <f>EXP(-LN(2)/2)*CM12+(1-EXP(-LN(2)/2))/(LN(2)/2)*CG13*CJ13*VLOOKUP('Données projet'!$B$12,Paramètres!$A$1:$I$88,3,0)*0.475*44/12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8.065199999999999</v>
      </c>
      <c r="D14" s="12">
        <f t="shared" si="32"/>
        <v>2.9149909035839161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84.759368378542504</v>
      </c>
      <c r="H14" s="70">
        <f t="shared" si="1"/>
        <v>312.45716582374195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4.76</v>
      </c>
      <c r="N14" s="14">
        <f>IF('Données projet'!$A$36&gt;35,N13+M14-V13,IF(A14&lt;'Données projet'!$A$36,$K$205^A14,IF(A14='Données projet'!$A$36,'Données projet'!$B$36,N13+M14-V13)))</f>
        <v>8.1891846368523442</v>
      </c>
      <c r="O14" s="14">
        <f>N14*VLOOKUP('Données projet'!$B$9,Paramètres!$A$1:$I$88,3,0)*VLOOKUP('Données projet'!$B$9,Paramètres!$A$1:$I$88,5,0)</f>
        <v>4.5777542120004604</v>
      </c>
      <c r="P14" s="14">
        <f t="shared" si="33"/>
        <v>1.7672768483510775</v>
      </c>
      <c r="Q14" s="22">
        <f t="shared" si="2"/>
        <v>11.050929096778928</v>
      </c>
      <c r="R14" s="62">
        <f t="shared" si="0"/>
        <v>304.38426243011224</v>
      </c>
      <c r="S14" s="62">
        <f ca="1">AVERAGE(OFFSET($R$3,0,0,'Données projet'!$E$9+1,1))-AVERAGE(OFFSET($H$3,0,0,'Données projet'!$E$9+1,1))</f>
        <v>222.18341301864729</v>
      </c>
      <c r="T14" s="62">
        <f t="shared" si="34"/>
        <v>172.63628480089358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5.75</v>
      </c>
      <c r="AI14" s="14">
        <f>IF('Données projet'!$A$62&gt;35,AI13+AH14-AQ13,IF(A14&lt;'Données projet'!$A$62,$AF$205^A14,IF(A14='Données projet'!$A$62,'Données projet'!$B$62,AI13+AH14-AQ13)))</f>
        <v>13.595144006008928</v>
      </c>
      <c r="AJ14" s="14">
        <f>AI14*VLOOKUP('Données projet'!$B$10,Paramètres!$A$1:$I$88,3,0)*VLOOKUP('Données projet'!$B$10,Paramètres!$A$1:$I$88,5,0)</f>
        <v>6.3625273948121777</v>
      </c>
      <c r="AK14" s="14">
        <f t="shared" si="35"/>
        <v>2.3639551741679612</v>
      </c>
      <c r="AL14" s="22">
        <f t="shared" si="4"/>
        <v>15.198623807640407</v>
      </c>
      <c r="AM14" s="62">
        <f t="shared" si="5"/>
        <v>308.5319571409737</v>
      </c>
      <c r="AN14" s="62">
        <f ca="1">AVERAGE(OFFSET($AM$3,0,0,'Données projet'!$E$10+1,1))-AVERAGE(OFFSET($H$3,0,0,'Données projet'!$E$10+1,1))</f>
        <v>82.840015321739202</v>
      </c>
      <c r="AO14" s="62">
        <f t="shared" si="36"/>
        <v>101.40622074610098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1.3166666666666667</v>
      </c>
      <c r="BD14" s="13">
        <f>IF('Données projet'!$A$88&gt;35,BD13+BC14-BL13,IF(A14&lt;'Données projet'!$A$88,$BA$205^A14,IF(A14='Données projet'!$A$88,'Données projet'!$B$88,BD13+BC14-BL13)))</f>
        <v>12.553620520931604</v>
      </c>
      <c r="BE14" s="14">
        <f>BD14*VLOOKUP('Données projet'!$B$11,Paramètres!$A$1:$I$88,3,0)*VLOOKUP('Données projet'!$B$11,Paramètres!$A$1:$I$88,5,0)</f>
        <v>7.5070650715170997</v>
      </c>
      <c r="BF14" s="14">
        <f t="shared" si="37"/>
        <v>2.7360089659337223</v>
      </c>
      <c r="BG14" s="22">
        <f t="shared" si="7"/>
        <v>17.840020615226845</v>
      </c>
      <c r="BH14" s="62">
        <f t="shared" si="8"/>
        <v>311.17335394856013</v>
      </c>
      <c r="BI14" s="62">
        <f ca="1">AVERAGE(OFFSET($BH$3,0,0,'Données projet'!$E$11+1,1))-AVERAGE(OFFSET($H$3,0,0,'Données projet'!$E$11+1,1))</f>
        <v>83.354474428753292</v>
      </c>
      <c r="BJ14" s="62">
        <f t="shared" si="38"/>
        <v>97.75861379589162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projet'!$B$12,Paramètres!$A$1:$I$88,3,0)*0.475*44/12</f>
        <v>#N/A</v>
      </c>
      <c r="CL14" s="23" t="e">
        <f>EXP(-LN(2)/25)*CL13+(1-EXP(-LN(2)/25))/(LN(2)/25)*Calculateur!CG14*Calculateur!CI14*VLOOKUP('Données projet'!$B$12,Paramètres!$A$1:$I$88,3,0)*0.475*44/12</f>
        <v>#N/A</v>
      </c>
      <c r="CM14" s="23" t="e">
        <f>EXP(-LN(2)/2)*CM13+(1-EXP(-LN(2)/2))/(LN(2)/2)*CG14*CJ14*VLOOKUP('Données projet'!$B$12,Paramètres!$A$1:$I$88,3,0)*0.475*44/12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8.7983999999999991</v>
      </c>
      <c r="D15" s="12">
        <f t="shared" si="32"/>
        <v>3.1479452926301796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92.217402258899639</v>
      </c>
      <c r="H15" s="70">
        <f t="shared" si="1"/>
        <v>314.13988471799752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4.76</v>
      </c>
      <c r="N15" s="14">
        <f>IF('Données projet'!$A$36&gt;35,N14+M15-V14,IF(A15&lt;'Données projet'!$A$36,$K$205^A15,IF(A15='Données projet'!$A$36,'Données projet'!$B$36,N14+M15-V14)))</f>
        <v>9.914311077401651</v>
      </c>
      <c r="O15" s="14">
        <f>N15*VLOOKUP('Données projet'!$B$9,Paramètres!$A$1:$I$88,3,0)*VLOOKUP('Données projet'!$B$9,Paramètres!$A$1:$I$88,5,0)</f>
        <v>5.5420998922675233</v>
      </c>
      <c r="P15" s="14">
        <f t="shared" si="33"/>
        <v>2.0924867659756758</v>
      </c>
      <c r="Q15" s="22">
        <f t="shared" si="2"/>
        <v>13.29690509644024</v>
      </c>
      <c r="R15" s="62">
        <f t="shared" si="0"/>
        <v>306.63023842977356</v>
      </c>
      <c r="S15" s="62">
        <f ca="1">AVERAGE(OFFSET($R$3,0,0,'Données projet'!$E$9+1,1))-AVERAGE(OFFSET($H$3,0,0,'Données projet'!$E$9+1,1))</f>
        <v>222.18341301864729</v>
      </c>
      <c r="T15" s="62">
        <f t="shared" si="34"/>
        <v>172.63628480089358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5.75</v>
      </c>
      <c r="AI15" s="14">
        <f>IF('Données projet'!$A$62&gt;35,AI14+AH15-AQ14,IF(A15&lt;'Données projet'!$A$62,$AF$205^A15,IF(A15='Données projet'!$A$62,'Données projet'!$B$62,AI14+AH15-AQ14)))</f>
        <v>17.23529432545471</v>
      </c>
      <c r="AJ15" s="14">
        <f>AI15*VLOOKUP('Données projet'!$B$10,Paramètres!$A$1:$I$88,3,0)*VLOOKUP('Données projet'!$B$10,Paramètres!$A$1:$I$88,5,0)</f>
        <v>8.0661177443128054</v>
      </c>
      <c r="AK15" s="14">
        <f t="shared" si="35"/>
        <v>2.915283990610841</v>
      </c>
      <c r="AL15" s="22">
        <f t="shared" si="4"/>
        <v>19.125941354992019</v>
      </c>
      <c r="AM15" s="62">
        <f t="shared" si="5"/>
        <v>312.45927468832531</v>
      </c>
      <c r="AN15" s="62">
        <f ca="1">AVERAGE(OFFSET($AM$3,0,0,'Données projet'!$E$10+1,1))-AVERAGE(OFFSET($H$3,0,0,'Données projet'!$E$10+1,1))</f>
        <v>82.840015321739202</v>
      </c>
      <c r="AO15" s="62">
        <f t="shared" si="36"/>
        <v>101.40622074610098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>
        <f>VLOOKUP(A15,'Données projet'!$A$87:$I$107,2,0)</f>
        <v>15.8</v>
      </c>
      <c r="BB15" s="13">
        <f>VLOOKUP(A15,'Données projet'!$A$87:$I$107,9,0)</f>
        <v>1.3166666666666667</v>
      </c>
      <c r="BC15" s="13">
        <f t="array" ref="BC15">INDEX(BB:BB,MIN(IF(ISNUMBER(BB15:BB211),ROW(BB15:BB211),"")))</f>
        <v>1.3166666666666667</v>
      </c>
      <c r="BD15" s="13">
        <f>IF('Données projet'!$A$88&gt;35,BD14+BC15-BL14,IF(A15&lt;'Données projet'!$A$88,$BA$205^A15,IF(A15='Données projet'!$A$88,'Données projet'!$B$88,BD14+BC15-BL14)))</f>
        <v>15.8</v>
      </c>
      <c r="BE15" s="14">
        <f>BD15*VLOOKUP('Données projet'!$B$11,Paramètres!$A$1:$I$88,3,0)*VLOOKUP('Données projet'!$B$11,Paramètres!$A$1:$I$88,5,0)</f>
        <v>9.4484000000000012</v>
      </c>
      <c r="BF15" s="14">
        <f t="shared" si="37"/>
        <v>3.3525760104901838</v>
      </c>
      <c r="BG15" s="22">
        <f t="shared" si="7"/>
        <v>22.295033218270405</v>
      </c>
      <c r="BH15" s="62">
        <f t="shared" si="8"/>
        <v>315.62836655160373</v>
      </c>
      <c r="BI15" s="62">
        <f ca="1">AVERAGE(OFFSET($BH$3,0,0,'Données projet'!$E$11+1,1))-AVERAGE(OFFSET($H$3,0,0,'Données projet'!$E$11+1,1))</f>
        <v>83.354474428753292</v>
      </c>
      <c r="BJ15" s="62">
        <f t="shared" si="38"/>
        <v>97.75861379589162</v>
      </c>
      <c r="BK15" s="16">
        <f>IF(ISNA(VLOOKUP(A15,'Données projet'!$A$87:$I$107,3,0)),0,VLOOKUP(A15,'Données projet'!$A$87:$I$107,3,0))</f>
        <v>1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4.5000000000000005E-2</v>
      </c>
      <c r="BN15" s="17">
        <f>IF(ISNA(VLOOKUP(A15,'Données projet'!$A$87:$I$107,6,0)),0%,VLOOKUP(A15,'Données projet'!$A$87:$I$107,6,0)*VLOOKUP('Données projet'!$B$11,Paramètres!$A$1:$I$88,7,0))</f>
        <v>0.36000000000000004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projet'!$B$12,Paramètres!$A$1:$I$88,3,0)*0.475*44/12</f>
        <v>#N/A</v>
      </c>
      <c r="CL15" s="23" t="e">
        <f>EXP(-LN(2)/25)*CL14+(1-EXP(-LN(2)/25))/(LN(2)/25)*Calculateur!CG15*Calculateur!CI15*VLOOKUP('Données projet'!$B$12,Paramètres!$A$1:$I$88,3,0)*0.475*44/12</f>
        <v>#N/A</v>
      </c>
      <c r="CM15" s="23" t="e">
        <f>EXP(-LN(2)/2)*CM14+(1-EXP(-LN(2)/2))/(LN(2)/2)*CG15*CJ15*VLOOKUP('Données projet'!$B$12,Paramètres!$A$1:$I$88,3,0)*0.475*44/12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9.5315999999999992</v>
      </c>
      <c r="D16" s="12">
        <f t="shared" si="32"/>
        <v>3.3786481992658062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99.658056275034298</v>
      </c>
      <c r="H16" s="70">
        <f t="shared" si="1"/>
        <v>315.81868228038792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4.76</v>
      </c>
      <c r="N16" s="14">
        <f>IF('Données projet'!$A$36&gt;35,N15+M16-V15,IF(A16&lt;'Données projet'!$A$36,$K$205^A16,IF(A16='Données projet'!$A$36,'Données projet'!$B$36,N15+M16-V15)))</f>
        <v>12.002851138214163</v>
      </c>
      <c r="O16" s="14">
        <f>N16*VLOOKUP('Données projet'!$B$9,Paramètres!$A$1:$I$88,3,0)*VLOOKUP('Données projet'!$B$9,Paramètres!$A$1:$I$88,5,0)</f>
        <v>6.709593786261717</v>
      </c>
      <c r="P16" s="14">
        <f t="shared" si="33"/>
        <v>2.4775410088513397</v>
      </c>
      <c r="Q16" s="22">
        <f t="shared" si="2"/>
        <v>16.000926434821906</v>
      </c>
      <c r="R16" s="62">
        <f t="shared" si="0"/>
        <v>309.33425976815522</v>
      </c>
      <c r="S16" s="62">
        <f ca="1">AVERAGE(OFFSET($R$3,0,0,'Données projet'!$E$9+1,1))-AVERAGE(OFFSET($H$3,0,0,'Données projet'!$E$9+1,1))</f>
        <v>222.18341301864729</v>
      </c>
      <c r="T16" s="62">
        <f t="shared" si="34"/>
        <v>172.63628480089358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5.75</v>
      </c>
      <c r="AI16" s="14">
        <f>IF('Données projet'!$A$62&gt;35,AI15+AH16-AQ15,IF(A16&lt;'Données projet'!$A$62,$AF$205^A16,IF(A16='Données projet'!$A$62,'Données projet'!$B$62,AI15+AH16-AQ15)))</f>
        <v>21.850108417664106</v>
      </c>
      <c r="AJ16" s="14">
        <f>AI16*VLOOKUP('Données projet'!$B$10,Paramètres!$A$1:$I$88,3,0)*VLOOKUP('Données projet'!$B$10,Paramètres!$A$1:$I$88,5,0)</f>
        <v>10.225850739466802</v>
      </c>
      <c r="AK16" s="14">
        <f t="shared" si="35"/>
        <v>3.5951953906669201</v>
      </c>
      <c r="AL16" s="22">
        <f t="shared" si="4"/>
        <v>24.071655343316234</v>
      </c>
      <c r="AM16" s="62">
        <f t="shared" si="5"/>
        <v>317.40498867664957</v>
      </c>
      <c r="AN16" s="62">
        <f ca="1">AVERAGE(OFFSET($AM$3,0,0,'Données projet'!$E$10+1,1))-AVERAGE(OFFSET($H$3,0,0,'Données projet'!$E$10+1,1))</f>
        <v>82.840015321739202</v>
      </c>
      <c r="AO16" s="62">
        <f t="shared" si="36"/>
        <v>101.40622074610098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6.05</v>
      </c>
      <c r="BD16" s="13">
        <f>IF('Données projet'!$A$88&gt;35,BD15+BC16-BL15,IF(A16&lt;'Données projet'!$A$88,$BA$205^A16,IF(A16='Données projet'!$A$88,'Données projet'!$B$88,BD15+BC16-BL15)))</f>
        <v>21.85</v>
      </c>
      <c r="BE16" s="14">
        <f>BD16*VLOOKUP('Données projet'!$B$11,Paramètres!$A$1:$I$88,3,0)*VLOOKUP('Données projet'!$B$11,Paramètres!$A$1:$I$88,5,0)</f>
        <v>13.066300000000004</v>
      </c>
      <c r="BF16" s="14">
        <f t="shared" si="37"/>
        <v>4.4646202483783792</v>
      </c>
      <c r="BG16" s="22">
        <f t="shared" si="7"/>
        <v>30.533019432592351</v>
      </c>
      <c r="BH16" s="62">
        <f t="shared" si="8"/>
        <v>323.86635276592568</v>
      </c>
      <c r="BI16" s="62">
        <f ca="1">AVERAGE(OFFSET($BH$3,0,0,'Données projet'!$E$11+1,1))-AVERAGE(OFFSET($H$3,0,0,'Données projet'!$E$11+1,1))</f>
        <v>83.354474428753292</v>
      </c>
      <c r="BJ16" s="62">
        <f t="shared" si="38"/>
        <v>97.75861379589162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projet'!$B$12,Paramètres!$A$1:$I$88,3,0)*0.475*44/12</f>
        <v>#N/A</v>
      </c>
      <c r="CL16" s="23" t="e">
        <f>EXP(-LN(2)/25)*CL15+(1-EXP(-LN(2)/25))/(LN(2)/25)*Calculateur!CG16*Calculateur!CI16*VLOOKUP('Données projet'!$B$12,Paramètres!$A$1:$I$88,3,0)*0.475*44/12</f>
        <v>#N/A</v>
      </c>
      <c r="CM16" s="23" t="e">
        <f>EXP(-LN(2)/2)*CM15+(1-EXP(-LN(2)/2))/(LN(2)/2)*CG16*CJ16*VLOOKUP('Données projet'!$B$12,Paramètres!$A$1:$I$88,3,0)*0.475*44/12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10.264799999999999</v>
      </c>
      <c r="D17" s="12">
        <f t="shared" si="32"/>
        <v>3.6072925061053467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107.08281934537462</v>
      </c>
      <c r="H17" s="70">
        <f t="shared" si="1"/>
        <v>317.49389444813346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4.76</v>
      </c>
      <c r="N17" s="14">
        <f>IF('Données projet'!$A$36&gt;35,N16+M17-V16,IF(A17&lt;'Données projet'!$A$36,$K$205^A17,IF(A17='Données projet'!$A$36,'Données projet'!$B$36,N16+M17-V16)))</f>
        <v>14.531361213237881</v>
      </c>
      <c r="O17" s="14">
        <f>N17*VLOOKUP('Données projet'!$B$9,Paramètres!$A$1:$I$88,3,0)*VLOOKUP('Données projet'!$B$9,Paramètres!$A$1:$I$88,5,0)</f>
        <v>8.1230309181999747</v>
      </c>
      <c r="P17" s="14">
        <f t="shared" si="33"/>
        <v>2.9334519817992804</v>
      </c>
      <c r="Q17" s="22">
        <f t="shared" si="2"/>
        <v>19.256707717498703</v>
      </c>
      <c r="R17" s="62">
        <f t="shared" si="0"/>
        <v>312.59004105083204</v>
      </c>
      <c r="S17" s="62">
        <f ca="1">AVERAGE(OFFSET($R$3,0,0,'Données projet'!$E$9+1,1))-AVERAGE(OFFSET($H$3,0,0,'Données projet'!$E$9+1,1))</f>
        <v>222.18341301864729</v>
      </c>
      <c r="T17" s="62">
        <f t="shared" si="34"/>
        <v>172.63628480089358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5.75</v>
      </c>
      <c r="AI17" s="14">
        <f>IF('Données projet'!$A$62&gt;35,AI16+AH17-AQ16,IF(A17&lt;'Données projet'!$A$62,$AF$205^A17,IF(A17='Données projet'!$A$62,'Données projet'!$B$62,AI16+AH17-AQ16)))</f>
        <v>27.700556129091808</v>
      </c>
      <c r="AJ17" s="14">
        <f>AI17*VLOOKUP('Données projet'!$B$10,Paramètres!$A$1:$I$88,3,0)*VLOOKUP('Données projet'!$B$10,Paramètres!$A$1:$I$88,5,0)</f>
        <v>12.963860268414967</v>
      </c>
      <c r="AK17" s="14">
        <f t="shared" si="35"/>
        <v>4.4336777956113931</v>
      </c>
      <c r="AL17" s="22">
        <f t="shared" si="4"/>
        <v>30.300712128179242</v>
      </c>
      <c r="AM17" s="62">
        <f t="shared" si="5"/>
        <v>323.63404546151253</v>
      </c>
      <c r="AN17" s="62">
        <f ca="1">AVERAGE(OFFSET($AM$3,0,0,'Données projet'!$E$10+1,1))-AVERAGE(OFFSET($H$3,0,0,'Données projet'!$E$10+1,1))</f>
        <v>82.840015321739202</v>
      </c>
      <c r="AO17" s="62">
        <f t="shared" si="36"/>
        <v>101.40622074610098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6.05</v>
      </c>
      <c r="BD17" s="13">
        <f>IF('Données projet'!$A$88&gt;35,BD16+BC17-BL16,IF(A17&lt;'Données projet'!$A$88,$BA$205^A17,IF(A17='Données projet'!$A$88,'Données projet'!$B$88,BD16+BC17-BL16)))</f>
        <v>27.900000000000002</v>
      </c>
      <c r="BE17" s="14">
        <f>BD17*VLOOKUP('Données projet'!$B$11,Paramètres!$A$1:$I$88,3,0)*VLOOKUP('Données projet'!$B$11,Paramètres!$A$1:$I$88,5,0)</f>
        <v>16.684200000000004</v>
      </c>
      <c r="BF17" s="14">
        <f t="shared" si="37"/>
        <v>5.5409101148751265</v>
      </c>
      <c r="BG17" s="22">
        <f t="shared" si="7"/>
        <v>38.708733450074185</v>
      </c>
      <c r="BH17" s="62">
        <f t="shared" si="8"/>
        <v>332.04206678340751</v>
      </c>
      <c r="BI17" s="62">
        <f ca="1">AVERAGE(OFFSET($BH$3,0,0,'Données projet'!$E$11+1,1))-AVERAGE(OFFSET($H$3,0,0,'Données projet'!$E$11+1,1))</f>
        <v>83.354474428753292</v>
      </c>
      <c r="BJ17" s="62">
        <f t="shared" si="38"/>
        <v>97.75861379589162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projet'!$B$12,Paramètres!$A$1:$I$88,3,0)*0.475*44/12</f>
        <v>#N/A</v>
      </c>
      <c r="CL17" s="23" t="e">
        <f>EXP(-LN(2)/25)*CL16+(1-EXP(-LN(2)/25))/(LN(2)/25)*Calculateur!CG17*Calculateur!CI17*VLOOKUP('Données projet'!$B$12,Paramètres!$A$1:$I$88,3,0)*0.475*44/12</f>
        <v>#N/A</v>
      </c>
      <c r="CM17" s="23" t="e">
        <f>EXP(-LN(2)/2)*CM16+(1-EXP(-LN(2)/2))/(LN(2)/2)*CG17*CJ17*VLOOKUP('Données projet'!$B$12,Paramètres!$A$1:$I$88,3,0)*0.475*44/12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10.997999999999999</v>
      </c>
      <c r="D18" s="12">
        <f t="shared" si="32"/>
        <v>3.8340419797271834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114.49295563298176</v>
      </c>
      <c r="H18" s="70">
        <f t="shared" si="1"/>
        <v>319.1658064480248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4.76</v>
      </c>
      <c r="N18" s="14">
        <f>IF('Données projet'!$A$36&gt;35,N17+M18-V17,IF(A18&lt;'Données projet'!$A$36,$K$205^A18,IF(A18='Données projet'!$A$36,'Données projet'!$B$36,N17+M18-V17)))</f>
        <v>17.592524999107141</v>
      </c>
      <c r="O18" s="14">
        <f>N18*VLOOKUP('Données projet'!$B$9,Paramètres!$A$1:$I$88,3,0)*VLOOKUP('Données projet'!$B$9,Paramètres!$A$1:$I$88,5,0)</f>
        <v>9.8342214745008913</v>
      </c>
      <c r="P18" s="14">
        <f t="shared" si="33"/>
        <v>3.4732585651576038</v>
      </c>
      <c r="Q18" s="22">
        <f t="shared" si="2"/>
        <v>23.17719440240521</v>
      </c>
      <c r="R18" s="62">
        <f t="shared" si="0"/>
        <v>316.51052773573855</v>
      </c>
      <c r="S18" s="62">
        <f ca="1">AVERAGE(OFFSET($R$3,0,0,'Données projet'!$E$9+1,1))-AVERAGE(OFFSET($H$3,0,0,'Données projet'!$E$9+1,1))</f>
        <v>222.18341301864729</v>
      </c>
      <c r="T18" s="62">
        <f t="shared" si="34"/>
        <v>172.63628480089358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5.75</v>
      </c>
      <c r="AI18" s="14">
        <f>IF('Données projet'!$A$62&gt;35,AI17+AH18-AQ17,IF(A18&lt;'Données projet'!$A$62,$AF$205^A18,IF(A18='Données projet'!$A$62,'Données projet'!$B$62,AI17+AH18-AQ17)))</f>
        <v>35.117482952196561</v>
      </c>
      <c r="AJ18" s="14">
        <f>AI18*VLOOKUP('Données projet'!$B$10,Paramètres!$A$1:$I$88,3,0)*VLOOKUP('Données projet'!$B$10,Paramètres!$A$1:$I$88,5,0)</f>
        <v>16.434982021627992</v>
      </c>
      <c r="AK18" s="14">
        <f t="shared" si="35"/>
        <v>5.4677136175486121</v>
      </c>
      <c r="AL18" s="22">
        <f t="shared" si="4"/>
        <v>38.147194904899251</v>
      </c>
      <c r="AM18" s="62">
        <f t="shared" si="5"/>
        <v>331.48052823823258</v>
      </c>
      <c r="AN18" s="62">
        <f ca="1">AVERAGE(OFFSET($AM$3,0,0,'Données projet'!$E$10+1,1))-AVERAGE(OFFSET($H$3,0,0,'Données projet'!$E$10+1,1))</f>
        <v>82.840015321739202</v>
      </c>
      <c r="AO18" s="62">
        <f t="shared" si="36"/>
        <v>101.40622074610098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6.05</v>
      </c>
      <c r="BD18" s="13">
        <f>IF('Données projet'!$A$88&gt;35,BD17+BC18-BL17,IF(A18&lt;'Données projet'!$A$88,$BA$205^A18,IF(A18='Données projet'!$A$88,'Données projet'!$B$88,BD17+BC18-BL17)))</f>
        <v>33.950000000000003</v>
      </c>
      <c r="BE18" s="14">
        <f>BD18*VLOOKUP('Données projet'!$B$11,Paramètres!$A$1:$I$88,3,0)*VLOOKUP('Données projet'!$B$11,Paramètres!$A$1:$I$88,5,0)</f>
        <v>20.302100000000003</v>
      </c>
      <c r="BF18" s="14">
        <f t="shared" si="37"/>
        <v>6.5901493875451367</v>
      </c>
      <c r="BG18" s="22">
        <f t="shared" si="7"/>
        <v>46.837334349974448</v>
      </c>
      <c r="BH18" s="62">
        <f t="shared" si="8"/>
        <v>340.17066768330778</v>
      </c>
      <c r="BI18" s="62">
        <f ca="1">AVERAGE(OFFSET($BH$3,0,0,'Données projet'!$E$11+1,1))-AVERAGE(OFFSET($H$3,0,0,'Données projet'!$E$11+1,1))</f>
        <v>83.354474428753292</v>
      </c>
      <c r="BJ18" s="62">
        <f t="shared" si="38"/>
        <v>97.75861379589162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projet'!$B$12,Paramètres!$A$1:$I$88,3,0)*0.475*44/12</f>
        <v>#N/A</v>
      </c>
      <c r="CL18" s="23" t="e">
        <f>EXP(-LN(2)/25)*CL17+(1-EXP(-LN(2)/25))/(LN(2)/25)*Calculateur!CG18*Calculateur!CI18*VLOOKUP('Données projet'!$B$12,Paramètres!$A$1:$I$88,3,0)*0.475*44/12</f>
        <v>#N/A</v>
      </c>
      <c r="CM18" s="23" t="e">
        <f>EXP(-LN(2)/2)*CM17+(1-EXP(-LN(2)/2))/(LN(2)/2)*CG18*CJ18*VLOOKUP('Données projet'!$B$12,Paramètres!$A$1:$I$88,3,0)*0.475*44/12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11.731199999999999</v>
      </c>
      <c r="D19" s="12">
        <f t="shared" si="32"/>
        <v>4.0590373158284008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121.88955120990344</v>
      </c>
      <c r="H19" s="70">
        <f t="shared" si="1"/>
        <v>320.83466332506777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4.76</v>
      </c>
      <c r="N19" s="14">
        <f>IF('Données projet'!$A$36&gt;35,N18+M19-V18,IF(A19&lt;'Données projet'!$A$36,$K$205^A19,IF(A19='Données projet'!$A$36,'Données projet'!$B$36,N18+M19-V18)))</f>
        <v>21.298550858557014</v>
      </c>
      <c r="O19" s="14">
        <f>N19*VLOOKUP('Données projet'!$B$9,Paramètres!$A$1:$I$88,3,0)*VLOOKUP('Données projet'!$B$9,Paramètres!$A$1:$I$88,5,0)</f>
        <v>11.905889929933371</v>
      </c>
      <c r="P19" s="14">
        <f t="shared" si="33"/>
        <v>4.1123990217972795</v>
      </c>
      <c r="Q19" s="22">
        <f t="shared" si="2"/>
        <v>27.89851992426421</v>
      </c>
      <c r="R19" s="62">
        <f t="shared" si="0"/>
        <v>321.23185325759755</v>
      </c>
      <c r="S19" s="62">
        <f ca="1">AVERAGE(OFFSET($R$3,0,0,'Données projet'!$E$9+1,1))-AVERAGE(OFFSET($H$3,0,0,'Données projet'!$E$9+1,1))</f>
        <v>222.18341301864729</v>
      </c>
      <c r="T19" s="62">
        <f t="shared" si="34"/>
        <v>172.63628480089358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5.75</v>
      </c>
      <c r="AI19" s="14">
        <f>IF('Données projet'!$A$62&gt;35,AI18+AH19-AQ18,IF(A19&lt;'Données projet'!$A$62,$AF$205^A19,IF(A19='Données projet'!$A$62,'Données projet'!$B$62,AI18+AH19-AQ18)))</f>
        <v>44.52031948927695</v>
      </c>
      <c r="AJ19" s="14">
        <f>AI19*VLOOKUP('Données projet'!$B$10,Paramètres!$A$1:$I$88,3,0)*VLOOKUP('Données projet'!$B$10,Paramètres!$A$1:$I$88,5,0)</f>
        <v>20.835509520981613</v>
      </c>
      <c r="AK19" s="14">
        <f t="shared" si="35"/>
        <v>6.7429104192276883</v>
      </c>
      <c r="AL19" s="22">
        <f t="shared" si="4"/>
        <v>48.03241472919786</v>
      </c>
      <c r="AM19" s="62">
        <f t="shared" si="5"/>
        <v>341.36574806253117</v>
      </c>
      <c r="AN19" s="62">
        <f ca="1">AVERAGE(OFFSET($AM$3,0,0,'Données projet'!$E$10+1,1))-AVERAGE(OFFSET($H$3,0,0,'Données projet'!$E$10+1,1))</f>
        <v>82.840015321739202</v>
      </c>
      <c r="AO19" s="62">
        <f t="shared" si="36"/>
        <v>101.40622074610098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>
        <f>VLOOKUP(A19,'Données projet'!$A$87:$I$107,2,0)</f>
        <v>40</v>
      </c>
      <c r="BB19" s="13">
        <f>VLOOKUP(A19,'Données projet'!$A$87:$I$107,9,0)</f>
        <v>6.05</v>
      </c>
      <c r="BC19" s="13">
        <f t="array" ref="BC19">INDEX(BB:BB,MIN(IF(ISNUMBER(BB19:BB215),ROW(BB19:BB215),"")))</f>
        <v>6.05</v>
      </c>
      <c r="BD19" s="13">
        <f>IF('Données projet'!$A$88&gt;35,BD18+BC19-BL18,IF(A19&lt;'Données projet'!$A$88,$BA$205^A19,IF(A19='Données projet'!$A$88,'Données projet'!$B$88,BD18+BC19-BL18)))</f>
        <v>40</v>
      </c>
      <c r="BE19" s="14">
        <f>BD19*VLOOKUP('Données projet'!$B$11,Paramètres!$A$1:$I$88,3,0)*VLOOKUP('Données projet'!$B$11,Paramètres!$A$1:$I$88,5,0)</f>
        <v>23.920000000000005</v>
      </c>
      <c r="BF19" s="14">
        <f t="shared" si="37"/>
        <v>7.6177276101832296</v>
      </c>
      <c r="BG19" s="22">
        <f t="shared" si="7"/>
        <v>54.928208921069135</v>
      </c>
      <c r="BH19" s="62">
        <f t="shared" si="8"/>
        <v>348.26154225440246</v>
      </c>
      <c r="BI19" s="62">
        <f ca="1">AVERAGE(OFFSET($BH$3,0,0,'Données projet'!$E$11+1,1))-AVERAGE(OFFSET($H$3,0,0,'Données projet'!$E$11+1,1))</f>
        <v>83.354474428753292</v>
      </c>
      <c r="BJ19" s="62">
        <f t="shared" si="38"/>
        <v>97.75861379589162</v>
      </c>
      <c r="BK19" s="16">
        <f>IF(ISNA(VLOOKUP(A19,'Données projet'!$A$87:$I$107,3,0)),0,VLOOKUP(A19,'Données projet'!$A$87:$I$107,3,0))</f>
        <v>2</v>
      </c>
      <c r="BL19" s="16">
        <f>IF(ISNA(VLOOKUP(A19,'Données projet'!$A$87:$I$107,4,0)),0,VLOOKUP(A19,'Données projet'!$A$87:$I$107,4,0))</f>
        <v>4.0999999999999996</v>
      </c>
      <c r="BM19" s="17">
        <f>IF(ISNA(VLOOKUP(A19,'Données projet'!$A$87:$I$107,5,0)),0%,VLOOKUP(A19,'Données projet'!$A$87:$I$107,5,0)*VLOOKUP('Données projet'!$B$11,Paramètres!$A$1:$I$88,7,0))</f>
        <v>0.13499999999999998</v>
      </c>
      <c r="BN19" s="17">
        <f>IF(ISNA(VLOOKUP(A19,'Données projet'!$A$87:$I$107,6,0)),0%,VLOOKUP(A19,'Données projet'!$A$87:$I$107,6,0)*VLOOKUP('Données projet'!$B$11,Paramètres!$A$1:$I$88,7,0))</f>
        <v>0.22500000000000001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0.43908354879929951</v>
      </c>
      <c r="BQ19" s="23">
        <f>EXP(-LN(2)/25)*BQ18+(1-EXP(-LN(2)/25))/(LN(2)/25)*Calculateur!BL19*Calculateur!BN19*VLOOKUP('Données projet'!$B$11,Paramètres!$A$1:$I$88,3,0)*0.475*44/12</f>
        <v>0.72892451593954721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1.1680080647388467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projet'!$B$12,Paramètres!$A$1:$I$88,3,0)*0.475*44/12</f>
        <v>#N/A</v>
      </c>
      <c r="CL19" s="23" t="e">
        <f>EXP(-LN(2)/25)*CL18+(1-EXP(-LN(2)/25))/(LN(2)/25)*Calculateur!CG19*Calculateur!CI19*VLOOKUP('Données projet'!$B$12,Paramètres!$A$1:$I$88,3,0)*0.475*44/12</f>
        <v>#N/A</v>
      </c>
      <c r="CM19" s="23" t="e">
        <f>EXP(-LN(2)/2)*CM18+(1-EXP(-LN(2)/2))/(LN(2)/2)*CG19*CJ19*VLOOKUP('Données projet'!$B$12,Paramètres!$A$1:$I$88,3,0)*0.475*44/12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12.464399999999999</v>
      </c>
      <c r="D20" s="12">
        <f t="shared" si="32"/>
        <v>4.2824006291256396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129.27354871605758</v>
      </c>
      <c r="H20" s="70">
        <f t="shared" si="1"/>
        <v>322.50067776239382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4.76</v>
      </c>
      <c r="N20" s="14">
        <f>IF('Données projet'!$A$36&gt;35,N19+M20-V19,IF(A20&lt;'Données projet'!$A$36,$K$205^A20,IF(A20='Données projet'!$A$36,'Données projet'!$B$36,N19+M20-V19)))</f>
        <v>25.785284869429624</v>
      </c>
      <c r="O20" s="14">
        <f>N20*VLOOKUP('Données projet'!$B$9,Paramètres!$A$1:$I$88,3,0)*VLOOKUP('Données projet'!$B$9,Paramètres!$A$1:$I$88,5,0)</f>
        <v>14.413974242011159</v>
      </c>
      <c r="P20" s="14">
        <f t="shared" si="33"/>
        <v>4.8691525255655215</v>
      </c>
      <c r="Q20" s="22">
        <f t="shared" si="2"/>
        <v>33.584779120196053</v>
      </c>
      <c r="R20" s="62">
        <f t="shared" si="0"/>
        <v>326.91811245352937</v>
      </c>
      <c r="S20" s="62">
        <f ca="1">AVERAGE(OFFSET($R$3,0,0,'Données projet'!$E$9+1,1))-AVERAGE(OFFSET($H$3,0,0,'Données projet'!$E$9+1,1))</f>
        <v>222.18341301864729</v>
      </c>
      <c r="T20" s="62">
        <f t="shared" si="34"/>
        <v>172.63628480089358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5.75</v>
      </c>
      <c r="AI20" s="14">
        <f>IF('Données projet'!$A$62&gt;35,AI19+AH20-AQ19,IF(A20&lt;'Données projet'!$A$62,$AF$205^A20,IF(A20='Données projet'!$A$62,'Données projet'!$B$62,AI19+AH20-AQ19)))</f>
        <v>56.440800444763006</v>
      </c>
      <c r="AJ20" s="14">
        <f>AI20*VLOOKUP('Données projet'!$B$10,Paramètres!$A$1:$I$88,3,0)*VLOOKUP('Données projet'!$B$10,Paramètres!$A$1:$I$88,5,0)</f>
        <v>26.414294608149088</v>
      </c>
      <c r="AK20" s="14">
        <f t="shared" si="35"/>
        <v>8.3155124979120405</v>
      </c>
      <c r="AL20" s="22">
        <f t="shared" si="4"/>
        <v>60.487747376389791</v>
      </c>
      <c r="AM20" s="62">
        <f t="shared" si="5"/>
        <v>353.82108070972311</v>
      </c>
      <c r="AN20" s="62">
        <f ca="1">AVERAGE(OFFSET($AM$3,0,0,'Données projet'!$E$10+1,1))-AVERAGE(OFFSET($H$3,0,0,'Données projet'!$E$10+1,1))</f>
        <v>82.840015321739202</v>
      </c>
      <c r="AO20" s="62">
        <f t="shared" si="36"/>
        <v>101.40622074610098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6.3000000000000007</v>
      </c>
      <c r="BD20" s="13">
        <f>IF('Données projet'!$A$88&gt;35,BD19+BC20-BL19,IF(A20&lt;'Données projet'!$A$88,$BA$205^A20,IF(A20='Données projet'!$A$88,'Données projet'!$B$88,BD19+BC20-BL19)))</f>
        <v>42.199999999999996</v>
      </c>
      <c r="BE20" s="14">
        <f>BD20*VLOOKUP('Données projet'!$B$11,Paramètres!$A$1:$I$88,3,0)*VLOOKUP('Données projet'!$B$11,Paramètres!$A$1:$I$88,5,0)</f>
        <v>25.235599999999998</v>
      </c>
      <c r="BF20" s="14">
        <f t="shared" si="37"/>
        <v>7.9867724780476728</v>
      </c>
      <c r="BG20" s="22">
        <f t="shared" si="7"/>
        <v>57.862298732599697</v>
      </c>
      <c r="BH20" s="62">
        <f t="shared" si="8"/>
        <v>351.19563206593301</v>
      </c>
      <c r="BI20" s="62">
        <f ca="1">AVERAGE(OFFSET($BH$3,0,0,'Données projet'!$E$11+1,1))-AVERAGE(OFFSET($H$3,0,0,'Données projet'!$E$11+1,1))</f>
        <v>83.354474428753292</v>
      </c>
      <c r="BJ20" s="62">
        <f t="shared" si="38"/>
        <v>97.75861379589162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0.43047338822186554</v>
      </c>
      <c r="BQ20" s="23">
        <f>EXP(-LN(2)/25)*BQ19+(1-EXP(-LN(2)/25))/(LN(2)/25)*Calculateur!BL20*Calculateur!BN20*VLOOKUP('Données projet'!$B$11,Paramètres!$A$1:$I$88,3,0)*0.475*44/12</f>
        <v>0.70899203671870603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1.1394654249405716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projet'!$B$12,Paramètres!$A$1:$I$88,3,0)*0.475*44/12</f>
        <v>#N/A</v>
      </c>
      <c r="CL20" s="23" t="e">
        <f>EXP(-LN(2)/25)*CL19+(1-EXP(-LN(2)/25))/(LN(2)/25)*Calculateur!CG20*Calculateur!CI20*VLOOKUP('Données projet'!$B$12,Paramètres!$A$1:$I$88,3,0)*0.475*44/12</f>
        <v>#N/A</v>
      </c>
      <c r="CM20" s="23" t="e">
        <f>EXP(-LN(2)/2)*CM19+(1-EXP(-LN(2)/2))/(LN(2)/2)*CG20*CJ20*VLOOKUP('Données projet'!$B$12,Paramètres!$A$1:$I$88,3,0)*0.475*44/12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13.1976</v>
      </c>
      <c r="D21" s="12">
        <f t="shared" si="32"/>
        <v>4.504238856327774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136.64577362779337</v>
      </c>
      <c r="H21" s="70">
        <f t="shared" si="1"/>
        <v>324.16403600810418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4.76</v>
      </c>
      <c r="N21" s="14">
        <f>IF('Données projet'!$A$36&gt;35,N20+M21-V20,IF(A21&lt;'Données projet'!$A$36,$K$205^A21,IF(A21='Données projet'!$A$36,'Données projet'!$B$36,N20+M21-V20)))</f>
        <v>31.21719032497041</v>
      </c>
      <c r="O21" s="14">
        <f>N21*VLOOKUP('Données projet'!$B$9,Paramètres!$A$1:$I$88,3,0)*VLOOKUP('Données projet'!$B$9,Paramètres!$A$1:$I$88,5,0)</f>
        <v>17.450409391658461</v>
      </c>
      <c r="P21" s="14">
        <f t="shared" si="33"/>
        <v>5.765161938702021</v>
      </c>
      <c r="Q21" s="22">
        <f t="shared" si="2"/>
        <v>40.433786733711173</v>
      </c>
      <c r="R21" s="62">
        <f t="shared" si="0"/>
        <v>333.76712006704452</v>
      </c>
      <c r="S21" s="62">
        <f ca="1">AVERAGE(OFFSET($R$3,0,0,'Données projet'!$E$9+1,1))-AVERAGE(OFFSET($H$3,0,0,'Données projet'!$E$9+1,1))</f>
        <v>222.18341301864729</v>
      </c>
      <c r="T21" s="62">
        <f t="shared" si="34"/>
        <v>172.63628480089358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5.75</v>
      </c>
      <c r="AI21" s="14">
        <f>IF('Données projet'!$A$62&gt;35,AI20+AH21-AQ20,IF(A21&lt;'Données projet'!$A$62,$AF$205^A21,IF(A21='Données projet'!$A$62,'Données projet'!$B$62,AI20+AH21-AQ20)))</f>
        <v>71.55303446582019</v>
      </c>
      <c r="AJ21" s="14">
        <f>AI21*VLOOKUP('Données projet'!$B$10,Paramètres!$A$1:$I$88,3,0)*VLOOKUP('Données projet'!$B$10,Paramètres!$A$1:$I$88,5,0)</f>
        <v>33.486820130003849</v>
      </c>
      <c r="AK21" s="14">
        <f t="shared" si="35"/>
        <v>10.254881616957807</v>
      </c>
      <c r="AL21" s="22">
        <f t="shared" si="4"/>
        <v>76.183463875958196</v>
      </c>
      <c r="AM21" s="62">
        <f t="shared" si="5"/>
        <v>369.5167972092915</v>
      </c>
      <c r="AN21" s="62">
        <f ca="1">AVERAGE(OFFSET($AM$3,0,0,'Données projet'!$E$10+1,1))-AVERAGE(OFFSET($H$3,0,0,'Données projet'!$E$10+1,1))</f>
        <v>82.840015321739202</v>
      </c>
      <c r="AO21" s="62">
        <f t="shared" si="36"/>
        <v>101.40622074610098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6.3000000000000007</v>
      </c>
      <c r="BD21" s="13">
        <f>IF('Données projet'!$A$88&gt;35,BD20+BC21-BL20,IF(A21&lt;'Données projet'!$A$88,$BA$205^A21,IF(A21='Données projet'!$A$88,'Données projet'!$B$88,BD20+BC21-BL20)))</f>
        <v>48.5</v>
      </c>
      <c r="BE21" s="14">
        <f>BD21*VLOOKUP('Données projet'!$B$11,Paramètres!$A$1:$I$88,3,0)*VLOOKUP('Données projet'!$B$11,Paramètres!$A$1:$I$88,5,0)</f>
        <v>29.003000000000004</v>
      </c>
      <c r="BF21" s="14">
        <f t="shared" si="37"/>
        <v>9.0316402689048942</v>
      </c>
      <c r="BG21" s="22">
        <f t="shared" si="7"/>
        <v>66.243665135009351</v>
      </c>
      <c r="BH21" s="62">
        <f t="shared" si="8"/>
        <v>359.57699846834265</v>
      </c>
      <c r="BI21" s="62">
        <f ca="1">AVERAGE(OFFSET($BH$3,0,0,'Données projet'!$E$11+1,1))-AVERAGE(OFFSET($H$3,0,0,'Données projet'!$E$11+1,1))</f>
        <v>83.354474428753292</v>
      </c>
      <c r="BJ21" s="62">
        <f t="shared" si="38"/>
        <v>97.75861379589162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0.42203206764167567</v>
      </c>
      <c r="BQ21" s="23">
        <f>EXP(-LN(2)/25)*BQ20+(1-EXP(-LN(2)/25))/(LN(2)/25)*Calculateur!BL21*Calculateur!BN21*VLOOKUP('Données projet'!$B$11,Paramètres!$A$1:$I$88,3,0)*0.475*44/12</f>
        <v>0.68960461219036218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1.1116366798320378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projet'!$B$12,Paramètres!$A$1:$I$88,3,0)*0.475*44/12</f>
        <v>#N/A</v>
      </c>
      <c r="CL21" s="23" t="e">
        <f>EXP(-LN(2)/25)*CL20+(1-EXP(-LN(2)/25))/(LN(2)/25)*Calculateur!CG21*Calculateur!CI21*VLOOKUP('Données projet'!$B$12,Paramètres!$A$1:$I$88,3,0)*0.475*44/12</f>
        <v>#N/A</v>
      </c>
      <c r="CM21" s="23" t="e">
        <f>EXP(-LN(2)/2)*CM20+(1-EXP(-LN(2)/2))/(LN(2)/2)*CG21*CJ21*VLOOKUP('Données projet'!$B$12,Paramètres!$A$1:$I$88,3,0)*0.475*44/12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13.9308</v>
      </c>
      <c r="D22" s="12">
        <f t="shared" si="32"/>
        <v>4.7246463812124082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144.00695452163964</v>
      </c>
      <c r="H22" s="70">
        <f t="shared" si="1"/>
        <v>325.82490244727825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4.76</v>
      </c>
      <c r="N22" s="14">
        <f>IF('Données projet'!$A$36&gt;35,N21+M22-V21,IF(A22&lt;'Données projet'!$A$36,$K$205^A22,IF(A22='Données projet'!$A$36,'Données projet'!$B$36,N21+M22-V21)))</f>
        <v>37.793376211281803</v>
      </c>
      <c r="O22" s="14">
        <f>N22*VLOOKUP('Données projet'!$B$9,Paramètres!$A$1:$I$88,3,0)*VLOOKUP('Données projet'!$B$9,Paramètres!$A$1:$I$88,5,0)</f>
        <v>21.126497302106532</v>
      </c>
      <c r="P22" s="14">
        <f t="shared" si="33"/>
        <v>6.826052789463227</v>
      </c>
      <c r="Q22" s="22">
        <f t="shared" si="2"/>
        <v>48.684024742817336</v>
      </c>
      <c r="R22" s="62">
        <f t="shared" si="0"/>
        <v>342.01735807615063</v>
      </c>
      <c r="S22" s="62">
        <f ca="1">AVERAGE(OFFSET($R$3,0,0,'Données projet'!$E$9+1,1))-AVERAGE(OFFSET($H$3,0,0,'Données projet'!$E$9+1,1))</f>
        <v>222.18341301864729</v>
      </c>
      <c r="T22" s="62">
        <f t="shared" si="34"/>
        <v>172.63628480089358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5.75</v>
      </c>
      <c r="AI22" s="14">
        <f>IF('Données projet'!$A$62&gt;35,AI21+AH22-AQ21,IF(A22&lt;'Données projet'!$A$62,$AF$205^A22,IF(A22='Données projet'!$A$62,'Données projet'!$B$62,AI21+AH22-AQ21)))</f>
        <v>90.711625294497551</v>
      </c>
      <c r="AJ22" s="14">
        <f>AI22*VLOOKUP('Données projet'!$B$10,Paramètres!$A$1:$I$88,3,0)*VLOOKUP('Données projet'!$B$10,Paramètres!$A$1:$I$88,5,0)</f>
        <v>42.453040637824856</v>
      </c>
      <c r="AK22" s="14">
        <f t="shared" si="35"/>
        <v>12.646556301156998</v>
      </c>
      <c r="AL22" s="22">
        <f t="shared" si="4"/>
        <v>95.96513133539338</v>
      </c>
      <c r="AM22" s="62">
        <f t="shared" si="5"/>
        <v>389.29846466872669</v>
      </c>
      <c r="AN22" s="62">
        <f ca="1">AVERAGE(OFFSET($AM$3,0,0,'Données projet'!$E$10+1,1))-AVERAGE(OFFSET($H$3,0,0,'Données projet'!$E$10+1,1))</f>
        <v>82.840015321739202</v>
      </c>
      <c r="AO22" s="62">
        <f t="shared" si="36"/>
        <v>101.40622074610098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6.3000000000000007</v>
      </c>
      <c r="BD22" s="13">
        <f>IF('Données projet'!$A$88&gt;35,BD21+BC22-BL21,IF(A22&lt;'Données projet'!$A$88,$BA$205^A22,IF(A22='Données projet'!$A$88,'Données projet'!$B$88,BD21+BC22-BL21)))</f>
        <v>54.8</v>
      </c>
      <c r="BE22" s="14">
        <f>BD22*VLOOKUP('Données projet'!$B$11,Paramètres!$A$1:$I$88,3,0)*VLOOKUP('Données projet'!$B$11,Paramètres!$A$1:$I$88,5,0)</f>
        <v>32.770400000000002</v>
      </c>
      <c r="BF22" s="14">
        <f t="shared" si="37"/>
        <v>10.060781857247429</v>
      </c>
      <c r="BG22" s="22">
        <f t="shared" si="7"/>
        <v>74.597641734705931</v>
      </c>
      <c r="BH22" s="62">
        <f t="shared" si="8"/>
        <v>367.93097506803923</v>
      </c>
      <c r="BI22" s="62">
        <f ca="1">AVERAGE(OFFSET($BH$3,0,0,'Données projet'!$E$11+1,1))-AVERAGE(OFFSET($H$3,0,0,'Données projet'!$E$11+1,1))</f>
        <v>83.354474428753292</v>
      </c>
      <c r="BJ22" s="62">
        <f t="shared" si="38"/>
        <v>97.75861379589162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0.41375627620936611</v>
      </c>
      <c r="BQ22" s="23">
        <f>EXP(-LN(2)/25)*BQ21+(1-EXP(-LN(2)/25))/(LN(2)/25)*Calculateur!BL22*Calculateur!BN22*VLOOKUP('Données projet'!$B$11,Paramètres!$A$1:$I$88,3,0)*0.475*44/12</f>
        <v>0.67074733780528628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1.0845036140146525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projet'!$B$12,Paramètres!$A$1:$I$88,3,0)*0.475*44/12</f>
        <v>#N/A</v>
      </c>
      <c r="CL22" s="23" t="e">
        <f>EXP(-LN(2)/25)*CL21+(1-EXP(-LN(2)/25))/(LN(2)/25)*Calculateur!CG22*Calculateur!CI22*VLOOKUP('Données projet'!$B$12,Paramètres!$A$1:$I$88,3,0)*0.475*44/12</f>
        <v>#N/A</v>
      </c>
      <c r="CM22" s="23" t="e">
        <f>EXP(-LN(2)/2)*CM21+(1-EXP(-LN(2)/2))/(LN(2)/2)*CG22*CJ22*VLOOKUP('Données projet'!$B$12,Paramètres!$A$1:$I$88,3,0)*0.475*44/12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14.664</v>
      </c>
      <c r="D23" s="12">
        <f t="shared" si="32"/>
        <v>4.9437070912888705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151.35773895030005</v>
      </c>
      <c r="H23" s="70">
        <f t="shared" si="1"/>
        <v>327.48342318399477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4.76</v>
      </c>
      <c r="N23" s="14">
        <f>IF('Données projet'!$A$36&gt;35,N22+M23-V22,IF(A23&lt;'Données projet'!$A$36,$K$205^A23,IF(A23='Données projet'!$A$36,'Données projet'!$B$36,N22+M23-V22)))</f>
        <v>45.754895638540624</v>
      </c>
      <c r="O23" s="14">
        <f>N23*VLOOKUP('Données projet'!$B$9,Paramètres!$A$1:$I$88,3,0)*VLOOKUP('Données projet'!$B$9,Paramètres!$A$1:$I$88,5,0)</f>
        <v>25.576986661944211</v>
      </c>
      <c r="P23" s="14">
        <f t="shared" si="33"/>
        <v>8.0821661524791715</v>
      </c>
      <c r="Q23" s="22">
        <f t="shared" si="2"/>
        <v>58.623024485120716</v>
      </c>
      <c r="R23" s="62">
        <f t="shared" si="0"/>
        <v>351.95635781845402</v>
      </c>
      <c r="S23" s="62">
        <f ca="1">AVERAGE(OFFSET($R$3,0,0,'Données projet'!$E$9+1,1))-AVERAGE(OFFSET($H$3,0,0,'Données projet'!$E$9+1,1))</f>
        <v>222.18341301864729</v>
      </c>
      <c r="T23" s="62">
        <f t="shared" si="34"/>
        <v>172.63628480089358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115</v>
      </c>
      <c r="AG23" s="13">
        <f>VLOOKUP(A23,'Données projet'!$A$61:$I$81,9,0)</f>
        <v>5.75</v>
      </c>
      <c r="AH23" s="13">
        <f t="array" ref="AH23">INDEX(AG:AG,MIN(IF(ISNUMBER(AG23:AG219),ROW(AG23:AG219),"")))</f>
        <v>5.75</v>
      </c>
      <c r="AI23" s="14">
        <f>IF('Données projet'!$A$62&gt;35,AI22+AH23-AQ22,IF(A23&lt;'Données projet'!$A$62,$AF$205^A23,IF(A23='Données projet'!$A$62,'Données projet'!$B$62,AI22+AH23-AQ22)))</f>
        <v>115</v>
      </c>
      <c r="AJ23" s="14">
        <f>AI23*VLOOKUP('Données projet'!$B$10,Paramètres!$A$1:$I$88,3,0)*VLOOKUP('Données projet'!$B$10,Paramètres!$A$1:$I$88,5,0)</f>
        <v>53.82</v>
      </c>
      <c r="AK23" s="14">
        <f t="shared" si="35"/>
        <v>15.596024630246266</v>
      </c>
      <c r="AL23" s="22">
        <f t="shared" si="4"/>
        <v>120.89957623101225</v>
      </c>
      <c r="AM23" s="62">
        <f t="shared" si="5"/>
        <v>414.23290956434556</v>
      </c>
      <c r="AN23" s="62">
        <f ca="1">AVERAGE(OFFSET($AM$3,0,0,'Données projet'!$E$10+1,1))-AVERAGE(OFFSET($H$3,0,0,'Données projet'!$E$10+1,1))</f>
        <v>82.840015321739202</v>
      </c>
      <c r="AO23" s="62">
        <f t="shared" si="36"/>
        <v>101.40622074610098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34.5</v>
      </c>
      <c r="AR23" s="17">
        <f>IF(ISNA(VLOOKUP(A23,'Données projet'!$A$61:$I$81,5,0)),0%,VLOOKUP(A23,'Données projet'!$A$61:$I$81,5,0)*VLOOKUP('Données projet'!$B$10,Paramètres!$A$1:$I$88,7,0))</f>
        <v>5.5000000000000007E-2</v>
      </c>
      <c r="AS23" s="17">
        <f>IF(ISNA(VLOOKUP(A23,'Données projet'!$A$61:$I$81,6,0)),0%,VLOOKUP(A23,'Données projet'!$A$61:$I$81,6,0)*VLOOKUP('Données projet'!$B$10,Paramètres!$A$1:$I$88,7,0))</f>
        <v>0.44000000000000006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1.1780290333639751</v>
      </c>
      <c r="AV23" s="23">
        <f>EXP(-LN(2)/25)*AV22+(1-EXP(-LN(2)/25))/(LN(2)/25)*Calculateur!AQ23*Calculateur!AS23*VLOOKUP('Données projet'!$B$10,Paramètres!$A$1:$I$88,3,0)*0.475*44/12</f>
        <v>9.3871254735629517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10.565154506926927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61.1</v>
      </c>
      <c r="BB23" s="13">
        <f>VLOOKUP(A23,'Données projet'!$A$87:$I$107,9,0)</f>
        <v>6.3000000000000007</v>
      </c>
      <c r="BC23" s="13">
        <f t="array" ref="BC23">INDEX(BB:BB,MIN(IF(ISNUMBER(BB23:BB219),ROW(BB23:BB219),"")))</f>
        <v>6.3000000000000007</v>
      </c>
      <c r="BD23" s="13">
        <f>IF('Données projet'!$A$88&gt;35,BD22+BC23-BL22,IF(A23&lt;'Données projet'!$A$88,$BA$205^A23,IF(A23='Données projet'!$A$88,'Données projet'!$B$88,BD22+BC23-BL22)))</f>
        <v>61.099999999999994</v>
      </c>
      <c r="BE23" s="14">
        <f>BD23*VLOOKUP('Données projet'!$B$11,Paramètres!$A$1:$I$88,3,0)*VLOOKUP('Données projet'!$B$11,Paramètres!$A$1:$I$88,5,0)</f>
        <v>36.537799999999997</v>
      </c>
      <c r="BF23" s="14">
        <f t="shared" si="37"/>
        <v>11.076211612633603</v>
      </c>
      <c r="BG23" s="22">
        <f t="shared" si="7"/>
        <v>82.927736892003523</v>
      </c>
      <c r="BH23" s="62">
        <f t="shared" si="8"/>
        <v>376.26107022533682</v>
      </c>
      <c r="BI23" s="62">
        <f ca="1">AVERAGE(OFFSET($BH$3,0,0,'Données projet'!$E$11+1,1))-AVERAGE(OFFSET($H$3,0,0,'Données projet'!$E$11+1,1))</f>
        <v>83.354474428753292</v>
      </c>
      <c r="BJ23" s="62">
        <f t="shared" si="38"/>
        <v>97.75861379589162</v>
      </c>
      <c r="BK23" s="16">
        <f>IF(ISNA(VLOOKUP(A23,'Données projet'!$A$87:$I$107,3,0)),0,VLOOKUP(A23,'Données projet'!$A$87:$I$107,3,0))</f>
        <v>3</v>
      </c>
      <c r="BL23" s="16">
        <f>IF(ISNA(VLOOKUP(A23,'Données projet'!$A$87:$I$107,4,0)),0,VLOOKUP(A23,'Données projet'!$A$87:$I$107,4,0))</f>
        <v>4.7</v>
      </c>
      <c r="BM23" s="17">
        <f>IF(ISNA(VLOOKUP(A23,'Données projet'!$A$87:$I$107,5,0)),0%,VLOOKUP(A23,'Données projet'!$A$87:$I$107,5,0)*VLOOKUP('Données projet'!$B$11,Paramètres!$A$1:$I$88,7,0))</f>
        <v>0.13500000000000001</v>
      </c>
      <c r="BN23" s="17">
        <f>IF(ISNA(VLOOKUP(A23,'Données projet'!$A$87:$I$107,6,0)),0%,VLOOKUP(A23,'Données projet'!$A$87:$I$107,6,0)*VLOOKUP('Données projet'!$B$11,Paramètres!$A$1:$I$88,7,0))</f>
        <v>0.22500000000000001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0.90898244589119015</v>
      </c>
      <c r="BQ23" s="23">
        <f>EXP(-LN(2)/25)*BQ22+(1-EXP(-LN(2)/25))/(LN(2)/25)*Calculateur!BL23*Calculateur!BN23*VLOOKUP('Données projet'!$B$11,Paramètres!$A$1:$I$88,3,0)*0.475*44/12</f>
        <v>1.4880021129008756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2.3969845587920657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projet'!$B$12,Paramètres!$A$1:$I$88,3,0)*0.475*44/12</f>
        <v>#N/A</v>
      </c>
      <c r="CL23" s="23" t="e">
        <f>EXP(-LN(2)/25)*CL22+(1-EXP(-LN(2)/25))/(LN(2)/25)*Calculateur!CG23*Calculateur!CI23*VLOOKUP('Données projet'!$B$12,Paramètres!$A$1:$I$88,3,0)*0.475*44/12</f>
        <v>#N/A</v>
      </c>
      <c r="CM23" s="23" t="e">
        <f>EXP(-LN(2)/2)*CM22+(1-EXP(-LN(2)/2))/(LN(2)/2)*CG23*CJ23*VLOOKUP('Données projet'!$B$12,Paramètres!$A$1:$I$88,3,0)*0.475*44/12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15.3972</v>
      </c>
      <c r="D24" s="12">
        <f t="shared" si="32"/>
        <v>5.1614960114392687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158.6987060532154</v>
      </c>
      <c r="H24" s="70">
        <f t="shared" si="1"/>
        <v>329.13972888659004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4.76</v>
      </c>
      <c r="N24" s="14">
        <f>IF('Données projet'!$A$36&gt;35,N23+M24-V23,IF(A24&lt;'Données projet'!$A$36,$K$205^A24,IF(A24='Données projet'!$A$36,'Données projet'!$B$36,N23+M24-V23)))</f>
        <v>55.393581753323346</v>
      </c>
      <c r="O24" s="14">
        <f>N24*VLOOKUP('Données projet'!$B$9,Paramètres!$A$1:$I$88,3,0)*VLOOKUP('Données projet'!$B$9,Paramètres!$A$1:$I$88,5,0)</f>
        <v>30.965012200107751</v>
      </c>
      <c r="P24" s="14">
        <f t="shared" si="33"/>
        <v>9.5694263919421942</v>
      </c>
      <c r="Q24" s="22">
        <f t="shared" si="2"/>
        <v>70.597480547820311</v>
      </c>
      <c r="R24" s="62">
        <f t="shared" si="0"/>
        <v>363.93081388115365</v>
      </c>
      <c r="S24" s="62">
        <f ca="1">AVERAGE(OFFSET($R$3,0,0,'Données projet'!$E$9+1,1))-AVERAGE(OFFSET($H$3,0,0,'Données projet'!$E$9+1,1))</f>
        <v>222.18341301864729</v>
      </c>
      <c r="T24" s="62">
        <f t="shared" si="34"/>
        <v>172.63628480089358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6.5</v>
      </c>
      <c r="AI24" s="14">
        <f>IF('Données projet'!$A$62&gt;35,AI23+AH24-AQ23,IF(A24&lt;'Données projet'!$A$62,$AF$205^A24,IF(A24='Données projet'!$A$62,'Données projet'!$B$62,AI23+AH24-AQ23)))</f>
        <v>87</v>
      </c>
      <c r="AJ24" s="14">
        <f>AI24*VLOOKUP('Données projet'!$B$10,Paramètres!$A$1:$I$88,3,0)*VLOOKUP('Données projet'!$B$10,Paramètres!$A$1:$I$88,5,0)</f>
        <v>40.716000000000001</v>
      </c>
      <c r="AK24" s="14">
        <f t="shared" si="35"/>
        <v>12.188226385475176</v>
      </c>
      <c r="AL24" s="22">
        <f t="shared" si="4"/>
        <v>92.141527621369264</v>
      </c>
      <c r="AM24" s="62">
        <f t="shared" si="5"/>
        <v>385.47486095470259</v>
      </c>
      <c r="AN24" s="62">
        <f ca="1">AVERAGE(OFFSET($AM$3,0,0,'Données projet'!$E$10+1,1))-AVERAGE(OFFSET($H$3,0,0,'Données projet'!$E$10+1,1))</f>
        <v>82.840015321739202</v>
      </c>
      <c r="AO24" s="62">
        <f t="shared" si="36"/>
        <v>101.40622074610098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1.1549286025464693</v>
      </c>
      <c r="AV24" s="23">
        <f>EXP(-LN(2)/25)*AV23+(1-EXP(-LN(2)/25))/(LN(2)/25)*Calculateur!AQ24*Calculateur!AS24*VLOOKUP('Données projet'!$B$10,Paramètres!$A$1:$I$88,3,0)*0.475*44/12</f>
        <v>9.1304340338408991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10.285362636387369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8.2000000000000011</v>
      </c>
      <c r="BD24" s="13">
        <f>IF('Données projet'!$A$88&gt;35,BD23+BC24-BL23,IF(A24&lt;'Données projet'!$A$88,$BA$205^A24,IF(A24='Données projet'!$A$88,'Données projet'!$B$88,BD23+BC24-BL23)))</f>
        <v>64.599999999999994</v>
      </c>
      <c r="BE24" s="14">
        <f>BD24*VLOOKUP('Données projet'!$B$11,Paramètres!$A$1:$I$88,3,0)*VLOOKUP('Données projet'!$B$11,Paramètres!$A$1:$I$88,5,0)</f>
        <v>38.630800000000001</v>
      </c>
      <c r="BF24" s="14">
        <f t="shared" si="37"/>
        <v>11.635007938571066</v>
      </c>
      <c r="BG24" s="22">
        <f t="shared" si="7"/>
        <v>87.546282159677943</v>
      </c>
      <c r="BH24" s="62">
        <f t="shared" si="8"/>
        <v>380.87961549301127</v>
      </c>
      <c r="BI24" s="62">
        <f ca="1">AVERAGE(OFFSET($BH$3,0,0,'Données projet'!$E$11+1,1))-AVERAGE(OFFSET($H$3,0,0,'Données projet'!$E$11+1,1))</f>
        <v>83.354474428753292</v>
      </c>
      <c r="BJ24" s="62">
        <f t="shared" si="38"/>
        <v>97.75861379589162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0.89115785455181107</v>
      </c>
      <c r="BQ24" s="23">
        <f>EXP(-LN(2)/25)*BQ23+(1-EXP(-LN(2)/25))/(LN(2)/25)*Calculateur!BL24*Calculateur!BN24*VLOOKUP('Données projet'!$B$11,Paramètres!$A$1:$I$88,3,0)*0.475*44/12</f>
        <v>1.4473126168729709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2.3384704714247819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projet'!$B$12,Paramètres!$A$1:$I$88,3,0)*0.475*44/12</f>
        <v>#N/A</v>
      </c>
      <c r="CL24" s="23" t="e">
        <f>EXP(-LN(2)/25)*CL23+(1-EXP(-LN(2)/25))/(LN(2)/25)*Calculateur!CG24*Calculateur!CI24*VLOOKUP('Données projet'!$B$12,Paramètres!$A$1:$I$88,3,0)*0.475*44/12</f>
        <v>#N/A</v>
      </c>
      <c r="CM24" s="23" t="e">
        <f>EXP(-LN(2)/2)*CM23+(1-EXP(-LN(2)/2))/(LN(2)/2)*CG24*CJ24*VLOOKUP('Données projet'!$B$12,Paramètres!$A$1:$I$88,3,0)*0.475*44/12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16.130399999999998</v>
      </c>
      <c r="D25" s="12">
        <f t="shared" si="32"/>
        <v>5.3780806175732732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166.03037669705682</v>
      </c>
      <c r="H25" s="70">
        <f t="shared" si="1"/>
        <v>330.79393707560678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4.76</v>
      </c>
      <c r="N25" s="14">
        <f>IF('Données projet'!$A$36&gt;35,N24+M25-V24,IF(A25&lt;'Données projet'!$A$36,$K$205^A25,IF(A25='Données projet'!$A$36,'Données projet'!$B$36,N24+M25-V24)))</f>
        <v>67.06274501645845</v>
      </c>
      <c r="O25" s="14">
        <f>N25*VLOOKUP('Données projet'!$B$9,Paramètres!$A$1:$I$88,3,0)*VLOOKUP('Données projet'!$B$9,Paramètres!$A$1:$I$88,5,0)</f>
        <v>37.488074464200274</v>
      </c>
      <c r="P25" s="14">
        <f t="shared" si="33"/>
        <v>11.330368584752474</v>
      </c>
      <c r="Q25" s="22">
        <f t="shared" si="2"/>
        <v>85.025454976926028</v>
      </c>
      <c r="R25" s="62">
        <f t="shared" si="0"/>
        <v>378.35878831025934</v>
      </c>
      <c r="S25" s="62">
        <f ca="1">AVERAGE(OFFSET($R$3,0,0,'Données projet'!$E$9+1,1))-AVERAGE(OFFSET($H$3,0,0,'Données projet'!$E$9+1,1))</f>
        <v>222.18341301864729</v>
      </c>
      <c r="T25" s="62">
        <f t="shared" si="34"/>
        <v>172.63628480089358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6.5</v>
      </c>
      <c r="AI25" s="14">
        <f>IF('Données projet'!$A$62&gt;35,AI24+AH25-AQ24,IF(A25&lt;'Données projet'!$A$62,$AF$205^A25,IF(A25='Données projet'!$A$62,'Données projet'!$B$62,AI24+AH25-AQ24)))</f>
        <v>93.5</v>
      </c>
      <c r="AJ25" s="14">
        <f>AI25*VLOOKUP('Données projet'!$B$10,Paramètres!$A$1:$I$88,3,0)*VLOOKUP('Données projet'!$B$10,Paramètres!$A$1:$I$88,5,0)</f>
        <v>43.757999999999996</v>
      </c>
      <c r="AK25" s="14">
        <f t="shared" si="35"/>
        <v>12.989440353385513</v>
      </c>
      <c r="AL25" s="22">
        <f t="shared" si="4"/>
        <v>98.835125282146407</v>
      </c>
      <c r="AM25" s="62">
        <f t="shared" si="5"/>
        <v>392.16845861547972</v>
      </c>
      <c r="AN25" s="62">
        <f ca="1">AVERAGE(OFFSET($AM$3,0,0,'Données projet'!$E$10+1,1))-AVERAGE(OFFSET($H$3,0,0,'Données projet'!$E$10+1,1))</f>
        <v>82.840015321739202</v>
      </c>
      <c r="AO25" s="62">
        <f t="shared" si="36"/>
        <v>101.40622074610098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1.1322811570874232</v>
      </c>
      <c r="AV25" s="23">
        <f>EXP(-LN(2)/25)*AV24+(1-EXP(-LN(2)/25))/(LN(2)/25)*Calculateur!AQ25*Calculateur!AS25*VLOOKUP('Données projet'!$B$10,Paramètres!$A$1:$I$88,3,0)*0.475*44/12</f>
        <v>8.8807618350368625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10.013042992124285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8.2000000000000011</v>
      </c>
      <c r="BD25" s="13">
        <f>IF('Données projet'!$A$88&gt;35,BD24+BC25-BL24,IF(A25&lt;'Données projet'!$A$88,$BA$205^A25,IF(A25='Données projet'!$A$88,'Données projet'!$B$88,BD24+BC25-BL24)))</f>
        <v>72.8</v>
      </c>
      <c r="BE25" s="14">
        <f>BD25*VLOOKUP('Données projet'!$B$11,Paramètres!$A$1:$I$88,3,0)*VLOOKUP('Données projet'!$B$11,Paramètres!$A$1:$I$88,5,0)</f>
        <v>43.534399999999998</v>
      </c>
      <c r="BF25" s="14">
        <f t="shared" si="37"/>
        <v>12.930773895495701</v>
      </c>
      <c r="BG25" s="22">
        <f t="shared" si="7"/>
        <v>98.343511201321675</v>
      </c>
      <c r="BH25" s="62">
        <f t="shared" si="8"/>
        <v>391.676844534655</v>
      </c>
      <c r="BI25" s="62">
        <f ca="1">AVERAGE(OFFSET($BH$3,0,0,'Données projet'!$E$11+1,1))-AVERAGE(OFFSET($H$3,0,0,'Données projet'!$E$11+1,1))</f>
        <v>83.354474428753292</v>
      </c>
      <c r="BJ25" s="62">
        <f t="shared" si="38"/>
        <v>97.75861379589162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0.87368279257666992</v>
      </c>
      <c r="BQ25" s="23">
        <f>EXP(-LN(2)/25)*BQ24+(1-EXP(-LN(2)/25))/(LN(2)/25)*Calculateur!BL25*Calculateur!BN25*VLOOKUP('Données projet'!$B$11,Paramètres!$A$1:$I$88,3,0)*0.475*44/12</f>
        <v>1.4077357772537169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2.2814185698303868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projet'!$B$12,Paramètres!$A$1:$I$88,3,0)*0.475*44/12</f>
        <v>#N/A</v>
      </c>
      <c r="CL25" s="23" t="e">
        <f>EXP(-LN(2)/25)*CL24+(1-EXP(-LN(2)/25))/(LN(2)/25)*Calculateur!CG25*Calculateur!CI25*VLOOKUP('Données projet'!$B$12,Paramètres!$A$1:$I$88,3,0)*0.475*44/12</f>
        <v>#N/A</v>
      </c>
      <c r="CM25" s="23" t="e">
        <f>EXP(-LN(2)/2)*CM24+(1-EXP(-LN(2)/2))/(LN(2)/2)*CG25*CJ25*VLOOKUP('Données projet'!$B$12,Paramètres!$A$1:$I$88,3,0)*0.475*44/12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16.863599999999998</v>
      </c>
      <c r="D26" s="12">
        <f t="shared" si="32"/>
        <v>5.5935219046849918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173.35322172037536</v>
      </c>
      <c r="H26" s="70">
        <f t="shared" si="1"/>
        <v>332.44615398399299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4.76</v>
      </c>
      <c r="N26" s="14">
        <f>IF('Données projet'!$A$36&gt;35,N25+M26-V25,IF(A26&lt;'Données projet'!$A$36,$K$205^A26,IF(A26='Données projet'!$A$36,'Données projet'!$B$36,N25+M26-V25)))</f>
        <v>81.190123960032594</v>
      </c>
      <c r="O26" s="14">
        <f>N26*VLOOKUP('Données projet'!$B$9,Paramètres!$A$1:$I$88,3,0)*VLOOKUP('Données projet'!$B$9,Paramètres!$A$1:$I$88,5,0)</f>
        <v>45.385279293658222</v>
      </c>
      <c r="P26" s="14">
        <f t="shared" si="33"/>
        <v>13.41535500753149</v>
      </c>
      <c r="Q26" s="22">
        <f t="shared" si="2"/>
        <v>102.41110474123873</v>
      </c>
      <c r="R26" s="62">
        <f t="shared" si="0"/>
        <v>395.74443807457203</v>
      </c>
      <c r="S26" s="62">
        <f ca="1">AVERAGE(OFFSET($R$3,0,0,'Données projet'!$E$9+1,1))-AVERAGE(OFFSET($H$3,0,0,'Données projet'!$E$9+1,1))</f>
        <v>222.18341301864729</v>
      </c>
      <c r="T26" s="62">
        <f t="shared" si="34"/>
        <v>172.63628480089358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6.5</v>
      </c>
      <c r="AI26" s="14">
        <f>IF('Données projet'!$A$62&gt;35,AI25+AH26-AQ25,IF(A26&lt;'Données projet'!$A$62,$AF$205^A26,IF(A26='Données projet'!$A$62,'Données projet'!$B$62,AI25+AH26-AQ25)))</f>
        <v>100</v>
      </c>
      <c r="AJ26" s="14">
        <f>AI26*VLOOKUP('Données projet'!$B$10,Paramètres!$A$1:$I$88,3,0)*VLOOKUP('Données projet'!$B$10,Paramètres!$A$1:$I$88,5,0)</f>
        <v>46.800000000000004</v>
      </c>
      <c r="AK26" s="14">
        <f t="shared" si="35"/>
        <v>13.784191583461139</v>
      </c>
      <c r="AL26" s="22">
        <f t="shared" si="4"/>
        <v>105.51746700786147</v>
      </c>
      <c r="AM26" s="62">
        <f t="shared" si="5"/>
        <v>398.85080034119477</v>
      </c>
      <c r="AN26" s="62">
        <f ca="1">AVERAGE(OFFSET($AM$3,0,0,'Données projet'!$E$10+1,1))-AVERAGE(OFFSET($H$3,0,0,'Données projet'!$E$10+1,1))</f>
        <v>82.840015321739202</v>
      </c>
      <c r="AO26" s="62">
        <f t="shared" si="36"/>
        <v>101.40622074610098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1.1100778142202512</v>
      </c>
      <c r="AV26" s="23">
        <f>EXP(-LN(2)/25)*AV25+(1-EXP(-LN(2)/25))/(LN(2)/25)*Calculateur!AQ26*Calculateur!AS26*VLOOKUP('Données projet'!$B$10,Paramètres!$A$1:$I$88,3,0)*0.475*44/12</f>
        <v>8.6379169356388115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9.7479947498590622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8.2000000000000011</v>
      </c>
      <c r="BD26" s="13">
        <f>IF('Données projet'!$A$88&gt;35,BD25+BC26-BL25,IF(A26&lt;'Données projet'!$A$88,$BA$205^A26,IF(A26='Données projet'!$A$88,'Données projet'!$B$88,BD25+BC26-BL25)))</f>
        <v>81</v>
      </c>
      <c r="BE26" s="14">
        <f>BD26*VLOOKUP('Données projet'!$B$11,Paramètres!$A$1:$I$88,3,0)*VLOOKUP('Données projet'!$B$11,Paramètres!$A$1:$I$88,5,0)</f>
        <v>48.438000000000009</v>
      </c>
      <c r="BF26" s="14">
        <f t="shared" si="37"/>
        <v>14.209624244846971</v>
      </c>
      <c r="BG26" s="22">
        <f t="shared" si="7"/>
        <v>109.11127889310849</v>
      </c>
      <c r="BH26" s="62">
        <f t="shared" si="8"/>
        <v>402.44461222644179</v>
      </c>
      <c r="BI26" s="62">
        <f ca="1">AVERAGE(OFFSET($BH$3,0,0,'Données projet'!$E$11+1,1))-AVERAGE(OFFSET($H$3,0,0,'Données projet'!$E$11+1,1))</f>
        <v>83.354474428753292</v>
      </c>
      <c r="BJ26" s="62">
        <f t="shared" si="38"/>
        <v>97.75861379589162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0.85655040590812603</v>
      </c>
      <c r="BQ26" s="23">
        <f>EXP(-LN(2)/25)*BQ25+(1-EXP(-LN(2)/25))/(LN(2)/25)*Calculateur!BL26*Calculateur!BN26*VLOOKUP('Données projet'!$B$11,Paramètres!$A$1:$I$88,3,0)*0.475*44/12</f>
        <v>1.3692411683951069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2.225791574303233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projet'!$B$12,Paramètres!$A$1:$I$88,3,0)*0.475*44/12</f>
        <v>#N/A</v>
      </c>
      <c r="CL26" s="23" t="e">
        <f>EXP(-LN(2)/25)*CL25+(1-EXP(-LN(2)/25))/(LN(2)/25)*Calculateur!CG26*Calculateur!CI26*VLOOKUP('Données projet'!$B$12,Paramètres!$A$1:$I$88,3,0)*0.475*44/12</f>
        <v>#N/A</v>
      </c>
      <c r="CM26" s="23" t="e">
        <f>EXP(-LN(2)/2)*CM25+(1-EXP(-LN(2)/2))/(LN(2)/2)*CG26*CJ26*VLOOKUP('Données projet'!$B$12,Paramètres!$A$1:$I$88,3,0)*0.475*44/12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17.596799999999998</v>
      </c>
      <c r="D27" s="12">
        <f t="shared" si="32"/>
        <v>5.8078752639195086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180.66766870394005</v>
      </c>
      <c r="H27" s="70">
        <f t="shared" si="1"/>
        <v>334.0964760846598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4.76</v>
      </c>
      <c r="N27" s="14">
        <f>IF('Données projet'!$A$36&gt;35,N26+M27-V26,IF(A27&lt;'Données projet'!$A$36,$K$205^A27,IF(A27='Données projet'!$A$36,'Données projet'!$B$36,N26+M27-V26)))</f>
        <v>98.293564139489064</v>
      </c>
      <c r="O27" s="14">
        <f>N27*VLOOKUP('Données projet'!$B$9,Paramètres!$A$1:$I$88,3,0)*VLOOKUP('Données projet'!$B$9,Paramètres!$A$1:$I$88,5,0)</f>
        <v>54.946102353974389</v>
      </c>
      <c r="P27" s="14">
        <f t="shared" si="33"/>
        <v>15.884015478569005</v>
      </c>
      <c r="Q27" s="22">
        <f t="shared" si="2"/>
        <v>123.36245522501308</v>
      </c>
      <c r="R27" s="62">
        <f t="shared" si="0"/>
        <v>416.69578855834641</v>
      </c>
      <c r="S27" s="62">
        <f ca="1">AVERAGE(OFFSET($R$3,0,0,'Données projet'!$E$9+1,1))-AVERAGE(OFFSET($H$3,0,0,'Données projet'!$E$9+1,1))</f>
        <v>222.18341301864729</v>
      </c>
      <c r="T27" s="62">
        <f t="shared" si="34"/>
        <v>172.63628480089358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6.5</v>
      </c>
      <c r="AI27" s="14">
        <f>IF('Données projet'!$A$62&gt;35,AI26+AH27-AQ26,IF(A27&lt;'Données projet'!$A$62,$AF$205^A27,IF(A27='Données projet'!$A$62,'Données projet'!$B$62,AI26+AH27-AQ26)))</f>
        <v>106.5</v>
      </c>
      <c r="AJ27" s="14">
        <f>AI27*VLOOKUP('Données projet'!$B$10,Paramètres!$A$1:$I$88,3,0)*VLOOKUP('Données projet'!$B$10,Paramètres!$A$1:$I$88,5,0)</f>
        <v>49.841999999999999</v>
      </c>
      <c r="AK27" s="14">
        <f t="shared" si="35"/>
        <v>14.572947961232229</v>
      </c>
      <c r="AL27" s="22">
        <f t="shared" si="4"/>
        <v>112.18936769914613</v>
      </c>
      <c r="AM27" s="62">
        <f t="shared" si="5"/>
        <v>405.52270103247946</v>
      </c>
      <c r="AN27" s="62">
        <f ca="1">AVERAGE(OFFSET($AM$3,0,0,'Données projet'!$E$10+1,1))-AVERAGE(OFFSET($H$3,0,0,'Données projet'!$E$10+1,1))</f>
        <v>82.840015321739202</v>
      </c>
      <c r="AO27" s="62">
        <f t="shared" si="36"/>
        <v>101.40622074610098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1.0883098653640026</v>
      </c>
      <c r="AV27" s="23">
        <f>EXP(-LN(2)/25)*AV26+(1-EXP(-LN(2)/25))/(LN(2)/25)*Calculateur!AQ27*Calculateur!AS27*VLOOKUP('Données projet'!$B$10,Paramètres!$A$1:$I$88,3,0)*0.475*44/12</f>
        <v>8.4017126427854585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9.4900225081494618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>
        <f>VLOOKUP(A27,'Données projet'!$A$87:$I$107,2,0)</f>
        <v>89.2</v>
      </c>
      <c r="BB27" s="13">
        <f>VLOOKUP(A27,'Données projet'!$A$87:$I$107,9,0)</f>
        <v>8.2000000000000011</v>
      </c>
      <c r="BC27" s="13">
        <f t="array" ref="BC27">INDEX(BB:BB,MIN(IF(ISNUMBER(BB27:BB223),ROW(BB27:BB223),"")))</f>
        <v>8.2000000000000011</v>
      </c>
      <c r="BD27" s="13">
        <f>IF('Données projet'!$A$88&gt;35,BD26+BC27-BL26,IF(A27&lt;'Données projet'!$A$88,$BA$205^A27,IF(A27='Données projet'!$A$88,'Données projet'!$B$88,BD26+BC27-BL26)))</f>
        <v>89.2</v>
      </c>
      <c r="BE27" s="14">
        <f>BD27*VLOOKUP('Données projet'!$B$11,Paramètres!$A$1:$I$88,3,0)*VLOOKUP('Données projet'!$B$11,Paramètres!$A$1:$I$88,5,0)</f>
        <v>53.341600000000007</v>
      </c>
      <c r="BF27" s="14">
        <f t="shared" si="37"/>
        <v>15.473466405843165</v>
      </c>
      <c r="BG27" s="22">
        <f t="shared" si="7"/>
        <v>119.85290732351018</v>
      </c>
      <c r="BH27" s="62">
        <f t="shared" si="8"/>
        <v>413.18624065684349</v>
      </c>
      <c r="BI27" s="62">
        <f ca="1">AVERAGE(OFFSET($BH$3,0,0,'Données projet'!$E$11+1,1))-AVERAGE(OFFSET($H$3,0,0,'Données projet'!$E$11+1,1))</f>
        <v>83.354474428753292</v>
      </c>
      <c r="BJ27" s="62">
        <f t="shared" si="38"/>
        <v>97.75861379589162</v>
      </c>
      <c r="BK27" s="16">
        <f>IF(ISNA(VLOOKUP(A27,'Données projet'!$A$87:$I$107,3,0)),0,VLOOKUP(A27,'Données projet'!$A$87:$I$107,3,0))</f>
        <v>4</v>
      </c>
      <c r="BL27" s="16">
        <f>IF(ISNA(VLOOKUP(A27,'Données projet'!$A$87:$I$107,4,0)),0,VLOOKUP(A27,'Données projet'!$A$87:$I$107,4,0))</f>
        <v>12.5</v>
      </c>
      <c r="BM27" s="17">
        <f>IF(ISNA(VLOOKUP(A27,'Données projet'!$A$87:$I$107,5,0)),0%,VLOOKUP(A27,'Données projet'!$A$87:$I$107,5,0)*VLOOKUP('Données projet'!$B$11,Paramètres!$A$1:$I$88,7,0))</f>
        <v>0.13500000000000001</v>
      </c>
      <c r="BN27" s="17">
        <f>IF(ISNA(VLOOKUP(A27,'Données projet'!$A$87:$I$107,6,0)),0%,VLOOKUP(A27,'Données projet'!$A$87:$I$107,6,0)*VLOOKUP('Données projet'!$B$11,Paramètres!$A$1:$I$88,7,0))</f>
        <v>0.22500000000000001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2.1784233309878545</v>
      </c>
      <c r="BQ27" s="23">
        <f>EXP(-LN(2)/25)*BQ26+(1-EXP(-LN(2)/25))/(LN(2)/25)*Calculateur!BL27*Calculateur!BN27*VLOOKUP('Données projet'!$B$11,Paramètres!$A$1:$I$88,3,0)*0.475*44/12</f>
        <v>3.5541300379191867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5.7325533689070411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projet'!$B$12,Paramètres!$A$1:$I$88,3,0)*0.475*44/12</f>
        <v>#N/A</v>
      </c>
      <c r="CL27" s="23" t="e">
        <f>EXP(-LN(2)/25)*CL26+(1-EXP(-LN(2)/25))/(LN(2)/25)*Calculateur!CG27*Calculateur!CI27*VLOOKUP('Données projet'!$B$12,Paramètres!$A$1:$I$88,3,0)*0.475*44/12</f>
        <v>#N/A</v>
      </c>
      <c r="CM27" s="23" t="e">
        <f>EXP(-LN(2)/2)*CM26+(1-EXP(-LN(2)/2))/(LN(2)/2)*CG27*CJ27*VLOOKUP('Données projet'!$B$12,Paramètres!$A$1:$I$88,3,0)*0.475*44/12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18.329999999999998</v>
      </c>
      <c r="D28" s="12">
        <f t="shared" si="32"/>
        <v>6.0211912093426747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187.97410758089083</v>
      </c>
      <c r="H28" s="70">
        <f t="shared" si="1"/>
        <v>335.74499135627178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119</v>
      </c>
      <c r="L28" s="13">
        <f>VLOOKUP(A28,'Données projet'!$A$35:$I$55,9,0)</f>
        <v>4.76</v>
      </c>
      <c r="M28" s="13">
        <f t="array" ref="M28">INDEX(L:L,MIN(IF(ISNUMBER(L28:L224),ROW(L28:L224),"")))</f>
        <v>4.76</v>
      </c>
      <c r="N28" s="14">
        <f>IF('Données projet'!$A$36&gt;35,N27+M28-V27,IF(A28&lt;'Données projet'!$A$36,$K$205^A28,IF(A28='Données projet'!$A$36,'Données projet'!$B$36,N27+M28-V27)))</f>
        <v>119</v>
      </c>
      <c r="O28" s="14">
        <f>N28*VLOOKUP('Données projet'!$B$9,Paramètres!$A$1:$I$88,3,0)*VLOOKUP('Données projet'!$B$9,Paramètres!$A$1:$I$88,5,0)</f>
        <v>66.521000000000001</v>
      </c>
      <c r="P28" s="14">
        <f t="shared" si="33"/>
        <v>18.806952747935188</v>
      </c>
      <c r="Q28" s="22">
        <f t="shared" si="2"/>
        <v>148.61285103598712</v>
      </c>
      <c r="R28" s="62">
        <f t="shared" si="0"/>
        <v>441.94618436932046</v>
      </c>
      <c r="S28" s="62">
        <f ca="1">AVERAGE(OFFSET($R$3,0,0,'Données projet'!$E$9+1,1))-AVERAGE(OFFSET($H$3,0,0,'Données projet'!$E$9+1,1))</f>
        <v>222.18341301864729</v>
      </c>
      <c r="T28" s="62">
        <f t="shared" si="34"/>
        <v>172.63628480089358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5.5000000000000007E-2</v>
      </c>
      <c r="X28" s="17">
        <f>IF(ISNA(VLOOKUP(A28,'Données projet'!$A$35:$I$55,6,0)),0%,VLOOKUP(A28,'Données projet'!$A$35:$I$55,6,0)*VLOOKUP('Données projet'!$B$9,Paramètres!$A$1:$I$88,7,0))</f>
        <v>0.44000000000000006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6.5</v>
      </c>
      <c r="AI28" s="14">
        <f>IF('Données projet'!$A$62&gt;35,AI27+AH28-AQ27,IF(A28&lt;'Données projet'!$A$62,$AF$205^A28,IF(A28='Données projet'!$A$62,'Données projet'!$B$62,AI27+AH28-AQ27)))</f>
        <v>113</v>
      </c>
      <c r="AJ28" s="14">
        <f>AI28*VLOOKUP('Données projet'!$B$10,Paramètres!$A$1:$I$88,3,0)*VLOOKUP('Données projet'!$B$10,Paramètres!$A$1:$I$88,5,0)</f>
        <v>52.884</v>
      </c>
      <c r="AK28" s="14">
        <f t="shared" si="35"/>
        <v>15.356117032205706</v>
      </c>
      <c r="AL28" s="22">
        <f t="shared" si="4"/>
        <v>118.85153716442493</v>
      </c>
      <c r="AM28" s="62">
        <f t="shared" si="5"/>
        <v>412.18487049775825</v>
      </c>
      <c r="AN28" s="62">
        <f ca="1">AVERAGE(OFFSET($AM$3,0,0,'Données projet'!$E$10+1,1))-AVERAGE(OFFSET($H$3,0,0,'Données projet'!$E$10+1,1))</f>
        <v>82.840015321739202</v>
      </c>
      <c r="AO28" s="62">
        <f t="shared" si="36"/>
        <v>101.40622074610098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1.0669687727076873</v>
      </c>
      <c r="AV28" s="23">
        <f>EXP(-LN(2)/25)*AV27+(1-EXP(-LN(2)/25))/(LN(2)/25)*Calculateur!AQ28*Calculateur!AS28*VLOOKUP('Données projet'!$B$10,Paramètres!$A$1:$I$88,3,0)*0.475*44/12</f>
        <v>8.1719673687416243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9.2389361414493116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7.875</v>
      </c>
      <c r="BD28" s="13">
        <f>IF('Données projet'!$A$88&gt;35,BD27+BC28-BL27,IF(A28&lt;'Données projet'!$A$88,$BA$205^A28,IF(A28='Données projet'!$A$88,'Données projet'!$B$88,BD27+BC28-BL27)))</f>
        <v>84.575000000000003</v>
      </c>
      <c r="BE28" s="14">
        <f>BD28*VLOOKUP('Données projet'!$B$11,Paramètres!$A$1:$I$88,3,0)*VLOOKUP('Données projet'!$B$11,Paramètres!$A$1:$I$88,5,0)</f>
        <v>50.57585000000001</v>
      </c>
      <c r="BF28" s="14">
        <f t="shared" si="37"/>
        <v>14.762376179138817</v>
      </c>
      <c r="BG28" s="22">
        <f t="shared" si="7"/>
        <v>113.79741059533346</v>
      </c>
      <c r="BH28" s="62">
        <f t="shared" si="8"/>
        <v>407.13074392866679</v>
      </c>
      <c r="BI28" s="62">
        <f ca="1">AVERAGE(OFFSET($BH$3,0,0,'Données projet'!$E$11+1,1))-AVERAGE(OFFSET($H$3,0,0,'Données projet'!$E$11+1,1))</f>
        <v>83.354474428753292</v>
      </c>
      <c r="BJ28" s="62">
        <f t="shared" si="38"/>
        <v>97.75861379589162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2.1357057781742155</v>
      </c>
      <c r="BQ28" s="23">
        <f>EXP(-LN(2)/25)*BQ27+(1-EXP(-LN(2)/25))/(LN(2)/25)*Calculateur!BL28*Calculateur!BN28*VLOOKUP('Données projet'!$B$11,Paramètres!$A$1:$I$88,3,0)*0.475*44/12</f>
        <v>3.4569421651287109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5.5926479433029268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projet'!$B$12,Paramètres!$A$1:$I$88,3,0)*0.475*44/12</f>
        <v>#N/A</v>
      </c>
      <c r="CL28" s="23" t="e">
        <f>EXP(-LN(2)/25)*CL27+(1-EXP(-LN(2)/25))/(LN(2)/25)*Calculateur!CG28*Calculateur!CI28*VLOOKUP('Données projet'!$B$12,Paramètres!$A$1:$I$88,3,0)*0.475*44/12</f>
        <v>#N/A</v>
      </c>
      <c r="CM28" s="23" t="e">
        <f>EXP(-LN(2)/2)*CM27+(1-EXP(-LN(2)/2))/(LN(2)/2)*CG28*CJ28*VLOOKUP('Données projet'!$B$12,Paramètres!$A$1:$I$88,3,0)*0.475*44/12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19.063199999999998</v>
      </c>
      <c r="D29" s="12">
        <f t="shared" si="32"/>
        <v>6.2335159851544919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195.27289532399959</v>
      </c>
      <c r="H29" s="70">
        <f t="shared" si="1"/>
        <v>337.39178034081073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12.333333333333334</v>
      </c>
      <c r="N29" s="14">
        <f>IF('Données projet'!$A$36&gt;35,N28+M29-V28,IF(A29&lt;'Données projet'!$A$36,$K$205^A29,IF(A29='Données projet'!$A$36,'Données projet'!$B$36,N28+M29-V28)))</f>
        <v>131.33333333333334</v>
      </c>
      <c r="O29" s="14">
        <f>N29*VLOOKUP('Données projet'!$B$9,Paramètres!$A$1:$I$88,3,0)*VLOOKUP('Données projet'!$B$9,Paramètres!$A$1:$I$88,5,0)</f>
        <v>73.415333333333336</v>
      </c>
      <c r="P29" s="14">
        <f t="shared" si="33"/>
        <v>20.519239437364458</v>
      </c>
      <c r="Q29" s="22">
        <f t="shared" si="2"/>
        <v>163.60271424229867</v>
      </c>
      <c r="R29" s="62">
        <f t="shared" si="0"/>
        <v>456.93604757563196</v>
      </c>
      <c r="S29" s="62">
        <f ca="1">AVERAGE(OFFSET($R$3,0,0,'Données projet'!$E$9+1,1))-AVERAGE(OFFSET($H$3,0,0,'Données projet'!$E$9+1,1))</f>
        <v>222.18341301864729</v>
      </c>
      <c r="T29" s="62">
        <f t="shared" si="34"/>
        <v>172.63628480089358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6.5</v>
      </c>
      <c r="AI29" s="14">
        <f>IF('Données projet'!$A$62&gt;35,AI28+AH29-AQ28,IF(A29&lt;'Données projet'!$A$62,$AF$205^A29,IF(A29='Données projet'!$A$62,'Données projet'!$B$62,AI28+AH29-AQ28)))</f>
        <v>119.5</v>
      </c>
      <c r="AJ29" s="14">
        <f>AI29*VLOOKUP('Données projet'!$B$10,Paramètres!$A$1:$I$88,3,0)*VLOOKUP('Données projet'!$B$10,Paramètres!$A$1:$I$88,5,0)</f>
        <v>55.925999999999995</v>
      </c>
      <c r="AK29" s="14">
        <f t="shared" si="35"/>
        <v>16.134056807806701</v>
      </c>
      <c r="AL29" s="22">
        <f t="shared" si="4"/>
        <v>125.50459894026331</v>
      </c>
      <c r="AM29" s="62">
        <f t="shared" si="5"/>
        <v>418.83793227359661</v>
      </c>
      <c r="AN29" s="62">
        <f ca="1">AVERAGE(OFFSET($AM$3,0,0,'Données projet'!$E$10+1,1))-AVERAGE(OFFSET($H$3,0,0,'Données projet'!$E$10+1,1))</f>
        <v>82.840015321739202</v>
      </c>
      <c r="AO29" s="62">
        <f t="shared" si="36"/>
        <v>101.40622074610098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1.0460461658615812</v>
      </c>
      <c r="AV29" s="23">
        <f>EXP(-LN(2)/25)*AV28+(1-EXP(-LN(2)/25))/(LN(2)/25)*Calculateur!AQ29*Calculateur!AS29*VLOOKUP('Données projet'!$B$10,Paramètres!$A$1:$I$88,3,0)*0.475*44/12</f>
        <v>7.9485044912982978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8.9945506571598788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7.875</v>
      </c>
      <c r="BD29" s="13">
        <f>IF('Données projet'!$A$88&gt;35,BD28+BC29-BL28,IF(A29&lt;'Données projet'!$A$88,$BA$205^A29,IF(A29='Données projet'!$A$88,'Données projet'!$B$88,BD28+BC29-BL28)))</f>
        <v>92.45</v>
      </c>
      <c r="BE29" s="14">
        <f>BD29*VLOOKUP('Données projet'!$B$11,Paramètres!$A$1:$I$88,3,0)*VLOOKUP('Données projet'!$B$11,Paramètres!$A$1:$I$88,5,0)</f>
        <v>55.2851</v>
      </c>
      <c r="BF29" s="14">
        <f t="shared" si="37"/>
        <v>15.970576064205215</v>
      </c>
      <c r="BG29" s="22">
        <f t="shared" si="7"/>
        <v>124.10363581182408</v>
      </c>
      <c r="BH29" s="62">
        <f t="shared" si="8"/>
        <v>417.43696914515738</v>
      </c>
      <c r="BI29" s="62">
        <f ca="1">AVERAGE(OFFSET($BH$3,0,0,'Données projet'!$E$11+1,1))-AVERAGE(OFFSET($H$3,0,0,'Données projet'!$E$11+1,1))</f>
        <v>83.354474428753292</v>
      </c>
      <c r="BJ29" s="62">
        <f t="shared" si="38"/>
        <v>97.75861379589162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2.0938258905161176</v>
      </c>
      <c r="BQ29" s="23">
        <f>EXP(-LN(2)/25)*BQ28+(1-EXP(-LN(2)/25))/(LN(2)/25)*Calculateur!BL29*Calculateur!BN29*VLOOKUP('Données projet'!$B$11,Paramètres!$A$1:$I$88,3,0)*0.475*44/12</f>
        <v>3.3624118998305788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5.4562377903466963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projet'!$B$12,Paramètres!$A$1:$I$88,3,0)*0.475*44/12</f>
        <v>#N/A</v>
      </c>
      <c r="CL29" s="23" t="e">
        <f>EXP(-LN(2)/25)*CL28+(1-EXP(-LN(2)/25))/(LN(2)/25)*Calculateur!CG29*Calculateur!CI29*VLOOKUP('Données projet'!$B$12,Paramètres!$A$1:$I$88,3,0)*0.475*44/12</f>
        <v>#N/A</v>
      </c>
      <c r="CM29" s="23" t="e">
        <f>EXP(-LN(2)/2)*CM28+(1-EXP(-LN(2)/2))/(LN(2)/2)*CG29*CJ29*VLOOKUP('Données projet'!$B$12,Paramètres!$A$1:$I$88,3,0)*0.475*44/12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19.796399999999998</v>
      </c>
      <c r="D30" s="12">
        <f t="shared" si="32"/>
        <v>6.4448920768574434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202.56435989153115</v>
      </c>
      <c r="H30" s="70">
        <f t="shared" si="1"/>
        <v>339.03691703386005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12.333333333333334</v>
      </c>
      <c r="N30" s="14">
        <f>IF('Données projet'!$A$36&gt;35,N29+M30-V29,IF(A30&lt;'Données projet'!$A$36,$K$205^A30,IF(A30='Données projet'!$A$36,'Données projet'!$B$36,N29+M30-V29)))</f>
        <v>143.66666666666669</v>
      </c>
      <c r="O30" s="14">
        <f>N30*VLOOKUP('Données projet'!$B$9,Paramètres!$A$1:$I$88,3,0)*VLOOKUP('Données projet'!$B$9,Paramètres!$A$1:$I$88,5,0)</f>
        <v>80.309666666666672</v>
      </c>
      <c r="P30" s="14">
        <f t="shared" si="33"/>
        <v>22.212882205756788</v>
      </c>
      <c r="Q30" s="22">
        <f t="shared" si="2"/>
        <v>178.56010595280418</v>
      </c>
      <c r="R30" s="62">
        <f t="shared" si="0"/>
        <v>471.89343928613749</v>
      </c>
      <c r="S30" s="62">
        <f ca="1">AVERAGE(OFFSET($R$3,0,0,'Données projet'!$E$9+1,1))-AVERAGE(OFFSET($H$3,0,0,'Données projet'!$E$9+1,1))</f>
        <v>222.18341301864729</v>
      </c>
      <c r="T30" s="62">
        <f t="shared" si="34"/>
        <v>172.63628480089358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6.5</v>
      </c>
      <c r="AI30" s="14">
        <f>IF('Données projet'!$A$62&gt;35,AI29+AH30-AQ29,IF(A30&lt;'Données projet'!$A$62,$AF$205^A30,IF(A30='Données projet'!$A$62,'Données projet'!$B$62,AI29+AH30-AQ29)))</f>
        <v>126</v>
      </c>
      <c r="AJ30" s="14">
        <f>AI30*VLOOKUP('Données projet'!$B$10,Paramètres!$A$1:$I$88,3,0)*VLOOKUP('Données projet'!$B$10,Paramètres!$A$1:$I$88,5,0)</f>
        <v>58.968000000000004</v>
      </c>
      <c r="AK30" s="14">
        <f t="shared" si="35"/>
        <v>16.90708415297112</v>
      </c>
      <c r="AL30" s="22">
        <f t="shared" si="4"/>
        <v>132.14910489975804</v>
      </c>
      <c r="AM30" s="62">
        <f t="shared" si="5"/>
        <v>425.48243823309133</v>
      </c>
      <c r="AN30" s="62">
        <f ca="1">AVERAGE(OFFSET($AM$3,0,0,'Données projet'!$E$10+1,1))-AVERAGE(OFFSET($H$3,0,0,'Données projet'!$E$10+1,1))</f>
        <v>82.840015321739202</v>
      </c>
      <c r="AO30" s="62">
        <f t="shared" si="36"/>
        <v>101.40622074610098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1.025533838574197</v>
      </c>
      <c r="AV30" s="23">
        <f>EXP(-LN(2)/25)*AV29+(1-EXP(-LN(2)/25))/(LN(2)/25)*Calculateur!AQ30*Calculateur!AS30*VLOOKUP('Données projet'!$B$10,Paramètres!$A$1:$I$88,3,0)*0.475*44/12</f>
        <v>7.7311522179900614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8.7566860565642592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7.875</v>
      </c>
      <c r="BD30" s="13">
        <f>IF('Données projet'!$A$88&gt;35,BD29+BC30-BL29,IF(A30&lt;'Données projet'!$A$88,$BA$205^A30,IF(A30='Données projet'!$A$88,'Données projet'!$B$88,BD29+BC30-BL29)))</f>
        <v>100.325</v>
      </c>
      <c r="BE30" s="14">
        <f>BD30*VLOOKUP('Données projet'!$B$11,Paramètres!$A$1:$I$88,3,0)*VLOOKUP('Données projet'!$B$11,Paramètres!$A$1:$I$88,5,0)</f>
        <v>59.994350000000004</v>
      </c>
      <c r="BF30" s="14">
        <f t="shared" si="37"/>
        <v>17.166840507399467</v>
      </c>
      <c r="BG30" s="22">
        <f t="shared" si="7"/>
        <v>134.38907346705406</v>
      </c>
      <c r="BH30" s="62">
        <f t="shared" si="8"/>
        <v>427.72240680038738</v>
      </c>
      <c r="BI30" s="62">
        <f ca="1">AVERAGE(OFFSET($BH$3,0,0,'Données projet'!$E$11+1,1))-AVERAGE(OFFSET($H$3,0,0,'Données projet'!$E$11+1,1))</f>
        <v>83.354474428753292</v>
      </c>
      <c r="BJ30" s="62">
        <f t="shared" si="38"/>
        <v>97.75861379589162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2.0527672419107859</v>
      </c>
      <c r="BQ30" s="23">
        <f>EXP(-LN(2)/25)*BQ29+(1-EXP(-LN(2)/25))/(LN(2)/25)*Calculateur!BL30*Calculateur!BN30*VLOOKUP('Données projet'!$B$11,Paramètres!$A$1:$I$88,3,0)*0.475*44/12</f>
        <v>3.2704665696081547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5.323233811518941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projet'!$B$12,Paramètres!$A$1:$I$88,3,0)*0.475*44/12</f>
        <v>#N/A</v>
      </c>
      <c r="CL30" s="23" t="e">
        <f>EXP(-LN(2)/25)*CL29+(1-EXP(-LN(2)/25))/(LN(2)/25)*Calculateur!CG30*Calculateur!CI30*VLOOKUP('Données projet'!$B$12,Paramètres!$A$1:$I$88,3,0)*0.475*44/12</f>
        <v>#N/A</v>
      </c>
      <c r="CM30" s="23" t="e">
        <f>EXP(-LN(2)/2)*CM29+(1-EXP(-LN(2)/2))/(LN(2)/2)*CG30*CJ30*VLOOKUP('Données projet'!$B$12,Paramètres!$A$1:$I$88,3,0)*0.475*44/12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20.529599999999999</v>
      </c>
      <c r="D31" s="12">
        <f t="shared" si="32"/>
        <v>6.6553586445673751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209.84880357209906</v>
      </c>
      <c r="H31" s="70">
        <f t="shared" si="1"/>
        <v>340.68046963928816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12.333333333333334</v>
      </c>
      <c r="N31" s="14">
        <f>IF('Données projet'!$A$36&gt;35,N30+M31-V30,IF(A31&lt;'Données projet'!$A$36,$K$205^A31,IF(A31='Données projet'!$A$36,'Données projet'!$B$36,N30+M31-V30)))</f>
        <v>156.00000000000003</v>
      </c>
      <c r="O31" s="14">
        <f>N31*VLOOKUP('Données projet'!$B$9,Paramètres!$A$1:$I$88,3,0)*VLOOKUP('Données projet'!$B$9,Paramètres!$A$1:$I$88,5,0)</f>
        <v>87.204000000000022</v>
      </c>
      <c r="P31" s="14">
        <f t="shared" si="33"/>
        <v>23.889663550879717</v>
      </c>
      <c r="Q31" s="22">
        <f t="shared" si="2"/>
        <v>193.48813068444886</v>
      </c>
      <c r="R31" s="62">
        <f t="shared" si="0"/>
        <v>486.8214640177822</v>
      </c>
      <c r="S31" s="62">
        <f ca="1">AVERAGE(OFFSET($R$3,0,0,'Données projet'!$E$9+1,1))-AVERAGE(OFFSET($H$3,0,0,'Données projet'!$E$9+1,1))</f>
        <v>222.18341301864729</v>
      </c>
      <c r="T31" s="62">
        <f t="shared" si="34"/>
        <v>172.63628480089358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6.5</v>
      </c>
      <c r="AI31" s="14">
        <f>IF('Données projet'!$A$62&gt;35,AI30+AH31-AQ30,IF(A31&lt;'Données projet'!$A$62,$AF$205^A31,IF(A31='Données projet'!$A$62,'Données projet'!$B$62,AI30+AH31-AQ30)))</f>
        <v>132.5</v>
      </c>
      <c r="AJ31" s="14">
        <f>AI31*VLOOKUP('Données projet'!$B$10,Paramètres!$A$1:$I$88,3,0)*VLOOKUP('Données projet'!$B$10,Paramètres!$A$1:$I$88,5,0)</f>
        <v>62.01</v>
      </c>
      <c r="AK31" s="14">
        <f t="shared" si="35"/>
        <v>17.675481393668683</v>
      </c>
      <c r="AL31" s="22">
        <f t="shared" si="4"/>
        <v>138.78554676063962</v>
      </c>
      <c r="AM31" s="62">
        <f t="shared" si="5"/>
        <v>432.11888009397296</v>
      </c>
      <c r="AN31" s="62">
        <f ca="1">AVERAGE(OFFSET($AM$3,0,0,'Données projet'!$E$10+1,1))-AVERAGE(OFFSET($H$3,0,0,'Données projet'!$E$10+1,1))</f>
        <v>82.840015321739202</v>
      </c>
      <c r="AO31" s="62">
        <f t="shared" si="36"/>
        <v>101.40622074610098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1.0054237455136341</v>
      </c>
      <c r="AV31" s="23">
        <f>EXP(-LN(2)/25)*AV30+(1-EXP(-LN(2)/25))/(LN(2)/25)*Calculateur!AQ31*Calculateur!AS31*VLOOKUP('Données projet'!$B$10,Paramètres!$A$1:$I$88,3,0)*0.475*44/12</f>
        <v>7.5197434540254982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8.5251671995391316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>
        <f>VLOOKUP(A31,'Données projet'!$A$87:$I$107,2,0)</f>
        <v>108.2</v>
      </c>
      <c r="BB31" s="13">
        <f>VLOOKUP(A31,'Données projet'!$A$87:$I$107,9,0)</f>
        <v>7.875</v>
      </c>
      <c r="BC31" s="13">
        <f t="array" ref="BC31">INDEX(BB:BB,MIN(IF(ISNUMBER(BB31:BB227),ROW(BB31:BB227),"")))</f>
        <v>7.875</v>
      </c>
      <c r="BD31" s="13">
        <f>IF('Données projet'!$A$88&gt;35,BD30+BC31-BL30,IF(A31&lt;'Données projet'!$A$88,$BA$205^A31,IF(A31='Données projet'!$A$88,'Données projet'!$B$88,BD30+BC31-BL30)))</f>
        <v>108.2</v>
      </c>
      <c r="BE31" s="14">
        <f>BD31*VLOOKUP('Données projet'!$B$11,Paramètres!$A$1:$I$88,3,0)*VLOOKUP('Données projet'!$B$11,Paramètres!$A$1:$I$88,5,0)</f>
        <v>64.703600000000009</v>
      </c>
      <c r="BF31" s="14">
        <f t="shared" si="37"/>
        <v>18.352212896494471</v>
      </c>
      <c r="BG31" s="22">
        <f t="shared" si="7"/>
        <v>144.65554079472784</v>
      </c>
      <c r="BH31" s="62">
        <f t="shared" si="8"/>
        <v>437.98887412806118</v>
      </c>
      <c r="BI31" s="62">
        <f ca="1">AVERAGE(OFFSET($BH$3,0,0,'Données projet'!$E$11+1,1))-AVERAGE(OFFSET($H$3,0,0,'Données projet'!$E$11+1,1))</f>
        <v>83.354474428753292</v>
      </c>
      <c r="BJ31" s="62">
        <f t="shared" si="38"/>
        <v>97.75861379589162</v>
      </c>
      <c r="BK31" s="16">
        <f>IF(ISNA(VLOOKUP(A31,'Données projet'!$A$87:$I$107,3,0)),0,VLOOKUP(A31,'Données projet'!$A$87:$I$107,3,0))</f>
        <v>5</v>
      </c>
      <c r="BL31" s="16">
        <f>IF(ISNA(VLOOKUP(A31,'Données projet'!$A$87:$I$107,4,0)),0,VLOOKUP(A31,'Données projet'!$A$87:$I$107,4,0))</f>
        <v>13.1</v>
      </c>
      <c r="BM31" s="17">
        <f>IF(ISNA(VLOOKUP(A31,'Données projet'!$A$87:$I$107,5,0)),0%,VLOOKUP(A31,'Données projet'!$A$87:$I$107,5,0)*VLOOKUP('Données projet'!$B$11,Paramètres!$A$1:$I$88,7,0))</f>
        <v>0.13500000000000001</v>
      </c>
      <c r="BN31" s="17">
        <f>IF(ISNA(VLOOKUP(A31,'Données projet'!$A$87:$I$107,6,0)),0%,VLOOKUP(A31,'Données projet'!$A$87:$I$107,6,0)*VLOOKUP('Données projet'!$B$11,Paramètres!$A$1:$I$88,7,0))</f>
        <v>0.22500000000000001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3.4154392135493081</v>
      </c>
      <c r="BQ31" s="23">
        <f>EXP(-LN(2)/25)*BQ30+(1-EXP(-LN(2)/25))/(LN(2)/25)*Calculateur!BL31*Calculateur!BN31*VLOOKUP('Données projet'!$B$11,Paramètres!$A$1:$I$88,3,0)*0.475*44/12</f>
        <v>5.5100382109363624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8.9254774244856705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projet'!$B$12,Paramètres!$A$1:$I$88,3,0)*0.475*44/12</f>
        <v>#N/A</v>
      </c>
      <c r="CL31" s="23" t="e">
        <f>EXP(-LN(2)/25)*CL30+(1-EXP(-LN(2)/25))/(LN(2)/25)*Calculateur!CG31*Calculateur!CI31*VLOOKUP('Données projet'!$B$12,Paramètres!$A$1:$I$88,3,0)*0.475*44/12</f>
        <v>#N/A</v>
      </c>
      <c r="CM31" s="23" t="e">
        <f>EXP(-LN(2)/2)*CM30+(1-EXP(-LN(2)/2))/(LN(2)/2)*CG31*CJ31*VLOOKUP('Données projet'!$B$12,Paramètres!$A$1:$I$88,3,0)*0.475*44/12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21.262799999999999</v>
      </c>
      <c r="D32" s="12">
        <f t="shared" si="32"/>
        <v>6.864951892683286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217.12650583825697</v>
      </c>
      <c r="H32" s="70">
        <f t="shared" si="1"/>
        <v>342.32250121309005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12.333333333333334</v>
      </c>
      <c r="N32" s="14">
        <f>IF('Données projet'!$A$36&gt;35,N31+M32-V31,IF(A32&lt;'Données projet'!$A$36,$K$205^A32,IF(A32='Données projet'!$A$36,'Données projet'!$B$36,N31+M32-V31)))</f>
        <v>168.33333333333337</v>
      </c>
      <c r="O32" s="14">
        <f>N32*VLOOKUP('Données projet'!$B$9,Paramètres!$A$1:$I$88,3,0)*VLOOKUP('Données projet'!$B$9,Paramètres!$A$1:$I$88,5,0)</f>
        <v>94.098333333333358</v>
      </c>
      <c r="P32" s="14">
        <f t="shared" si="33"/>
        <v>25.551068093115891</v>
      </c>
      <c r="Q32" s="22">
        <f t="shared" si="2"/>
        <v>208.38937415106577</v>
      </c>
      <c r="R32" s="62">
        <f t="shared" si="0"/>
        <v>501.72270748439905</v>
      </c>
      <c r="S32" s="62">
        <f ca="1">AVERAGE(OFFSET($R$3,0,0,'Données projet'!$E$9+1,1))-AVERAGE(OFFSET($H$3,0,0,'Données projet'!$E$9+1,1))</f>
        <v>222.18341301864729</v>
      </c>
      <c r="T32" s="62">
        <f t="shared" si="34"/>
        <v>172.63628480089358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6.5</v>
      </c>
      <c r="AI32" s="14">
        <f>IF('Données projet'!$A$62&gt;35,AI31+AH32-AQ31,IF(A32&lt;'Données projet'!$A$62,$AF$205^A32,IF(A32='Données projet'!$A$62,'Données projet'!$B$62,AI31+AH32-AQ31)))</f>
        <v>139</v>
      </c>
      <c r="AJ32" s="14">
        <f>AI32*VLOOKUP('Données projet'!$B$10,Paramètres!$A$1:$I$88,3,0)*VLOOKUP('Données projet'!$B$10,Paramètres!$A$1:$I$88,5,0)</f>
        <v>65.052000000000007</v>
      </c>
      <c r="AK32" s="14">
        <f t="shared" si="35"/>
        <v>18.439501591054679</v>
      </c>
      <c r="AL32" s="22">
        <f t="shared" si="4"/>
        <v>145.41436527108689</v>
      </c>
      <c r="AM32" s="62">
        <f t="shared" si="5"/>
        <v>438.74769860442018</v>
      </c>
      <c r="AN32" s="62">
        <f ca="1">AVERAGE(OFFSET($AM$3,0,0,'Données projet'!$E$10+1,1))-AVERAGE(OFFSET($H$3,0,0,'Données projet'!$E$10+1,1))</f>
        <v>82.840015321739202</v>
      </c>
      <c r="AO32" s="62">
        <f t="shared" si="36"/>
        <v>101.40622074610098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0.98570799911204332</v>
      </c>
      <c r="AV32" s="23">
        <f>EXP(-LN(2)/25)*AV31+(1-EXP(-LN(2)/25))/(LN(2)/25)*Calculateur!AQ32*Calculateur!AS32*VLOOKUP('Données projet'!$B$10,Paramètres!$A$1:$I$88,3,0)*0.475*44/12</f>
        <v>7.3141156738290496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8.299823672941093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7.9833333333333316</v>
      </c>
      <c r="BD32" s="13">
        <f>IF('Données projet'!$A$88&gt;35,BD31+BC32-BL31,IF(A32&lt;'Données projet'!$A$88,$BA$205^A32,IF(A32='Données projet'!$A$88,'Données projet'!$B$88,BD31+BC32-BL31)))</f>
        <v>103.08333333333334</v>
      </c>
      <c r="BE32" s="14">
        <f>BD32*VLOOKUP('Données projet'!$B$11,Paramètres!$A$1:$I$88,3,0)*VLOOKUP('Données projet'!$B$11,Paramètres!$A$1:$I$88,5,0)</f>
        <v>61.64383333333334</v>
      </c>
      <c r="BF32" s="14">
        <f t="shared" si="37"/>
        <v>17.583225612667121</v>
      </c>
      <c r="BG32" s="22">
        <f t="shared" si="7"/>
        <v>137.98712766428412</v>
      </c>
      <c r="BH32" s="62">
        <f t="shared" si="8"/>
        <v>431.32046099761743</v>
      </c>
      <c r="BI32" s="62">
        <f ca="1">AVERAGE(OFFSET($BH$3,0,0,'Données projet'!$E$11+1,1))-AVERAGE(OFFSET($H$3,0,0,'Données projet'!$E$11+1,1))</f>
        <v>83.354474428753292</v>
      </c>
      <c r="BJ32" s="62">
        <f t="shared" si="38"/>
        <v>97.75861379589162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3.3484645337838264</v>
      </c>
      <c r="BQ32" s="23">
        <f>EXP(-LN(2)/25)*BQ31+(1-EXP(-LN(2)/25))/(LN(2)/25)*Calculateur!BL32*Calculateur!BN32*VLOOKUP('Données projet'!$B$11,Paramètres!$A$1:$I$88,3,0)*0.475*44/12</f>
        <v>5.3593659262979916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8.7078304600818175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projet'!$B$12,Paramètres!$A$1:$I$88,3,0)*0.475*44/12</f>
        <v>#N/A</v>
      </c>
      <c r="CL32" s="23" t="e">
        <f>EXP(-LN(2)/25)*CL31+(1-EXP(-LN(2)/25))/(LN(2)/25)*Calculateur!CG32*Calculateur!CI32*VLOOKUP('Données projet'!$B$12,Paramètres!$A$1:$I$88,3,0)*0.475*44/12</f>
        <v>#N/A</v>
      </c>
      <c r="CM32" s="23" t="e">
        <f>EXP(-LN(2)/2)*CM31+(1-EXP(-LN(2)/2))/(LN(2)/2)*CG32*CJ32*VLOOKUP('Données projet'!$B$12,Paramètres!$A$1:$I$88,3,0)*0.475*44/12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21.995999999999999</v>
      </c>
      <c r="D33" s="12">
        <f t="shared" si="32"/>
        <v>7.0737053871356732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224.39772579543327</v>
      </c>
      <c r="H33" s="70">
        <f t="shared" si="1"/>
        <v>343.96307021592793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12.333333333333334</v>
      </c>
      <c r="N33" s="14">
        <f>IF('Données projet'!$A$36&gt;35,N32+M33-V32,IF(A33&lt;'Données projet'!$A$36,$K$205^A33,IF(A33='Données projet'!$A$36,'Données projet'!$B$36,N32+M33-V32)))</f>
        <v>180.66666666666671</v>
      </c>
      <c r="O33" s="14">
        <f>N33*VLOOKUP('Données projet'!$B$9,Paramètres!$A$1:$I$88,3,0)*VLOOKUP('Données projet'!$B$9,Paramètres!$A$1:$I$88,5,0)</f>
        <v>100.99266666666669</v>
      </c>
      <c r="P33" s="14">
        <f t="shared" si="33"/>
        <v>27.198350567871973</v>
      </c>
      <c r="Q33" s="22">
        <f t="shared" si="2"/>
        <v>223.26602168348816</v>
      </c>
      <c r="R33" s="62">
        <f t="shared" si="0"/>
        <v>516.59935501682151</v>
      </c>
      <c r="S33" s="62">
        <f ca="1">AVERAGE(OFFSET($R$3,0,0,'Données projet'!$E$9+1,1))-AVERAGE(OFFSET($H$3,0,0,'Données projet'!$E$9+1,1))</f>
        <v>222.18341301864729</v>
      </c>
      <c r="T33" s="62">
        <f t="shared" si="34"/>
        <v>172.63628480089358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145.5</v>
      </c>
      <c r="AG33" s="13">
        <f>VLOOKUP(A33,'Données projet'!$A$61:$I$81,9,0)</f>
        <v>6.5</v>
      </c>
      <c r="AH33" s="13">
        <f t="array" ref="AH33">INDEX(AG:AG,MIN(IF(ISNUMBER(AG33:AG229),ROW(AG33:AG229),"")))</f>
        <v>6.5</v>
      </c>
      <c r="AI33" s="14">
        <f>IF('Données projet'!$A$62&gt;35,AI32+AH33-AQ32,IF(A33&lt;'Données projet'!$A$62,$AF$205^A33,IF(A33='Données projet'!$A$62,'Données projet'!$B$62,AI32+AH33-AQ32)))</f>
        <v>145.5</v>
      </c>
      <c r="AJ33" s="14">
        <f>AI33*VLOOKUP('Données projet'!$B$10,Paramètres!$A$1:$I$88,3,0)*VLOOKUP('Données projet'!$B$10,Paramètres!$A$1:$I$88,5,0)</f>
        <v>68.093999999999994</v>
      </c>
      <c r="AK33" s="14">
        <f t="shared" si="35"/>
        <v>19.199372801164969</v>
      </c>
      <c r="AL33" s="22">
        <f t="shared" si="4"/>
        <v>152.03595762869563</v>
      </c>
      <c r="AM33" s="62">
        <f t="shared" si="5"/>
        <v>445.36929096202891</v>
      </c>
      <c r="AN33" s="62">
        <f ca="1">AVERAGE(OFFSET($AM$3,0,0,'Données projet'!$E$10+1,1))-AVERAGE(OFFSET($H$3,0,0,'Données projet'!$E$10+1,1))</f>
        <v>82.840015321739202</v>
      </c>
      <c r="AO33" s="62">
        <f t="shared" si="36"/>
        <v>101.40622074610098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29.1</v>
      </c>
      <c r="AR33" s="17">
        <f>IF(ISNA(VLOOKUP(A33,'Données projet'!$A$61:$I$81,5,0)),0%,VLOOKUP(A33,'Données projet'!$A$61:$I$81,5,0)*VLOOKUP('Données projet'!$B$10,Paramètres!$A$1:$I$88,7,0))</f>
        <v>0.16500000000000001</v>
      </c>
      <c r="AS33" s="17">
        <f>IF(ISNA(VLOOKUP(A33,'Données projet'!$A$61:$I$81,6,0)),0%,VLOOKUP(A33,'Données projet'!$A$61:$I$81,6,0)*VLOOKUP('Données projet'!$B$10,Paramètres!$A$1:$I$88,7,0))</f>
        <v>0.27500000000000002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projet'!$B$10,Paramètres!$A$1:$I$88,3,0)*0.475*44/12</f>
        <v>3.947304507419072</v>
      </c>
      <c r="AV33" s="23">
        <f>EXP(-LN(2)/25)*AV32+(1-EXP(-LN(2)/25))/(LN(2)/25)*Calculateur!AQ33*Calculateur!AS33*VLOOKUP('Données projet'!$B$10,Paramètres!$A$1:$I$88,3,0)*0.475*44/12</f>
        <v>12.062758464223863</v>
      </c>
      <c r="AW33" s="23">
        <f>EXP(-LN(2)/2)*AW32+(1-EXP(-LN(2)/2))/(LN(2)/2)*AQ33*AT33*VLOOKUP('Données projet'!$B$10,Paramètres!$A$1:$I$88,3,0)*0.475*44/12</f>
        <v>0</v>
      </c>
      <c r="AX33" s="23">
        <f t="shared" si="6"/>
        <v>16.010062971642935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7.9833333333333316</v>
      </c>
      <c r="BD33" s="13">
        <f>IF('Données projet'!$A$88&gt;35,BD32+BC33-BL32,IF(A33&lt;'Données projet'!$A$88,$BA$205^A33,IF(A33='Données projet'!$A$88,'Données projet'!$B$88,BD32+BC33-BL32)))</f>
        <v>111.06666666666668</v>
      </c>
      <c r="BE33" s="14">
        <f>BD33*VLOOKUP('Données projet'!$B$11,Paramètres!$A$1:$I$88,3,0)*VLOOKUP('Données projet'!$B$11,Paramètres!$A$1:$I$88,5,0)</f>
        <v>66.417866666666669</v>
      </c>
      <c r="BF33" s="14">
        <f t="shared" si="37"/>
        <v>18.781186354473743</v>
      </c>
      <c r="BG33" s="22">
        <f t="shared" si="7"/>
        <v>148.3883506784862</v>
      </c>
      <c r="BH33" s="62">
        <f t="shared" si="8"/>
        <v>441.72168401181955</v>
      </c>
      <c r="BI33" s="62">
        <f ca="1">AVERAGE(OFFSET($BH$3,0,0,'Données projet'!$E$11+1,1))-AVERAGE(OFFSET($H$3,0,0,'Données projet'!$E$11+1,1))</f>
        <v>83.354474428753292</v>
      </c>
      <c r="BJ33" s="62">
        <f t="shared" si="38"/>
        <v>97.75861379589162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projet'!$B$11,Paramètres!$A$1:$I$88,3,0)*0.475*44/12</f>
        <v>3.2828031866380245</v>
      </c>
      <c r="BQ33" s="23">
        <f>EXP(-LN(2)/25)*BQ32+(1-EXP(-LN(2)/25))/(LN(2)/25)*Calculateur!BL33*Calculateur!BN33*VLOOKUP('Données projet'!$B$11,Paramètres!$A$1:$I$88,3,0)*0.475*44/12</f>
        <v>5.2128137832065677</v>
      </c>
      <c r="BR33" s="23">
        <f>EXP(-LN(2)/2)*BR32+(1-EXP(-LN(2)/2))/(LN(2)/2)*BL33*BO33*VLOOKUP('Données projet'!$B$11,Paramètres!$A$1:$I$88,3,0)*0.475*44/12</f>
        <v>0</v>
      </c>
      <c r="BS33" s="24">
        <f t="shared" si="9"/>
        <v>8.4956169698445922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projet'!$B$12,Paramètres!$A$1:$I$88,3,0)*0.475*44/12</f>
        <v>#N/A</v>
      </c>
      <c r="CL33" s="23" t="e">
        <f>EXP(-LN(2)/25)*CL32+(1-EXP(-LN(2)/25))/(LN(2)/25)*Calculateur!CG33*Calculateur!CI33*VLOOKUP('Données projet'!$B$12,Paramètres!$A$1:$I$88,3,0)*0.475*44/12</f>
        <v>#N/A</v>
      </c>
      <c r="CM33" s="23" t="e">
        <f>EXP(-LN(2)/2)*CM32+(1-EXP(-LN(2)/2))/(LN(2)/2)*CG33*CJ33*VLOOKUP('Données projet'!$B$12,Paramètres!$A$1:$I$88,3,0)*0.475*44/12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22.729199999999999</v>
      </c>
      <c r="D34" s="12">
        <f t="shared" si="32"/>
        <v>7.2816503291468493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231.66270429516865</v>
      </c>
      <c r="H34" s="70">
        <f t="shared" si="1"/>
        <v>345.60223098993072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12.333333333333334</v>
      </c>
      <c r="N34" s="14">
        <f>IF('Données projet'!$A$36&gt;35,N33+M34-V33,IF(A34&lt;'Données projet'!$A$36,$K$205^A34,IF(A34='Données projet'!$A$36,'Données projet'!$B$36,N33+M34-V33)))</f>
        <v>193.00000000000006</v>
      </c>
      <c r="O34" s="14">
        <f>N34*VLOOKUP('Données projet'!$B$9,Paramètres!$A$1:$I$88,3,0)*VLOOKUP('Données projet'!$B$9,Paramètres!$A$1:$I$88,5,0)</f>
        <v>107.88700000000003</v>
      </c>
      <c r="P34" s="14">
        <f t="shared" si="33"/>
        <v>28.832584703367264</v>
      </c>
      <c r="Q34" s="22">
        <f t="shared" si="2"/>
        <v>238.11994335836471</v>
      </c>
      <c r="R34" s="62">
        <f t="shared" si="0"/>
        <v>531.45327669169797</v>
      </c>
      <c r="S34" s="62">
        <f ca="1">AVERAGE(OFFSET($R$3,0,0,'Données projet'!$E$9+1,1))-AVERAGE(OFFSET($H$3,0,0,'Données projet'!$E$9+1,1))</f>
        <v>222.18341301864729</v>
      </c>
      <c r="T34" s="62">
        <f t="shared" si="34"/>
        <v>172.63628480089358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</v>
      </c>
      <c r="AI34" s="14">
        <f>IF('Données projet'!$A$62&gt;35,AI33+AH34-AQ33,IF(A34&lt;'Données projet'!$A$62,$AF$205^A34,IF(A34='Données projet'!$A$62,'Données projet'!$B$62,AI33+AH34-AQ33)))</f>
        <v>123.4</v>
      </c>
      <c r="AJ34" s="14">
        <f>AI34*VLOOKUP('Données projet'!$B$10,Paramètres!$A$1:$I$88,3,0)*VLOOKUP('Données projet'!$B$10,Paramètres!$A$1:$I$88,5,0)</f>
        <v>57.751200000000004</v>
      </c>
      <c r="AK34" s="14">
        <f t="shared" si="35"/>
        <v>16.598443930799451</v>
      </c>
      <c r="AL34" s="22">
        <f t="shared" si="4"/>
        <v>129.49229651280905</v>
      </c>
      <c r="AM34" s="62">
        <f t="shared" si="5"/>
        <v>422.82562984614236</v>
      </c>
      <c r="AN34" s="62">
        <f ca="1">AVERAGE(OFFSET($AM$3,0,0,'Données projet'!$E$10+1,1))-AVERAGE(OFFSET($H$3,0,0,'Données projet'!$E$10+1,1))</f>
        <v>82.840015321739202</v>
      </c>
      <c r="AO34" s="62">
        <f t="shared" si="36"/>
        <v>101.40622074610098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3.8699002736466008</v>
      </c>
      <c r="AV34" s="23">
        <f>EXP(-LN(2)/25)*AV33+(1-EXP(-LN(2)/25))/(LN(2)/25)*Calculateur!AQ34*Calculateur!AS34*VLOOKUP('Données projet'!$B$10,Paramètres!$A$1:$I$88,3,0)*0.475*44/12</f>
        <v>11.732901699666764</v>
      </c>
      <c r="AW34" s="23">
        <f>EXP(-LN(2)/2)*AW33+(1-EXP(-LN(2)/2))/(LN(2)/2)*AQ34*AT34*VLOOKUP('Données projet'!$B$10,Paramètres!$A$1:$I$88,3,0)*0.475*44/12</f>
        <v>0</v>
      </c>
      <c r="AX34" s="23">
        <f t="shared" si="6"/>
        <v>15.602801973313365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7.9833333333333316</v>
      </c>
      <c r="BD34" s="13">
        <f>IF('Données projet'!$A$88&gt;35,BD33+BC34-BL33,IF(A34&lt;'Données projet'!$A$88,$BA$205^A34,IF(A34='Données projet'!$A$88,'Données projet'!$B$88,BD33+BC34-BL33)))</f>
        <v>119.05000000000001</v>
      </c>
      <c r="BE34" s="14">
        <f>BD34*VLOOKUP('Données projet'!$B$11,Paramètres!$A$1:$I$88,3,0)*VLOOKUP('Données projet'!$B$11,Paramètres!$A$1:$I$88,5,0)</f>
        <v>71.191900000000004</v>
      </c>
      <c r="BF34" s="14">
        <f t="shared" si="37"/>
        <v>19.969156870378427</v>
      </c>
      <c r="BG34" s="22">
        <f t="shared" si="7"/>
        <v>158.77217404924244</v>
      </c>
      <c r="BH34" s="62">
        <f t="shared" si="8"/>
        <v>452.10550738257575</v>
      </c>
      <c r="BI34" s="62">
        <f ca="1">AVERAGE(OFFSET($BH$3,0,0,'Données projet'!$E$11+1,1))-AVERAGE(OFFSET($H$3,0,0,'Données projet'!$E$11+1,1))</f>
        <v>83.354474428753292</v>
      </c>
      <c r="BJ34" s="62">
        <f t="shared" si="38"/>
        <v>97.75861379589162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3.2184294184602846</v>
      </c>
      <c r="BQ34" s="23">
        <f>EXP(-LN(2)/25)*BQ33+(1-EXP(-LN(2)/25))/(LN(2)/25)*Calculateur!BL34*Calculateur!BN34*VLOOKUP('Données projet'!$B$11,Paramètres!$A$1:$I$88,3,0)*0.475*44/12</f>
        <v>5.0702691161748215</v>
      </c>
      <c r="BR34" s="23">
        <f>EXP(-LN(2)/2)*BR33+(1-EXP(-LN(2)/2))/(LN(2)/2)*BL34*BO34*VLOOKUP('Données projet'!$B$11,Paramètres!$A$1:$I$88,3,0)*0.475*44/12</f>
        <v>0</v>
      </c>
      <c r="BS34" s="24">
        <f t="shared" si="9"/>
        <v>8.2886985346351061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projet'!$B$12,Paramètres!$A$1:$I$88,3,0)*0.475*44/12</f>
        <v>#N/A</v>
      </c>
      <c r="CL34" s="23" t="e">
        <f>EXP(-LN(2)/25)*CL33+(1-EXP(-LN(2)/25))/(LN(2)/25)*Calculateur!CG34*Calculateur!CI34*VLOOKUP('Données projet'!$B$12,Paramètres!$A$1:$I$88,3,0)*0.475*44/12</f>
        <v>#N/A</v>
      </c>
      <c r="CM34" s="23" t="e">
        <f>EXP(-LN(2)/2)*CM33+(1-EXP(-LN(2)/2))/(LN(2)/2)*CG34*CJ34*VLOOKUP('Données projet'!$B$12,Paramètres!$A$1:$I$88,3,0)*0.475*44/12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23.462399999999999</v>
      </c>
      <c r="D35" s="12">
        <f t="shared" si="32"/>
        <v>7.4888157926750578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238.92166576801799</v>
      </c>
      <c r="H35" s="70">
        <f t="shared" si="1"/>
        <v>347.24003417224236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12.333333333333334</v>
      </c>
      <c r="N35" s="14">
        <f>IF('Données projet'!$A$36&gt;35,N34+M35-V34,IF(A35&lt;'Données projet'!$A$36,$K$205^A35,IF(A35='Données projet'!$A$36,'Données projet'!$B$36,N34+M35-V34)))</f>
        <v>205.3333333333334</v>
      </c>
      <c r="O35" s="14">
        <f>N35*VLOOKUP('Données projet'!$B$9,Paramètres!$A$1:$I$88,3,0)*VLOOKUP('Données projet'!$B$9,Paramètres!$A$1:$I$88,5,0)</f>
        <v>114.78133333333338</v>
      </c>
      <c r="P35" s="14">
        <f t="shared" si="33"/>
        <v>30.454699239900059</v>
      </c>
      <c r="Q35" s="22">
        <f t="shared" ref="Q35:Q66" si="53">(O35+P35)*0.475*44/12</f>
        <v>252.95275673171489</v>
      </c>
      <c r="R35" s="62">
        <f t="shared" si="0"/>
        <v>546.28609006504826</v>
      </c>
      <c r="S35" s="62">
        <f ca="1">AVERAGE(OFFSET($R$3,0,0,'Données projet'!$E$9+1,1))-AVERAGE(OFFSET($H$3,0,0,'Données projet'!$E$9+1,1))</f>
        <v>222.18341301864729</v>
      </c>
      <c r="T35" s="62">
        <f t="shared" si="34"/>
        <v>172.63628480089358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</v>
      </c>
      <c r="AI35" s="14">
        <f>IF('Données projet'!$A$62&gt;35,AI34+AH35-AQ34,IF(A35&lt;'Données projet'!$A$62,$AF$205^A35,IF(A35='Données projet'!$A$62,'Données projet'!$B$62,AI34+AH35-AQ34)))</f>
        <v>130.4</v>
      </c>
      <c r="AJ35" s="14">
        <f>AI35*VLOOKUP('Données projet'!$B$10,Paramètres!$A$1:$I$88,3,0)*VLOOKUP('Données projet'!$B$10,Paramètres!$A$1:$I$88,5,0)</f>
        <v>61.027200000000008</v>
      </c>
      <c r="AK35" s="14">
        <f t="shared" si="35"/>
        <v>17.427720265428167</v>
      </c>
      <c r="AL35" s="22">
        <f t="shared" si="4"/>
        <v>136.64231946228742</v>
      </c>
      <c r="AM35" s="62">
        <f t="shared" si="5"/>
        <v>429.9756527956207</v>
      </c>
      <c r="AN35" s="62">
        <f ca="1">AVERAGE(OFFSET($AM$3,0,0,'Données projet'!$E$10+1,1))-AVERAGE(OFFSET($H$3,0,0,'Données projet'!$E$10+1,1))</f>
        <v>82.840015321739202</v>
      </c>
      <c r="AO35" s="62">
        <f t="shared" si="36"/>
        <v>101.40622074610098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3.7940138896864872</v>
      </c>
      <c r="AV35" s="23">
        <f>EXP(-LN(2)/25)*AV34+(1-EXP(-LN(2)/25))/(LN(2)/25)*Calculateur!AQ35*Calculateur!AS35*VLOOKUP('Données projet'!$B$10,Paramètres!$A$1:$I$88,3,0)*0.475*44/12</f>
        <v>11.412064885682891</v>
      </c>
      <c r="AW35" s="23">
        <f>EXP(-LN(2)/2)*AW34+(1-EXP(-LN(2)/2))/(LN(2)/2)*AQ35*AT35*VLOOKUP('Données projet'!$B$10,Paramètres!$A$1:$I$88,3,0)*0.475*44/12</f>
        <v>0</v>
      </c>
      <c r="AX35" s="23">
        <f t="shared" si="6"/>
        <v>15.206078775369379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7.9833333333333316</v>
      </c>
      <c r="BD35" s="13">
        <f>IF('Données projet'!$A$88&gt;35,BD34+BC35-BL34,IF(A35&lt;'Données projet'!$A$88,$BA$205^A35,IF(A35='Données projet'!$A$88,'Données projet'!$B$88,BD34+BC35-BL34)))</f>
        <v>127.03333333333335</v>
      </c>
      <c r="BE35" s="14">
        <f>BD35*VLOOKUP('Données projet'!$B$11,Paramètres!$A$1:$I$88,3,0)*VLOOKUP('Données projet'!$B$11,Paramètres!$A$1:$I$88,5,0)</f>
        <v>75.965933333333339</v>
      </c>
      <c r="BF35" s="14">
        <f t="shared" si="37"/>
        <v>21.147883315902423</v>
      </c>
      <c r="BG35" s="22">
        <f t="shared" si="7"/>
        <v>169.13989733075229</v>
      </c>
      <c r="BH35" s="62">
        <f t="shared" si="8"/>
        <v>462.47323066408558</v>
      </c>
      <c r="BI35" s="62">
        <f ca="1">AVERAGE(OFFSET($BH$3,0,0,'Données projet'!$E$11+1,1))-AVERAGE(OFFSET($H$3,0,0,'Données projet'!$E$11+1,1))</f>
        <v>83.354474428753292</v>
      </c>
      <c r="BJ35" s="62">
        <f t="shared" si="38"/>
        <v>97.75861379589162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3.1553179806123888</v>
      </c>
      <c r="BQ35" s="23">
        <f>EXP(-LN(2)/25)*BQ34+(1-EXP(-LN(2)/25))/(LN(2)/25)*Calculateur!BL35*Calculateur!BN35*VLOOKUP('Données projet'!$B$11,Paramètres!$A$1:$I$88,3,0)*0.475*44/12</f>
        <v>4.9316223405591568</v>
      </c>
      <c r="BR35" s="23">
        <f>EXP(-LN(2)/2)*BR34+(1-EXP(-LN(2)/2))/(LN(2)/2)*BL35*BO35*VLOOKUP('Données projet'!$B$11,Paramètres!$A$1:$I$88,3,0)*0.475*44/12</f>
        <v>0</v>
      </c>
      <c r="BS35" s="24">
        <f t="shared" si="9"/>
        <v>8.0869403211715465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projet'!$B$12,Paramètres!$A$1:$I$88,3,0)*0.475*44/12</f>
        <v>#N/A</v>
      </c>
      <c r="CL35" s="23" t="e">
        <f>EXP(-LN(2)/25)*CL34+(1-EXP(-LN(2)/25))/(LN(2)/25)*Calculateur!CG35*Calculateur!CI35*VLOOKUP('Données projet'!$B$12,Paramètres!$A$1:$I$88,3,0)*0.475*44/12</f>
        <v>#N/A</v>
      </c>
      <c r="CM35" s="23" t="e">
        <f>EXP(-LN(2)/2)*CM34+(1-EXP(-LN(2)/2))/(LN(2)/2)*CG35*CJ35*VLOOKUP('Données projet'!$B$12,Paramètres!$A$1:$I$88,3,0)*0.475*44/12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24.195599999999999</v>
      </c>
      <c r="D36" s="12">
        <f t="shared" si="32"/>
        <v>7.6952289313442845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246.17481982090328</v>
      </c>
      <c r="H36" s="70">
        <f t="shared" si="1"/>
        <v>348.87652705542462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12.333333333333334</v>
      </c>
      <c r="N36" s="14">
        <f>IF('Données projet'!$A$36&gt;35,N35+M36-V35,IF(A36&lt;'Données projet'!$A$36,$K$205^A36,IF(A36='Données projet'!$A$36,'Données projet'!$B$36,N35+M36-V35)))</f>
        <v>217.66666666666674</v>
      </c>
      <c r="O36" s="14">
        <f>N36*VLOOKUP('Données projet'!$B$9,Paramètres!$A$1:$I$88,3,0)*VLOOKUP('Données projet'!$B$9,Paramètres!$A$1:$I$88,5,0)</f>
        <v>121.6756666666667</v>
      </c>
      <c r="P36" s="14">
        <f t="shared" si="33"/>
        <v>32.065505044783222</v>
      </c>
      <c r="Q36" s="22">
        <f t="shared" si="53"/>
        <v>267.76587406410857</v>
      </c>
      <c r="R36" s="62">
        <f t="shared" si="0"/>
        <v>561.09920739744189</v>
      </c>
      <c r="S36" s="62">
        <f ca="1">AVERAGE(OFFSET($R$3,0,0,'Données projet'!$E$9+1,1))-AVERAGE(OFFSET($H$3,0,0,'Données projet'!$E$9+1,1))</f>
        <v>222.18341301864729</v>
      </c>
      <c r="T36" s="62">
        <f t="shared" si="34"/>
        <v>172.63628480089358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</v>
      </c>
      <c r="AI36" s="14">
        <f>IF('Données projet'!$A$62&gt;35,AI35+AH36-AQ35,IF(A36&lt;'Données projet'!$A$62,$AF$205^A36,IF(A36='Données projet'!$A$62,'Données projet'!$B$62,AI35+AH36-AQ35)))</f>
        <v>137.4</v>
      </c>
      <c r="AJ36" s="14">
        <f>AI36*VLOOKUP('Données projet'!$B$10,Paramètres!$A$1:$I$88,3,0)*VLOOKUP('Données projet'!$B$10,Paramètres!$A$1:$I$88,5,0)</f>
        <v>64.303200000000004</v>
      </c>
      <c r="AK36" s="14">
        <f t="shared" si="35"/>
        <v>18.251828429815372</v>
      </c>
      <c r="AL36" s="22">
        <f t="shared" si="4"/>
        <v>143.78334118192845</v>
      </c>
      <c r="AM36" s="62">
        <f t="shared" si="5"/>
        <v>437.11667451526176</v>
      </c>
      <c r="AN36" s="62">
        <f ca="1">AVERAGE(OFFSET($AM$3,0,0,'Données projet'!$E$10+1,1))-AVERAGE(OFFSET($H$3,0,0,'Données projet'!$E$10+1,1))</f>
        <v>82.840015321739202</v>
      </c>
      <c r="AO36" s="62">
        <f t="shared" si="36"/>
        <v>101.40622074610098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3.7196155914297075</v>
      </c>
      <c r="AV36" s="23">
        <f>EXP(-LN(2)/25)*AV35+(1-EXP(-LN(2)/25))/(LN(2)/25)*Calculateur!AQ36*Calculateur!AS36*VLOOKUP('Données projet'!$B$10,Paramètres!$A$1:$I$88,3,0)*0.475*44/12</f>
        <v>11.100001371249483</v>
      </c>
      <c r="AW36" s="23">
        <f>EXP(-LN(2)/2)*AW35+(1-EXP(-LN(2)/2))/(LN(2)/2)*AQ36*AT36*VLOOKUP('Données projet'!$B$10,Paramètres!$A$1:$I$88,3,0)*0.475*44/12</f>
        <v>0</v>
      </c>
      <c r="AX36" s="23">
        <f t="shared" si="6"/>
        <v>14.819616962679191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7.9833333333333316</v>
      </c>
      <c r="BD36" s="13">
        <f>IF('Données projet'!$A$88&gt;35,BD35+BC36-BL35,IF(A36&lt;'Données projet'!$A$88,$BA$205^A36,IF(A36='Données projet'!$A$88,'Données projet'!$B$88,BD35+BC36-BL35)))</f>
        <v>135.01666666666668</v>
      </c>
      <c r="BE36" s="14">
        <f>BD36*VLOOKUP('Données projet'!$B$11,Paramètres!$A$1:$I$88,3,0)*VLOOKUP('Données projet'!$B$11,Paramètres!$A$1:$I$88,5,0)</f>
        <v>80.739966666666675</v>
      </c>
      <c r="BF36" s="14">
        <f t="shared" si="37"/>
        <v>22.318012762182061</v>
      </c>
      <c r="BG36" s="22">
        <f t="shared" si="7"/>
        <v>179.49264750524489</v>
      </c>
      <c r="BH36" s="62">
        <f t="shared" si="8"/>
        <v>472.82598083857818</v>
      </c>
      <c r="BI36" s="62">
        <f ca="1">AVERAGE(OFFSET($BH$3,0,0,'Données projet'!$E$11+1,1))-AVERAGE(OFFSET($H$3,0,0,'Données projet'!$E$11+1,1))</f>
        <v>83.354474428753292</v>
      </c>
      <c r="BJ36" s="62">
        <f t="shared" si="38"/>
        <v>97.75861379589162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3.0934441195665139</v>
      </c>
      <c r="BQ36" s="23">
        <f>EXP(-LN(2)/25)*BQ35+(1-EXP(-LN(2)/25))/(LN(2)/25)*Calculateur!BL36*Calculateur!BN36*VLOOKUP('Données projet'!$B$11,Paramètres!$A$1:$I$88,3,0)*0.475*44/12</f>
        <v>4.7967668683138189</v>
      </c>
      <c r="BR36" s="23">
        <f>EXP(-LN(2)/2)*BR35+(1-EXP(-LN(2)/2))/(LN(2)/2)*BL36*BO36*VLOOKUP('Données projet'!$B$11,Paramètres!$A$1:$I$88,3,0)*0.475*44/12</f>
        <v>0</v>
      </c>
      <c r="BS36" s="24">
        <f t="shared" si="9"/>
        <v>7.8902109878803328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projet'!$B$12,Paramètres!$A$1:$I$88,3,0)*0.475*44/12</f>
        <v>#N/A</v>
      </c>
      <c r="CL36" s="23" t="e">
        <f>EXP(-LN(2)/25)*CL35+(1-EXP(-LN(2)/25))/(LN(2)/25)*Calculateur!CG36*Calculateur!CI36*VLOOKUP('Données projet'!$B$12,Paramètres!$A$1:$I$88,3,0)*0.475*44/12</f>
        <v>#N/A</v>
      </c>
      <c r="CM36" s="23" t="e">
        <f>EXP(-LN(2)/2)*CM35+(1-EXP(-LN(2)/2))/(LN(2)/2)*CG36*CJ36*VLOOKUP('Données projet'!$B$12,Paramètres!$A$1:$I$88,3,0)*0.475*44/12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24.928799999999999</v>
      </c>
      <c r="D37" s="12">
        <f t="shared" si="32"/>
        <v>7.9009151595869396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253.42236263540795</v>
      </c>
      <c r="H37" s="70">
        <f t="shared" si="1"/>
        <v>350.51175390294725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230</v>
      </c>
      <c r="L37" s="13">
        <f>VLOOKUP(A37,'Données projet'!$A$35:$I$55,9,0)</f>
        <v>12.333333333333334</v>
      </c>
      <c r="M37" s="13">
        <f t="array" ref="M37">INDEX(L:L,MIN(IF(ISNUMBER(L37:L233),ROW(L37:L233),"")))</f>
        <v>12.333333333333334</v>
      </c>
      <c r="N37" s="14">
        <f>IF('Données projet'!$A$36&gt;35,N36+M37-V36,IF(A37&lt;'Données projet'!$A$36,$K$205^A37,IF(A37='Données projet'!$A$36,'Données projet'!$B$36,N36+M37-V36)))</f>
        <v>230.00000000000009</v>
      </c>
      <c r="O37" s="14">
        <f>N37*VLOOKUP('Données projet'!$B$9,Paramètres!$A$1:$I$88,3,0)*VLOOKUP('Données projet'!$B$9,Paramètres!$A$1:$I$88,5,0)</f>
        <v>128.57000000000005</v>
      </c>
      <c r="P37" s="14">
        <f t="shared" si="33"/>
        <v>33.665715905233277</v>
      </c>
      <c r="Q37" s="22">
        <f t="shared" si="53"/>
        <v>282.56053853494797</v>
      </c>
      <c r="R37" s="62">
        <f t="shared" si="0"/>
        <v>575.89387186828128</v>
      </c>
      <c r="S37" s="62">
        <f ca="1">AVERAGE(OFFSET($R$3,0,0,'Données projet'!$E$9+1,1))-AVERAGE(OFFSET($H$3,0,0,'Données projet'!$E$9+1,1))</f>
        <v>222.18341301864729</v>
      </c>
      <c r="T37" s="62">
        <f t="shared" si="34"/>
        <v>172.63628480089358</v>
      </c>
      <c r="U37" s="16">
        <f>IF(ISNA(VLOOKUP(A37,'Données projet'!$A$35:$I$55,3,0)),0,VLOOKUP(A37,'Données projet'!$A$35:$I$55,3,0))</f>
        <v>2</v>
      </c>
      <c r="V37" s="16">
        <f>IF(ISNA(VLOOKUP(A37,'Données projet'!$A$35:$I$55,4,0)),0,VLOOKUP(A37,'Données projet'!$A$35:$I$55,4,0))</f>
        <v>48</v>
      </c>
      <c r="W37" s="17">
        <f>IF(ISNA(VLOOKUP(A37,'Données projet'!$A$35:$I$55,5,0)),0%,VLOOKUP(A37,'Données projet'!$A$35:$I$55,5,0)*VLOOKUP('Données projet'!$B$9,Paramètres!$A$1:$I$88,7,0))</f>
        <v>0.16500000000000001</v>
      </c>
      <c r="X37" s="17">
        <f>IF(ISNA(VLOOKUP(A37,'Données projet'!$A$35:$I$55,6,0)),0%,VLOOKUP(A37,'Données projet'!$A$35:$I$55,6,0)*VLOOKUP('Données projet'!$B$9,Paramètres!$A$1:$I$88,7,0))</f>
        <v>0.27500000000000002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5.8730722822783683</v>
      </c>
      <c r="AA37" s="23">
        <f>EXP(-LN(2)/25)*AA36+(1-EXP(-LN(2)/25))/(LN(2)/25)*Calculateur!V37*Calculateur!X37*VLOOKUP('Données projet'!$B$9,Paramètres!$A$1:$I$88,3,0)*0.475*44/12</f>
        <v>9.7499129314784287</v>
      </c>
      <c r="AB37" s="23">
        <f>EXP(-LN(2)/2)*AB36+(1-EXP(-LN(2)/2))/(LN(2)/2)*V37*Y37*VLOOKUP('Données projet'!$B$9,Paramètres!$A$1:$I$88,3,0)*0.475*44/12</f>
        <v>0</v>
      </c>
      <c r="AC37" s="24">
        <f t="shared" si="3"/>
        <v>15.622985213756797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</v>
      </c>
      <c r="AI37" s="14">
        <f>IF('Données projet'!$A$62&gt;35,AI36+AH37-AQ36,IF(A37&lt;'Données projet'!$A$62,$AF$205^A37,IF(A37='Données projet'!$A$62,'Données projet'!$B$62,AI36+AH37-AQ36)))</f>
        <v>144.4</v>
      </c>
      <c r="AJ37" s="14">
        <f>AI37*VLOOKUP('Données projet'!$B$10,Paramètres!$A$1:$I$88,3,0)*VLOOKUP('Données projet'!$B$10,Paramètres!$A$1:$I$88,5,0)</f>
        <v>67.5792</v>
      </c>
      <c r="AK37" s="14">
        <f t="shared" si="35"/>
        <v>19.07106176040384</v>
      </c>
      <c r="AL37" s="22">
        <f t="shared" si="4"/>
        <v>150.91587256603668</v>
      </c>
      <c r="AM37" s="62">
        <f t="shared" si="5"/>
        <v>444.24920589937</v>
      </c>
      <c r="AN37" s="62">
        <f ca="1">AVERAGE(OFFSET($AM$3,0,0,'Données projet'!$E$10+1,1))-AVERAGE(OFFSET($H$3,0,0,'Données projet'!$E$10+1,1))</f>
        <v>82.840015321739202</v>
      </c>
      <c r="AO37" s="62">
        <f t="shared" si="36"/>
        <v>101.40622074610098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3.6466761984232621</v>
      </c>
      <c r="AV37" s="23">
        <f>EXP(-LN(2)/25)*AV36+(1-EXP(-LN(2)/25))/(LN(2)/25)*Calculateur!AQ37*Calculateur!AS37*VLOOKUP('Données projet'!$B$10,Paramètres!$A$1:$I$88,3,0)*0.475*44/12</f>
        <v>10.796471250028963</v>
      </c>
      <c r="AW37" s="23">
        <f>EXP(-LN(2)/2)*AW36+(1-EXP(-LN(2)/2))/(LN(2)/2)*AQ37*AT37*VLOOKUP('Données projet'!$B$10,Paramètres!$A$1:$I$88,3,0)*0.475*44/12</f>
        <v>0</v>
      </c>
      <c r="AX37" s="23">
        <f t="shared" si="6"/>
        <v>14.443147448452226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>
        <f>VLOOKUP(A37,'Données projet'!$A$87:$I$107,2,0)</f>
        <v>143</v>
      </c>
      <c r="BB37" s="13">
        <f>VLOOKUP(A37,'Données projet'!$A$87:$I$107,9,0)</f>
        <v>7.9833333333333316</v>
      </c>
      <c r="BC37" s="13">
        <f t="array" ref="BC37">INDEX(BB:BB,MIN(IF(ISNUMBER(BB37:BB233),ROW(BB37:BB233),"")))</f>
        <v>7.9833333333333316</v>
      </c>
      <c r="BD37" s="13">
        <f>IF('Données projet'!$A$88&gt;35,BD36+BC37-BL36,IF(A37&lt;'Données projet'!$A$88,$BA$205^A37,IF(A37='Données projet'!$A$88,'Données projet'!$B$88,BD36+BC37-BL36)))</f>
        <v>143</v>
      </c>
      <c r="BE37" s="14">
        <f>BD37*VLOOKUP('Données projet'!$B$11,Paramètres!$A$1:$I$88,3,0)*VLOOKUP('Données projet'!$B$11,Paramètres!$A$1:$I$88,5,0)</f>
        <v>85.51400000000001</v>
      </c>
      <c r="BF37" s="14">
        <f t="shared" si="37"/>
        <v>23.480111436812177</v>
      </c>
      <c r="BG37" s="22">
        <f t="shared" si="7"/>
        <v>189.83141075244791</v>
      </c>
      <c r="BH37" s="62">
        <f t="shared" si="8"/>
        <v>483.16474408578119</v>
      </c>
      <c r="BI37" s="62">
        <f ca="1">AVERAGE(OFFSET($BH$3,0,0,'Données projet'!$E$11+1,1))-AVERAGE(OFFSET($H$3,0,0,'Données projet'!$E$11+1,1))</f>
        <v>83.354474428753292</v>
      </c>
      <c r="BJ37" s="62">
        <f t="shared" si="38"/>
        <v>97.75861379589162</v>
      </c>
      <c r="BK37" s="16">
        <f>IF(ISNA(VLOOKUP(A37,'Données projet'!$A$87:$I$107,3,0)),0,VLOOKUP(A37,'Données projet'!$A$87:$I$107,3,0))</f>
        <v>6</v>
      </c>
      <c r="BL37" s="16">
        <f>IF(ISNA(VLOOKUP(A37,'Données projet'!$A$87:$I$107,4,0)),0,VLOOKUP(A37,'Données projet'!$A$87:$I$107,4,0))</f>
        <v>24.8</v>
      </c>
      <c r="BM37" s="17">
        <f>IF(ISNA(VLOOKUP(A37,'Données projet'!$A$87:$I$107,5,0)),0%,VLOOKUP(A37,'Données projet'!$A$87:$I$107,5,0)*VLOOKUP('Données projet'!$B$11,Paramètres!$A$1:$I$88,7,0))</f>
        <v>0.13500000000000001</v>
      </c>
      <c r="BN37" s="17">
        <f>IF(ISNA(VLOOKUP(A37,'Données projet'!$A$87:$I$107,6,0)),0%,VLOOKUP(A37,'Données projet'!$A$87:$I$107,6,0)*VLOOKUP('Données projet'!$B$11,Paramètres!$A$1:$I$88,7,0))</f>
        <v>0.22500000000000001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5.6887035696897463</v>
      </c>
      <c r="BQ37" s="23">
        <f>EXP(-LN(2)/25)*BQ36+(1-EXP(-LN(2)/25))/(LN(2)/25)*Calculateur!BL37*Calculateur!BN37*VLOOKUP('Données projet'!$B$11,Paramètres!$A$1:$I$88,3,0)*0.475*44/12</f>
        <v>9.0747034151465211</v>
      </c>
      <c r="BR37" s="23">
        <f>EXP(-LN(2)/2)*BR36+(1-EXP(-LN(2)/2))/(LN(2)/2)*BL37*BO37*VLOOKUP('Données projet'!$B$11,Paramètres!$A$1:$I$88,3,0)*0.475*44/12</f>
        <v>0</v>
      </c>
      <c r="BS37" s="24">
        <f t="shared" si="9"/>
        <v>14.763406984836267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projet'!$B$12,Paramètres!$A$1:$I$88,3,0)*0.475*44/12</f>
        <v>#N/A</v>
      </c>
      <c r="CL37" s="23" t="e">
        <f>EXP(-LN(2)/25)*CL36+(1-EXP(-LN(2)/25))/(LN(2)/25)*Calculateur!CG37*Calculateur!CI37*VLOOKUP('Données projet'!$B$12,Paramètres!$A$1:$I$88,3,0)*0.475*44/12</f>
        <v>#N/A</v>
      </c>
      <c r="CM37" s="23" t="e">
        <f>EXP(-LN(2)/2)*CM36+(1-EXP(-LN(2)/2))/(LN(2)/2)*CG37*CJ37*VLOOKUP('Données projet'!$B$12,Paramètres!$A$1:$I$88,3,0)*0.475*44/12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25.661999999999999</v>
      </c>
      <c r="D38" s="12">
        <f t="shared" si="32"/>
        <v>8.1058983118768086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260.66447819694378</v>
      </c>
      <c r="H38" s="70">
        <f t="shared" si="1"/>
        <v>352.14575622651876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12.3</v>
      </c>
      <c r="N38" s="14">
        <f>IF('Données projet'!$A$36&gt;35,N37+M38-V37,IF(A38&lt;'Données projet'!$A$36,$K$205^A38,IF(A38='Données projet'!$A$36,'Données projet'!$B$36,N37+M38-V37)))</f>
        <v>194.3000000000001</v>
      </c>
      <c r="O38" s="14">
        <f>N38*VLOOKUP('Données projet'!$B$9,Paramètres!$A$1:$I$88,3,0)*VLOOKUP('Données projet'!$B$9,Paramètres!$A$1:$I$88,5,0)</f>
        <v>108.61370000000005</v>
      </c>
      <c r="P38" s="14">
        <f t="shared" si="33"/>
        <v>29.004120777613387</v>
      </c>
      <c r="Q38" s="22">
        <f t="shared" si="53"/>
        <v>239.6843711876767</v>
      </c>
      <c r="R38" s="62">
        <f t="shared" si="0"/>
        <v>533.01770452101005</v>
      </c>
      <c r="S38" s="62">
        <f ca="1">AVERAGE(OFFSET($R$3,0,0,'Données projet'!$E$9+1,1))-AVERAGE(OFFSET($H$3,0,0,'Données projet'!$E$9+1,1))</f>
        <v>222.18341301864729</v>
      </c>
      <c r="T38" s="62">
        <f t="shared" si="34"/>
        <v>172.63628480089358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5.757904917043267</v>
      </c>
      <c r="AA38" s="23">
        <f>EXP(-LN(2)/25)*AA37+(1-EXP(-LN(2)/25))/(LN(2)/25)*Calculateur!V38*Calculateur!X38*VLOOKUP('Données projet'!$B$9,Paramètres!$A$1:$I$88,3,0)*0.475*44/12</f>
        <v>9.4833010496415131</v>
      </c>
      <c r="AB38" s="23">
        <f>EXP(-LN(2)/2)*AB37+(1-EXP(-LN(2)/2))/(LN(2)/2)*V38*Y38*VLOOKUP('Données projet'!$B$9,Paramètres!$A$1:$I$88,3,0)*0.475*44/12</f>
        <v>0</v>
      </c>
      <c r="AC38" s="24">
        <f t="shared" si="3"/>
        <v>15.241205966684781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7</v>
      </c>
      <c r="AI38" s="14">
        <f>IF('Données projet'!$A$62&gt;35,AI37+AH38-AQ37,IF(A38&lt;'Données projet'!$A$62,$AF$205^A38,IF(A38='Données projet'!$A$62,'Données projet'!$B$62,AI37+AH38-AQ37)))</f>
        <v>151.4</v>
      </c>
      <c r="AJ38" s="14">
        <f>AI38*VLOOKUP('Données projet'!$B$10,Paramètres!$A$1:$I$88,3,0)*VLOOKUP('Données projet'!$B$10,Paramètres!$A$1:$I$88,5,0)</f>
        <v>70.855199999999996</v>
      </c>
      <c r="AK38" s="14">
        <f t="shared" si="35"/>
        <v>19.88568354699288</v>
      </c>
      <c r="AL38" s="22">
        <f t="shared" si="4"/>
        <v>158.04037217767925</v>
      </c>
      <c r="AM38" s="62">
        <f t="shared" si="5"/>
        <v>451.37370551101253</v>
      </c>
      <c r="AN38" s="62">
        <f ca="1">AVERAGE(OFFSET($AM$3,0,0,'Données projet'!$E$10+1,1))-AVERAGE(OFFSET($H$3,0,0,'Données projet'!$E$10+1,1))</f>
        <v>82.840015321739202</v>
      </c>
      <c r="AO38" s="62">
        <f t="shared" si="36"/>
        <v>101.40622074610098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3.575167102425036</v>
      </c>
      <c r="AV38" s="23">
        <f>EXP(-LN(2)/25)*AV37+(1-EXP(-LN(2)/25))/(LN(2)/25)*Calculateur!AQ38*Calculateur!AS38*VLOOKUP('Données projet'!$B$10,Paramètres!$A$1:$I$88,3,0)*0.475*44/12</f>
        <v>10.501241175935174</v>
      </c>
      <c r="AW38" s="23">
        <f>EXP(-LN(2)/2)*AW37+(1-EXP(-LN(2)/2))/(LN(2)/2)*AQ38*AT38*VLOOKUP('Données projet'!$B$10,Paramètres!$A$1:$I$88,3,0)*0.475*44/12</f>
        <v>0</v>
      </c>
      <c r="AX38" s="23">
        <f t="shared" si="6"/>
        <v>14.07640827836021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7.2333333333333316</v>
      </c>
      <c r="BD38" s="13">
        <f>IF('Données projet'!$A$88&gt;35,BD37+BC38-BL37,IF(A38&lt;'Données projet'!$A$88,$BA$205^A38,IF(A38='Données projet'!$A$88,'Données projet'!$B$88,BD37+BC38-BL37)))</f>
        <v>125.43333333333332</v>
      </c>
      <c r="BE38" s="14">
        <f>BD38*VLOOKUP('Données projet'!$B$11,Paramètres!$A$1:$I$88,3,0)*VLOOKUP('Données projet'!$B$11,Paramètres!$A$1:$I$88,5,0)</f>
        <v>75.009133333333324</v>
      </c>
      <c r="BF38" s="14">
        <f t="shared" si="37"/>
        <v>20.912354179755969</v>
      </c>
      <c r="BG38" s="22">
        <f t="shared" si="7"/>
        <v>167.06325741863051</v>
      </c>
      <c r="BH38" s="62">
        <f t="shared" si="8"/>
        <v>460.3965907519638</v>
      </c>
      <c r="BI38" s="62">
        <f ca="1">AVERAGE(OFFSET($BH$3,0,0,'Données projet'!$E$11+1,1))-AVERAGE(OFFSET($H$3,0,0,'Données projet'!$E$11+1,1))</f>
        <v>83.354474428753292</v>
      </c>
      <c r="BJ38" s="62">
        <f t="shared" si="38"/>
        <v>97.75861379589162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5.5771515624546968</v>
      </c>
      <c r="BQ38" s="23">
        <f>EXP(-LN(2)/25)*BQ37+(1-EXP(-LN(2)/25))/(LN(2)/25)*Calculateur!BL38*Calculateur!BN38*VLOOKUP('Données projet'!$B$11,Paramètres!$A$1:$I$88,3,0)*0.475*44/12</f>
        <v>8.8265551730414273</v>
      </c>
      <c r="BR38" s="23">
        <f>EXP(-LN(2)/2)*BR37+(1-EXP(-LN(2)/2))/(LN(2)/2)*BL38*BO38*VLOOKUP('Données projet'!$B$11,Paramètres!$A$1:$I$88,3,0)*0.475*44/12</f>
        <v>0</v>
      </c>
      <c r="BS38" s="24">
        <f t="shared" si="9"/>
        <v>14.403706735496124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projet'!$B$12,Paramètres!$A$1:$I$88,3,0)*0.475*44/12</f>
        <v>#N/A</v>
      </c>
      <c r="CL38" s="23" t="e">
        <f>EXP(-LN(2)/25)*CL37+(1-EXP(-LN(2)/25))/(LN(2)/25)*Calculateur!CG38*Calculateur!CI38*VLOOKUP('Données projet'!$B$12,Paramètres!$A$1:$I$88,3,0)*0.475*44/12</f>
        <v>#N/A</v>
      </c>
      <c r="CM38" s="23" t="e">
        <f>EXP(-LN(2)/2)*CM37+(1-EXP(-LN(2)/2))/(LN(2)/2)*CG38*CJ38*VLOOKUP('Données projet'!$B$12,Paramètres!$A$1:$I$88,3,0)*0.475*44/12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26.395199999999999</v>
      </c>
      <c r="D39" s="12">
        <f t="shared" si="32"/>
        <v>8.3102007832524443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267.90133937949253</v>
      </c>
      <c r="H39" s="70">
        <f t="shared" si="1"/>
        <v>353.77857303083135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12.3</v>
      </c>
      <c r="N39" s="14">
        <f>IF('Données projet'!$A$36&gt;35,N38+M39-V38,IF(A39&lt;'Données projet'!$A$36,$K$205^A39,IF(A39='Données projet'!$A$36,'Données projet'!$B$36,N38+M39-V38)))</f>
        <v>206.60000000000011</v>
      </c>
      <c r="O39" s="14">
        <f>N39*VLOOKUP('Données projet'!$B$9,Paramètres!$A$1:$I$88,3,0)*VLOOKUP('Données projet'!$B$9,Paramètres!$A$1:$I$88,5,0)</f>
        <v>115.48940000000007</v>
      </c>
      <c r="P39" s="14">
        <f t="shared" si="33"/>
        <v>30.620641619091266</v>
      </c>
      <c r="Q39" s="22">
        <f t="shared" si="53"/>
        <v>254.47498915325073</v>
      </c>
      <c r="R39" s="62">
        <f t="shared" si="0"/>
        <v>547.80832248658407</v>
      </c>
      <c r="S39" s="62">
        <f ca="1">AVERAGE(OFFSET($R$3,0,0,'Données projet'!$E$9+1,1))-AVERAGE(OFFSET($H$3,0,0,'Données projet'!$E$9+1,1))</f>
        <v>222.18341301864729</v>
      </c>
      <c r="T39" s="62">
        <f t="shared" si="34"/>
        <v>172.63628480089358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5.6449959135952694</v>
      </c>
      <c r="AA39" s="23">
        <f>EXP(-LN(2)/25)*AA38+(1-EXP(-LN(2)/25))/(LN(2)/25)*Calculateur!V39*Calculateur!X39*VLOOKUP('Données projet'!$B$9,Paramètres!$A$1:$I$88,3,0)*0.475*44/12</f>
        <v>9.2239796837339387</v>
      </c>
      <c r="AB39" s="23">
        <f>EXP(-LN(2)/2)*AB38+(1-EXP(-LN(2)/2))/(LN(2)/2)*V39*Y39*VLOOKUP('Données projet'!$B$9,Paramètres!$A$1:$I$88,3,0)*0.475*44/12</f>
        <v>0</v>
      </c>
      <c r="AC39" s="24">
        <f t="shared" si="3"/>
        <v>14.868975597329207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</v>
      </c>
      <c r="AI39" s="14">
        <f>IF('Données projet'!$A$62&gt;35,AI38+AH39-AQ38,IF(A39&lt;'Données projet'!$A$62,$AF$205^A39,IF(A39='Données projet'!$A$62,'Données projet'!$B$62,AI38+AH39-AQ38)))</f>
        <v>158.4</v>
      </c>
      <c r="AJ39" s="14">
        <f>AI39*VLOOKUP('Données projet'!$B$10,Paramètres!$A$1:$I$88,3,0)*VLOOKUP('Données projet'!$B$10,Paramètres!$A$1:$I$88,5,0)</f>
        <v>74.131200000000007</v>
      </c>
      <c r="AK39" s="14">
        <f t="shared" si="35"/>
        <v>20.695931356882326</v>
      </c>
      <c r="AL39" s="22">
        <f t="shared" si="4"/>
        <v>165.15725377990339</v>
      </c>
      <c r="AM39" s="62">
        <f t="shared" si="5"/>
        <v>458.4905871132367</v>
      </c>
      <c r="AN39" s="62">
        <f ca="1">AVERAGE(OFFSET($AM$3,0,0,'Données projet'!$E$10+1,1))-AVERAGE(OFFSET($H$3,0,0,'Données projet'!$E$10+1,1))</f>
        <v>82.840015321739202</v>
      </c>
      <c r="AO39" s="62">
        <f t="shared" si="36"/>
        <v>101.40622074610098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3.5050602561830937</v>
      </c>
      <c r="AV39" s="23">
        <f>EXP(-LN(2)/25)*AV38+(1-EXP(-LN(2)/25))/(LN(2)/25)*Calculateur!AQ39*Calculateur!AS39*VLOOKUP('Données projet'!$B$10,Paramètres!$A$1:$I$88,3,0)*0.475*44/12</f>
        <v>10.214084183742955</v>
      </c>
      <c r="AW39" s="23">
        <f>EXP(-LN(2)/2)*AW38+(1-EXP(-LN(2)/2))/(LN(2)/2)*AQ39*AT39*VLOOKUP('Données projet'!$B$10,Paramètres!$A$1:$I$88,3,0)*0.475*44/12</f>
        <v>0</v>
      </c>
      <c r="AX39" s="23">
        <f t="shared" si="6"/>
        <v>13.719144439926048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7.2333333333333316</v>
      </c>
      <c r="BD39" s="13">
        <f>IF('Données projet'!$A$88&gt;35,BD38+BC39-BL38,IF(A39&lt;'Données projet'!$A$88,$BA$205^A39,IF(A39='Données projet'!$A$88,'Données projet'!$B$88,BD38+BC39-BL38)))</f>
        <v>132.66666666666666</v>
      </c>
      <c r="BE39" s="14">
        <f>BD39*VLOOKUP('Données projet'!$B$11,Paramètres!$A$1:$I$88,3,0)*VLOOKUP('Données projet'!$B$11,Paramètres!$A$1:$I$88,5,0)</f>
        <v>79.334666666666664</v>
      </c>
      <c r="BF39" s="14">
        <f t="shared" si="37"/>
        <v>21.974427684248383</v>
      </c>
      <c r="BG39" s="22">
        <f t="shared" si="7"/>
        <v>176.44667266117702</v>
      </c>
      <c r="BH39" s="62">
        <f t="shared" si="8"/>
        <v>469.78000599451036</v>
      </c>
      <c r="BI39" s="62">
        <f ca="1">AVERAGE(OFFSET($BH$3,0,0,'Données projet'!$E$11+1,1))-AVERAGE(OFFSET($H$3,0,0,'Données projet'!$E$11+1,1))</f>
        <v>83.354474428753292</v>
      </c>
      <c r="BJ39" s="62">
        <f t="shared" si="38"/>
        <v>97.75861379589162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5.467787022041521</v>
      </c>
      <c r="BQ39" s="23">
        <f>EXP(-LN(2)/25)*BQ38+(1-EXP(-LN(2)/25))/(LN(2)/25)*Calculateur!BL39*Calculateur!BN39*VLOOKUP('Données projet'!$B$11,Paramètres!$A$1:$I$88,3,0)*0.475*44/12</f>
        <v>8.5851925576662467</v>
      </c>
      <c r="BR39" s="23">
        <f>EXP(-LN(2)/2)*BR38+(1-EXP(-LN(2)/2))/(LN(2)/2)*BL39*BO39*VLOOKUP('Données projet'!$B$11,Paramètres!$A$1:$I$88,3,0)*0.475*44/12</f>
        <v>0</v>
      </c>
      <c r="BS39" s="24">
        <f t="shared" si="9"/>
        <v>14.052979579707767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projet'!$B$12,Paramètres!$A$1:$I$88,3,0)*0.475*44/12</f>
        <v>#N/A</v>
      </c>
      <c r="CL39" s="23" t="e">
        <f>EXP(-LN(2)/25)*CL38+(1-EXP(-LN(2)/25))/(LN(2)/25)*Calculateur!CG39*Calculateur!CI39*VLOOKUP('Données projet'!$B$12,Paramètres!$A$1:$I$88,3,0)*0.475*44/12</f>
        <v>#N/A</v>
      </c>
      <c r="CM39" s="23" t="e">
        <f>EXP(-LN(2)/2)*CM38+(1-EXP(-LN(2)/2))/(LN(2)/2)*CG39*CJ39*VLOOKUP('Données projet'!$B$12,Paramètres!$A$1:$I$88,3,0)*0.475*44/12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27.128399999999999</v>
      </c>
      <c r="D40" s="12">
        <f t="shared" si="32"/>
        <v>8.5138436537878803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275.13310890643277</v>
      </c>
      <c r="H40" s="70">
        <f t="shared" si="1"/>
        <v>355.41024103034721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12.3</v>
      </c>
      <c r="N40" s="14">
        <f>IF('Données projet'!$A$36&gt;35,N39+M40-V39,IF(A40&lt;'Données projet'!$A$36,$K$205^A40,IF(A40='Données projet'!$A$36,'Données projet'!$B$36,N39+M40-V39)))</f>
        <v>218.90000000000012</v>
      </c>
      <c r="O40" s="14">
        <f>N40*VLOOKUP('Données projet'!$B$9,Paramètres!$A$1:$I$88,3,0)*VLOOKUP('Données projet'!$B$9,Paramètres!$A$1:$I$88,5,0)</f>
        <v>122.36510000000007</v>
      </c>
      <c r="P40" s="14">
        <f t="shared" si="33"/>
        <v>32.225991873297204</v>
      </c>
      <c r="Q40" s="22">
        <f t="shared" si="53"/>
        <v>269.24615167932609</v>
      </c>
      <c r="R40" s="62">
        <f t="shared" si="0"/>
        <v>562.57948501265946</v>
      </c>
      <c r="S40" s="62">
        <f ca="1">AVERAGE(OFFSET($R$3,0,0,'Données projet'!$E$9+1,1))-AVERAGE(OFFSET($H$3,0,0,'Données projet'!$E$9+1,1))</f>
        <v>222.18341301864729</v>
      </c>
      <c r="T40" s="62">
        <f t="shared" si="34"/>
        <v>172.63628480089358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5.5343009868371951</v>
      </c>
      <c r="AA40" s="23">
        <f>EXP(-LN(2)/25)*AA39+(1-EXP(-LN(2)/25))/(LN(2)/25)*Calculateur!V40*Calculateur!X40*VLOOKUP('Données projet'!$B$9,Paramètres!$A$1:$I$88,3,0)*0.475*44/12</f>
        <v>8.9717494742142243</v>
      </c>
      <c r="AB40" s="23">
        <f>EXP(-LN(2)/2)*AB39+(1-EXP(-LN(2)/2))/(LN(2)/2)*V40*Y40*VLOOKUP('Données projet'!$B$9,Paramètres!$A$1:$I$88,3,0)*0.475*44/12</f>
        <v>0</v>
      </c>
      <c r="AC40" s="24">
        <f t="shared" si="3"/>
        <v>14.506050461051419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</v>
      </c>
      <c r="AI40" s="14">
        <f>IF('Données projet'!$A$62&gt;35,AI39+AH40-AQ39,IF(A40&lt;'Données projet'!$A$62,$AF$205^A40,IF(A40='Données projet'!$A$62,'Données projet'!$B$62,AI39+AH40-AQ39)))</f>
        <v>165.4</v>
      </c>
      <c r="AJ40" s="14">
        <f>AI40*VLOOKUP('Données projet'!$B$10,Paramètres!$A$1:$I$88,3,0)*VLOOKUP('Données projet'!$B$10,Paramètres!$A$1:$I$88,5,0)</f>
        <v>77.407200000000003</v>
      </c>
      <c r="AK40" s="14">
        <f t="shared" si="35"/>
        <v>21.502020573066307</v>
      </c>
      <c r="AL40" s="22">
        <f t="shared" si="4"/>
        <v>172.26689249809047</v>
      </c>
      <c r="AM40" s="62">
        <f t="shared" si="5"/>
        <v>465.60022583142381</v>
      </c>
      <c r="AN40" s="62">
        <f ca="1">AVERAGE(OFFSET($AM$3,0,0,'Données projet'!$E$10+1,1))-AVERAGE(OFFSET($H$3,0,0,'Données projet'!$E$10+1,1))</f>
        <v>82.840015321739202</v>
      </c>
      <c r="AO40" s="62">
        <f t="shared" si="36"/>
        <v>101.40622074610098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3.4363281624350019</v>
      </c>
      <c r="AV40" s="23">
        <f>EXP(-LN(2)/25)*AV39+(1-EXP(-LN(2)/25))/(LN(2)/25)*Calculateur!AQ40*Calculateur!AS40*VLOOKUP('Données projet'!$B$10,Paramètres!$A$1:$I$88,3,0)*0.475*44/12</f>
        <v>9.9347795146031608</v>
      </c>
      <c r="AW40" s="23">
        <f>EXP(-LN(2)/2)*AW39+(1-EXP(-LN(2)/2))/(LN(2)/2)*AQ40*AT40*VLOOKUP('Données projet'!$B$10,Paramètres!$A$1:$I$88,3,0)*0.475*44/12</f>
        <v>0</v>
      </c>
      <c r="AX40" s="23">
        <f t="shared" si="6"/>
        <v>13.371107677038163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7.2333333333333316</v>
      </c>
      <c r="BD40" s="13">
        <f>IF('Données projet'!$A$88&gt;35,BD39+BC40-BL39,IF(A40&lt;'Données projet'!$A$88,$BA$205^A40,IF(A40='Données projet'!$A$88,'Données projet'!$B$88,BD39+BC40-BL39)))</f>
        <v>139.89999999999998</v>
      </c>
      <c r="BE40" s="14">
        <f>BD40*VLOOKUP('Données projet'!$B$11,Paramètres!$A$1:$I$88,3,0)*VLOOKUP('Données projet'!$B$11,Paramètres!$A$1:$I$88,5,0)</f>
        <v>83.660200000000003</v>
      </c>
      <c r="BF40" s="14">
        <f t="shared" si="37"/>
        <v>23.029778638879005</v>
      </c>
      <c r="BG40" s="22">
        <f t="shared" si="7"/>
        <v>185.81837946271426</v>
      </c>
      <c r="BH40" s="62">
        <f t="shared" si="8"/>
        <v>479.1517127960476</v>
      </c>
      <c r="BI40" s="62">
        <f ca="1">AVERAGE(OFFSET($BH$3,0,0,'Données projet'!$E$11+1,1))-AVERAGE(OFFSET($H$3,0,0,'Données projet'!$E$11+1,1))</f>
        <v>83.354474428753292</v>
      </c>
      <c r="BJ40" s="62">
        <f t="shared" si="38"/>
        <v>97.75861379589162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5.3605670535600645</v>
      </c>
      <c r="BQ40" s="23">
        <f>EXP(-LN(2)/25)*BQ39+(1-EXP(-LN(2)/25))/(LN(2)/25)*Calculateur!BL40*Calculateur!BN40*VLOOKUP('Données projet'!$B$11,Paramètres!$A$1:$I$88,3,0)*0.475*44/12</f>
        <v>8.3504300157012086</v>
      </c>
      <c r="BR40" s="23">
        <f>EXP(-LN(2)/2)*BR39+(1-EXP(-LN(2)/2))/(LN(2)/2)*BL40*BO40*VLOOKUP('Données projet'!$B$11,Paramètres!$A$1:$I$88,3,0)*0.475*44/12</f>
        <v>0</v>
      </c>
      <c r="BS40" s="24">
        <f t="shared" si="9"/>
        <v>13.710997069261273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projet'!$B$12,Paramètres!$A$1:$I$88,3,0)*0.475*44/12</f>
        <v>#N/A</v>
      </c>
      <c r="CL40" s="23" t="e">
        <f>EXP(-LN(2)/25)*CL39+(1-EXP(-LN(2)/25))/(LN(2)/25)*Calculateur!CG40*Calculateur!CI40*VLOOKUP('Données projet'!$B$12,Paramètres!$A$1:$I$88,3,0)*0.475*44/12</f>
        <v>#N/A</v>
      </c>
      <c r="CM40" s="23" t="e">
        <f>EXP(-LN(2)/2)*CM39+(1-EXP(-LN(2)/2))/(LN(2)/2)*CG40*CJ40*VLOOKUP('Données projet'!$B$12,Paramètres!$A$1:$I$88,3,0)*0.475*44/12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27.861599999999999</v>
      </c>
      <c r="D41" s="12">
        <f t="shared" si="32"/>
        <v>8.7168467992286693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282.35994020457218</v>
      </c>
      <c r="H41" s="70">
        <f t="shared" si="1"/>
        <v>357.04079484198991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12.3</v>
      </c>
      <c r="N41" s="14">
        <f>IF('Données projet'!$A$36&gt;35,N40+M41-V40,IF(A41&lt;'Données projet'!$A$36,$K$205^A41,IF(A41='Données projet'!$A$36,'Données projet'!$B$36,N40+M41-V40)))</f>
        <v>231.20000000000013</v>
      </c>
      <c r="O41" s="14">
        <f>N41*VLOOKUP('Données projet'!$B$9,Paramètres!$A$1:$I$88,3,0)*VLOOKUP('Données projet'!$B$9,Paramètres!$A$1:$I$88,5,0)</f>
        <v>129.24080000000006</v>
      </c>
      <c r="P41" s="14">
        <f t="shared" si="33"/>
        <v>33.820870746871478</v>
      </c>
      <c r="Q41" s="22">
        <f t="shared" si="53"/>
        <v>283.99907655080125</v>
      </c>
      <c r="R41" s="62">
        <f t="shared" si="0"/>
        <v>577.33240988413456</v>
      </c>
      <c r="S41" s="62">
        <f ca="1">AVERAGE(OFFSET($R$3,0,0,'Données projet'!$E$9+1,1))-AVERAGE(OFFSET($H$3,0,0,'Données projet'!$E$9+1,1))</f>
        <v>222.18341301864729</v>
      </c>
      <c r="T41" s="62">
        <f t="shared" si="34"/>
        <v>172.63628480089358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5.425776720075608</v>
      </c>
      <c r="AA41" s="23">
        <f>EXP(-LN(2)/25)*AA40+(1-EXP(-LN(2)/25))/(LN(2)/25)*Calculateur!V41*Calculateur!X41*VLOOKUP('Données projet'!$B$9,Paramètres!$A$1:$I$88,3,0)*0.475*44/12</f>
        <v>8.7264165130380373</v>
      </c>
      <c r="AB41" s="23">
        <f>EXP(-LN(2)/2)*AB40+(1-EXP(-LN(2)/2))/(LN(2)/2)*V41*Y41*VLOOKUP('Données projet'!$B$9,Paramètres!$A$1:$I$88,3,0)*0.475*44/12</f>
        <v>0</v>
      </c>
      <c r="AC41" s="24">
        <f t="shared" si="3"/>
        <v>14.152193233113646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</v>
      </c>
      <c r="AI41" s="14">
        <f>IF('Données projet'!$A$62&gt;35,AI40+AH41-AQ40,IF(A41&lt;'Données projet'!$A$62,$AF$205^A41,IF(A41='Données projet'!$A$62,'Données projet'!$B$62,AI40+AH41-AQ40)))</f>
        <v>172.4</v>
      </c>
      <c r="AJ41" s="14">
        <f>AI41*VLOOKUP('Données projet'!$B$10,Paramètres!$A$1:$I$88,3,0)*VLOOKUP('Données projet'!$B$10,Paramètres!$A$1:$I$88,5,0)</f>
        <v>80.683199999999999</v>
      </c>
      <c r="AK41" s="14">
        <f t="shared" si="35"/>
        <v>22.304147316572479</v>
      </c>
      <c r="AL41" s="22">
        <f t="shared" si="4"/>
        <v>179.36962990969707</v>
      </c>
      <c r="AM41" s="62">
        <f t="shared" si="5"/>
        <v>472.70296324303035</v>
      </c>
      <c r="AN41" s="62">
        <f ca="1">AVERAGE(OFFSET($AM$3,0,0,'Données projet'!$E$10+1,1))-AVERAGE(OFFSET($H$3,0,0,'Données projet'!$E$10+1,1))</f>
        <v>82.840015321739202</v>
      </c>
      <c r="AO41" s="62">
        <f t="shared" si="36"/>
        <v>101.40622074610098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3.3689438631228725</v>
      </c>
      <c r="AV41" s="23">
        <f>EXP(-LN(2)/25)*AV40+(1-EXP(-LN(2)/25))/(LN(2)/25)*Calculateur!AQ41*Calculateur!AS41*VLOOKUP('Données projet'!$B$10,Paramètres!$A$1:$I$88,3,0)*0.475*44/12</f>
        <v>9.6631124463289897</v>
      </c>
      <c r="AW41" s="23">
        <f>EXP(-LN(2)/2)*AW40+(1-EXP(-LN(2)/2))/(LN(2)/2)*AQ41*AT41*VLOOKUP('Données projet'!$B$10,Paramètres!$A$1:$I$88,3,0)*0.475*44/12</f>
        <v>0</v>
      </c>
      <c r="AX41" s="23">
        <f t="shared" si="6"/>
        <v>13.032056309451862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7.2333333333333316</v>
      </c>
      <c r="BD41" s="13">
        <f>IF('Données projet'!$A$88&gt;35,BD40+BC41-BL40,IF(A41&lt;'Données projet'!$A$88,$BA$205^A41,IF(A41='Données projet'!$A$88,'Données projet'!$B$88,BD40+BC41-BL40)))</f>
        <v>147.1333333333333</v>
      </c>
      <c r="BE41" s="14">
        <f>BD41*VLOOKUP('Données projet'!$B$11,Paramètres!$A$1:$I$88,3,0)*VLOOKUP('Données projet'!$B$11,Paramètres!$A$1:$I$88,5,0)</f>
        <v>87.985733333333314</v>
      </c>
      <c r="BF41" s="14">
        <f t="shared" si="37"/>
        <v>24.078794270326789</v>
      </c>
      <c r="BG41" s="22">
        <f t="shared" si="7"/>
        <v>195.17905224304135</v>
      </c>
      <c r="BH41" s="62">
        <f t="shared" si="8"/>
        <v>488.51238557637464</v>
      </c>
      <c r="BI41" s="62">
        <f ca="1">AVERAGE(OFFSET($BH$3,0,0,'Données projet'!$E$11+1,1))-AVERAGE(OFFSET($H$3,0,0,'Données projet'!$E$11+1,1))</f>
        <v>83.354474428753292</v>
      </c>
      <c r="BJ41" s="62">
        <f t="shared" si="38"/>
        <v>97.75861379589162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5.2554496032628055</v>
      </c>
      <c r="BQ41" s="23">
        <f>EXP(-LN(2)/25)*BQ40+(1-EXP(-LN(2)/25))/(LN(2)/25)*Calculateur!BL41*Calculateur!BN41*VLOOKUP('Données projet'!$B$11,Paramètres!$A$1:$I$88,3,0)*0.475*44/12</f>
        <v>8.1220870677918295</v>
      </c>
      <c r="BR41" s="23">
        <f>EXP(-LN(2)/2)*BR40+(1-EXP(-LN(2)/2))/(LN(2)/2)*BL41*BO41*VLOOKUP('Données projet'!$B$11,Paramètres!$A$1:$I$88,3,0)*0.475*44/12</f>
        <v>0</v>
      </c>
      <c r="BS41" s="24">
        <f t="shared" si="9"/>
        <v>13.377536671054635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projet'!$B$12,Paramètres!$A$1:$I$88,3,0)*0.475*44/12</f>
        <v>#N/A</v>
      </c>
      <c r="CL41" s="23" t="e">
        <f>EXP(-LN(2)/25)*CL40+(1-EXP(-LN(2)/25))/(LN(2)/25)*Calculateur!CG41*Calculateur!CI41*VLOOKUP('Données projet'!$B$12,Paramètres!$A$1:$I$88,3,0)*0.475*44/12</f>
        <v>#N/A</v>
      </c>
      <c r="CM41" s="23" t="e">
        <f>EXP(-LN(2)/2)*CM40+(1-EXP(-LN(2)/2))/(LN(2)/2)*CG41*CJ41*VLOOKUP('Données projet'!$B$12,Paramètres!$A$1:$I$88,3,0)*0.475*44/12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28.594799999999999</v>
      </c>
      <c r="D42" s="12">
        <f t="shared" si="32"/>
        <v>8.9192289896543855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289.58197816575318</v>
      </c>
      <c r="H42" s="70">
        <f t="shared" si="1"/>
        <v>358.67026715698137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12.3</v>
      </c>
      <c r="N42" s="14">
        <f>IF('Données projet'!$A$36&gt;35,N41+M42-V41,IF(A42&lt;'Données projet'!$A$36,$K$205^A42,IF(A42='Données projet'!$A$36,'Données projet'!$B$36,N41+M42-V41)))</f>
        <v>243.50000000000014</v>
      </c>
      <c r="O42" s="14">
        <f>N42*VLOOKUP('Données projet'!$B$9,Paramètres!$A$1:$I$88,3,0)*VLOOKUP('Données projet'!$B$9,Paramètres!$A$1:$I$88,5,0)</f>
        <v>136.11650000000009</v>
      </c>
      <c r="P42" s="14">
        <f t="shared" si="33"/>
        <v>35.405898848075751</v>
      </c>
      <c r="Q42" s="22">
        <f t="shared" si="53"/>
        <v>298.73484466039878</v>
      </c>
      <c r="R42" s="62">
        <f t="shared" si="0"/>
        <v>592.06817799373209</v>
      </c>
      <c r="S42" s="62">
        <f ca="1">AVERAGE(OFFSET($R$3,0,0,'Données projet'!$E$9+1,1))-AVERAGE(OFFSET($H$3,0,0,'Données projet'!$E$9+1,1))</f>
        <v>222.18341301864729</v>
      </c>
      <c r="T42" s="62">
        <f t="shared" si="34"/>
        <v>172.63628480089358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5.3193805479919485</v>
      </c>
      <c r="AA42" s="23">
        <f>EXP(-LN(2)/25)*AA41+(1-EXP(-LN(2)/25))/(LN(2)/25)*Calculateur!V42*Calculateur!X42*VLOOKUP('Données projet'!$B$9,Paramètres!$A$1:$I$88,3,0)*0.475*44/12</f>
        <v>8.4877921945867119</v>
      </c>
      <c r="AB42" s="23">
        <f>EXP(-LN(2)/2)*AB41+(1-EXP(-LN(2)/2))/(LN(2)/2)*V42*Y42*VLOOKUP('Données projet'!$B$9,Paramètres!$A$1:$I$88,3,0)*0.475*44/12</f>
        <v>0</v>
      </c>
      <c r="AC42" s="24">
        <f t="shared" si="3"/>
        <v>13.807172742578661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</v>
      </c>
      <c r="AI42" s="14">
        <f>IF('Données projet'!$A$62&gt;35,AI41+AH42-AQ41,IF(A42&lt;'Données projet'!$A$62,$AF$205^A42,IF(A42='Données projet'!$A$62,'Données projet'!$B$62,AI41+AH42-AQ41)))</f>
        <v>179.4</v>
      </c>
      <c r="AJ42" s="14">
        <f>AI42*VLOOKUP('Données projet'!$B$10,Paramètres!$A$1:$I$88,3,0)*VLOOKUP('Données projet'!$B$10,Paramètres!$A$1:$I$88,5,0)</f>
        <v>83.95920000000001</v>
      </c>
      <c r="AK42" s="14">
        <f t="shared" si="35"/>
        <v>23.102490880810642</v>
      </c>
      <c r="AL42" s="22">
        <f t="shared" si="4"/>
        <v>186.46577828407854</v>
      </c>
      <c r="AM42" s="62">
        <f t="shared" si="5"/>
        <v>479.79911161741188</v>
      </c>
      <c r="AN42" s="62">
        <f ca="1">AVERAGE(OFFSET($AM$3,0,0,'Données projet'!$E$10+1,1))-AVERAGE(OFFSET($H$3,0,0,'Données projet'!$E$10+1,1))</f>
        <v>82.840015321739202</v>
      </c>
      <c r="AO42" s="62">
        <f t="shared" si="36"/>
        <v>101.40622074610098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3.3028809288198895</v>
      </c>
      <c r="AV42" s="23">
        <f>EXP(-LN(2)/25)*AV41+(1-EXP(-LN(2)/25))/(LN(2)/25)*Calculateur!AQ42*Calculateur!AS42*VLOOKUP('Données projet'!$B$10,Paramètres!$A$1:$I$88,3,0)*0.475*44/12</f>
        <v>9.3988741283231256</v>
      </c>
      <c r="AW42" s="23">
        <f>EXP(-LN(2)/2)*AW41+(1-EXP(-LN(2)/2))/(LN(2)/2)*AQ42*AT42*VLOOKUP('Données projet'!$B$10,Paramètres!$A$1:$I$88,3,0)*0.475*44/12</f>
        <v>0</v>
      </c>
      <c r="AX42" s="23">
        <f t="shared" si="6"/>
        <v>12.701755057143014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7.2333333333333316</v>
      </c>
      <c r="BD42" s="13">
        <f>IF('Données projet'!$A$88&gt;35,BD41+BC42-BL41,IF(A42&lt;'Données projet'!$A$88,$BA$205^A42,IF(A42='Données projet'!$A$88,'Données projet'!$B$88,BD41+BC42-BL41)))</f>
        <v>154.36666666666662</v>
      </c>
      <c r="BE42" s="14">
        <f>BD42*VLOOKUP('Données projet'!$B$11,Paramètres!$A$1:$I$88,3,0)*VLOOKUP('Données projet'!$B$11,Paramètres!$A$1:$I$88,5,0)</f>
        <v>92.31126666666664</v>
      </c>
      <c r="BF42" s="14">
        <f t="shared" si="37"/>
        <v>25.121821580843644</v>
      </c>
      <c r="BG42" s="22">
        <f t="shared" si="7"/>
        <v>204.52929536441374</v>
      </c>
      <c r="BH42" s="62">
        <f t="shared" si="8"/>
        <v>497.86262869774703</v>
      </c>
      <c r="BI42" s="62">
        <f ca="1">AVERAGE(OFFSET($BH$3,0,0,'Données projet'!$E$11+1,1))-AVERAGE(OFFSET($H$3,0,0,'Données projet'!$E$11+1,1))</f>
        <v>83.354474428753292</v>
      </c>
      <c r="BJ42" s="62">
        <f t="shared" si="38"/>
        <v>97.75861379589162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5.1523934420505624</v>
      </c>
      <c r="BQ42" s="23">
        <f>EXP(-LN(2)/25)*BQ41+(1-EXP(-LN(2)/25))/(LN(2)/25)*Calculateur!BL42*Calculateur!BN42*VLOOKUP('Données projet'!$B$11,Paramètres!$A$1:$I$88,3,0)*0.475*44/12</f>
        <v>7.8999881698010661</v>
      </c>
      <c r="BR42" s="23">
        <f>EXP(-LN(2)/2)*BR41+(1-EXP(-LN(2)/2))/(LN(2)/2)*BL42*BO42*VLOOKUP('Données projet'!$B$11,Paramètres!$A$1:$I$88,3,0)*0.475*44/12</f>
        <v>0</v>
      </c>
      <c r="BS42" s="24">
        <f t="shared" si="9"/>
        <v>13.052381611851629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projet'!$B$12,Paramètres!$A$1:$I$88,3,0)*0.475*44/12</f>
        <v>#N/A</v>
      </c>
      <c r="CL42" s="23" t="e">
        <f>EXP(-LN(2)/25)*CL41+(1-EXP(-LN(2)/25))/(LN(2)/25)*Calculateur!CG42*Calculateur!CI42*VLOOKUP('Données projet'!$B$12,Paramètres!$A$1:$I$88,3,0)*0.475*44/12</f>
        <v>#N/A</v>
      </c>
      <c r="CM42" s="23" t="e">
        <f>EXP(-LN(2)/2)*CM41+(1-EXP(-LN(2)/2))/(LN(2)/2)*CG42*CJ42*VLOOKUP('Données projet'!$B$12,Paramètres!$A$1:$I$88,3,0)*0.475*44/12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29.327999999999999</v>
      </c>
      <c r="D43" s="12">
        <f t="shared" si="32"/>
        <v>9.1210079777371842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296.79935982814669</v>
      </c>
      <c r="H43" s="70">
        <f t="shared" si="1"/>
        <v>360.29868889455889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12.3</v>
      </c>
      <c r="N43" s="14">
        <f>IF('Données projet'!$A$36&gt;35,N42+M43-V42,IF(A43&lt;'Données projet'!$A$36,$K$205^A43,IF(A43='Données projet'!$A$36,'Données projet'!$B$36,N42+M43-V42)))</f>
        <v>255.80000000000015</v>
      </c>
      <c r="O43" s="14">
        <f>N43*VLOOKUP('Données projet'!$B$9,Paramètres!$A$1:$I$88,3,0)*VLOOKUP('Données projet'!$B$9,Paramètres!$A$1:$I$88,5,0)</f>
        <v>142.99220000000011</v>
      </c>
      <c r="P43" s="14">
        <f t="shared" si="33"/>
        <v>36.981630545553429</v>
      </c>
      <c r="Q43" s="22">
        <f t="shared" si="53"/>
        <v>313.45442153350569</v>
      </c>
      <c r="R43" s="62">
        <f t="shared" si="0"/>
        <v>606.78775486683901</v>
      </c>
      <c r="S43" s="62">
        <f ca="1">AVERAGE(OFFSET($R$3,0,0,'Données projet'!$E$9+1,1))-AVERAGE(OFFSET($H$3,0,0,'Données projet'!$E$9+1,1))</f>
        <v>222.18341301864729</v>
      </c>
      <c r="T43" s="62">
        <f t="shared" si="34"/>
        <v>172.63628480089358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5.2150707399475928</v>
      </c>
      <c r="AA43" s="23">
        <f>EXP(-LN(2)/25)*AA42+(1-EXP(-LN(2)/25))/(LN(2)/25)*Calculateur!V43*Calculateur!X43*VLOOKUP('Données projet'!$B$9,Paramètres!$A$1:$I$88,3,0)*0.475*44/12</f>
        <v>8.2556930706721463</v>
      </c>
      <c r="AB43" s="23">
        <f>EXP(-LN(2)/2)*AB42+(1-EXP(-LN(2)/2))/(LN(2)/2)*V43*Y43*VLOOKUP('Données projet'!$B$9,Paramètres!$A$1:$I$88,3,0)*0.475*44/12</f>
        <v>0</v>
      </c>
      <c r="AC43" s="24">
        <f t="shared" si="3"/>
        <v>13.47076381061974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186.4</v>
      </c>
      <c r="AG43" s="13">
        <f>VLOOKUP(A43,'Données projet'!$A$61:$I$81,9,0)</f>
        <v>7</v>
      </c>
      <c r="AH43" s="13">
        <f t="array" ref="AH43">INDEX(AG:AG,MIN(IF(ISNUMBER(AG43:AG239),ROW(AG43:AG239),"")))</f>
        <v>7</v>
      </c>
      <c r="AI43" s="14">
        <f>IF('Données projet'!$A$62&gt;35,AI42+AH43-AQ42,IF(A43&lt;'Données projet'!$A$62,$AF$205^A43,IF(A43='Données projet'!$A$62,'Données projet'!$B$62,AI42+AH43-AQ42)))</f>
        <v>186.4</v>
      </c>
      <c r="AJ43" s="14">
        <f>AI43*VLOOKUP('Données projet'!$B$10,Paramètres!$A$1:$I$88,3,0)*VLOOKUP('Données projet'!$B$10,Paramètres!$A$1:$I$88,5,0)</f>
        <v>87.235200000000006</v>
      </c>
      <c r="AK43" s="14">
        <f t="shared" si="35"/>
        <v>23.897215775288828</v>
      </c>
      <c r="AL43" s="22">
        <f t="shared" si="4"/>
        <v>193.55562414196137</v>
      </c>
      <c r="AM43" s="62">
        <f t="shared" si="5"/>
        <v>486.88895747529466</v>
      </c>
      <c r="AN43" s="62">
        <f ca="1">AVERAGE(OFFSET($AM$3,0,0,'Données projet'!$E$10+1,1))-AVERAGE(OFFSET($H$3,0,0,'Données projet'!$E$10+1,1))</f>
        <v>82.840015321739202</v>
      </c>
      <c r="AO43" s="62">
        <f t="shared" si="36"/>
        <v>101.40622074610098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37.280000000000008</v>
      </c>
      <c r="AR43" s="17">
        <f>IF(ISNA(VLOOKUP(A43,'Données projet'!$A$61:$I$81,5,0)),0%,VLOOKUP(A43,'Données projet'!$A$61:$I$81,5,0)*VLOOKUP('Données projet'!$B$10,Paramètres!$A$1:$I$88,7,0))</f>
        <v>0.16500000000000001</v>
      </c>
      <c r="AS43" s="17">
        <f>IF(ISNA(VLOOKUP(A43,'Données projet'!$A$61:$I$81,6,0)),0%,VLOOKUP(A43,'Données projet'!$A$61:$I$81,6,0)*VLOOKUP('Données projet'!$B$10,Paramètres!$A$1:$I$88,7,0))</f>
        <v>0.27500000000000002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7.0569762626084369</v>
      </c>
      <c r="AV43" s="23">
        <f>EXP(-LN(2)/25)*AV42+(1-EXP(-LN(2)/25))/(LN(2)/25)*Calculateur!AQ43*Calculateur!AS43*VLOOKUP('Données projet'!$B$10,Paramètres!$A$1:$I$88,3,0)*0.475*44/12</f>
        <v>15.481572248091769</v>
      </c>
      <c r="AW43" s="23">
        <f>EXP(-LN(2)/2)*AW42+(1-EXP(-LN(2)/2))/(LN(2)/2)*AQ43*AT43*VLOOKUP('Données projet'!$B$10,Paramètres!$A$1:$I$88,3,0)*0.475*44/12</f>
        <v>0</v>
      </c>
      <c r="AX43" s="23">
        <f t="shared" si="6"/>
        <v>22.538548510700206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161.6</v>
      </c>
      <c r="BB43" s="13">
        <f>VLOOKUP(A43,'Données projet'!$A$87:$I$107,9,0)</f>
        <v>7.2333333333333316</v>
      </c>
      <c r="BC43" s="13">
        <f t="array" ref="BC43">INDEX(BB:BB,MIN(IF(ISNUMBER(BB43:BB239),ROW(BB43:BB239),"")))</f>
        <v>7.2333333333333316</v>
      </c>
      <c r="BD43" s="13">
        <f>IF('Données projet'!$A$88&gt;35,BD42+BC43-BL42,IF(A43&lt;'Données projet'!$A$88,$BA$205^A43,IF(A43='Données projet'!$A$88,'Données projet'!$B$88,BD42+BC43-BL42)))</f>
        <v>161.59999999999994</v>
      </c>
      <c r="BE43" s="14">
        <f>BD43*VLOOKUP('Données projet'!$B$11,Paramètres!$A$1:$I$88,3,0)*VLOOKUP('Données projet'!$B$11,Paramètres!$A$1:$I$88,5,0)</f>
        <v>96.636799999999965</v>
      </c>
      <c r="BF43" s="14">
        <f t="shared" si="37"/>
        <v>26.159173215164056</v>
      </c>
      <c r="BG43" s="22">
        <f t="shared" si="7"/>
        <v>213.869653349744</v>
      </c>
      <c r="BH43" s="62">
        <f t="shared" si="8"/>
        <v>507.20298668307731</v>
      </c>
      <c r="BI43" s="62">
        <f ca="1">AVERAGE(OFFSET($BH$3,0,0,'Données projet'!$E$11+1,1))-AVERAGE(OFFSET($H$3,0,0,'Données projet'!$E$11+1,1))</f>
        <v>83.354474428753292</v>
      </c>
      <c r="BJ43" s="62">
        <f t="shared" si="38"/>
        <v>97.75861379589162</v>
      </c>
      <c r="BK43" s="16">
        <f>IF(ISNA(VLOOKUP(A43,'Données projet'!$A$87:$I$107,3,0)),0,VLOOKUP(A43,'Données projet'!$A$87:$I$107,3,0))</f>
        <v>7</v>
      </c>
      <c r="BL43" s="16">
        <f>IF(ISNA(VLOOKUP(A43,'Données projet'!$A$87:$I$107,4,0)),0,VLOOKUP(A43,'Données projet'!$A$87:$I$107,4,0))</f>
        <v>23.3</v>
      </c>
      <c r="BM43" s="17">
        <f>IF(ISNA(VLOOKUP(A43,'Données projet'!$A$87:$I$107,5,0)),0%,VLOOKUP(A43,'Données projet'!$A$87:$I$107,5,0)*VLOOKUP('Données projet'!$B$11,Paramètres!$A$1:$I$88,7,0))</f>
        <v>0.13500000000000001</v>
      </c>
      <c r="BN43" s="17">
        <f>IF(ISNA(VLOOKUP(A43,'Données projet'!$A$87:$I$107,6,0)),0%,VLOOKUP(A43,'Données projet'!$A$87:$I$107,6,0)*VLOOKUP('Données projet'!$B$11,Paramètres!$A$1:$I$88,7,0))</f>
        <v>0.22500000000000001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7.5466378290635134</v>
      </c>
      <c r="BQ43" s="23">
        <f>EXP(-LN(2)/25)*BQ42+(1-EXP(-LN(2)/25))/(LN(2)/25)*Calculateur!BL43*Calculateur!BN43*VLOOKUP('Données projet'!$B$11,Paramètres!$A$1:$I$88,3,0)*0.475*44/12</f>
        <v>11.826387265999792</v>
      </c>
      <c r="BR43" s="23">
        <f>EXP(-LN(2)/2)*BR42+(1-EXP(-LN(2)/2))/(LN(2)/2)*BL43*BO43*VLOOKUP('Données projet'!$B$11,Paramètres!$A$1:$I$88,3,0)*0.475*44/12</f>
        <v>0</v>
      </c>
      <c r="BS43" s="24">
        <f t="shared" si="9"/>
        <v>19.373025095063305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projet'!$B$12,Paramètres!$A$1:$I$88,3,0)*0.475*44/12</f>
        <v>#N/A</v>
      </c>
      <c r="CL43" s="23" t="e">
        <f>EXP(-LN(2)/25)*CL42+(1-EXP(-LN(2)/25))/(LN(2)/25)*Calculateur!CG43*Calculateur!CI43*VLOOKUP('Données projet'!$B$12,Paramètres!$A$1:$I$88,3,0)*0.475*44/12</f>
        <v>#N/A</v>
      </c>
      <c r="CM43" s="23" t="e">
        <f>EXP(-LN(2)/2)*CM42+(1-EXP(-LN(2)/2))/(LN(2)/2)*CG43*CJ43*VLOOKUP('Données projet'!$B$12,Paramètres!$A$1:$I$88,3,0)*0.475*44/12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30.061199999999999</v>
      </c>
      <c r="D44" s="12">
        <f t="shared" si="32"/>
        <v>9.3222005779260471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304.01221498749936</v>
      </c>
      <c r="H44" s="70">
        <f t="shared" si="1"/>
        <v>361.92608933988788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12.3</v>
      </c>
      <c r="N44" s="14">
        <f>IF('Données projet'!$A$36&gt;35,N43+M44-V43,IF(A44&lt;'Données projet'!$A$36,$K$205^A44,IF(A44='Données projet'!$A$36,'Données projet'!$B$36,N43+M44-V43)))</f>
        <v>268.10000000000014</v>
      </c>
      <c r="O44" s="14">
        <f>N44*VLOOKUP('Données projet'!$B$9,Paramètres!$A$1:$I$88,3,0)*VLOOKUP('Données projet'!$B$9,Paramètres!$A$1:$I$88,5,0)</f>
        <v>149.86790000000008</v>
      </c>
      <c r="P44" s="14">
        <f t="shared" si="33"/>
        <v>38.548563882647031</v>
      </c>
      <c r="Q44" s="22">
        <f t="shared" si="53"/>
        <v>328.15867459561036</v>
      </c>
      <c r="R44" s="62">
        <f t="shared" si="0"/>
        <v>621.49200792894362</v>
      </c>
      <c r="S44" s="62">
        <f ca="1">AVERAGE(OFFSET($R$3,0,0,'Données projet'!$E$9+1,1))-AVERAGE(OFFSET($H$3,0,0,'Données projet'!$E$9+1,1))</f>
        <v>222.18341301864729</v>
      </c>
      <c r="T44" s="62">
        <f t="shared" si="34"/>
        <v>172.63628480089358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5.1128063836162863</v>
      </c>
      <c r="AA44" s="23">
        <f>EXP(-LN(2)/25)*AA43+(1-EXP(-LN(2)/25))/(LN(2)/25)*Calculateur!V44*Calculateur!X44*VLOOKUP('Données projet'!$B$9,Paramètres!$A$1:$I$88,3,0)*0.475*44/12</f>
        <v>8.0299407095065867</v>
      </c>
      <c r="AB44" s="23">
        <f>EXP(-LN(2)/2)*AB43+(1-EXP(-LN(2)/2))/(LN(2)/2)*V44*Y44*VLOOKUP('Données projet'!$B$9,Paramètres!$A$1:$I$88,3,0)*0.475*44/12</f>
        <v>0</v>
      </c>
      <c r="AC44" s="24">
        <f t="shared" si="3"/>
        <v>13.142747093122873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7.5</v>
      </c>
      <c r="AI44" s="14">
        <f>IF('Données projet'!$A$62&gt;35,AI43+AH44-AQ43,IF(A44&lt;'Données projet'!$A$62,$AF$205^A44,IF(A44='Données projet'!$A$62,'Données projet'!$B$62,AI43+AH44-AQ43)))</f>
        <v>156.62</v>
      </c>
      <c r="AJ44" s="14">
        <f>AI44*VLOOKUP('Données projet'!$B$10,Paramètres!$A$1:$I$88,3,0)*VLOOKUP('Données projet'!$B$10,Paramètres!$A$1:$I$88,5,0)</f>
        <v>73.29816000000001</v>
      </c>
      <c r="AK44" s="14">
        <f t="shared" si="35"/>
        <v>20.490299383196415</v>
      </c>
      <c r="AL44" s="22">
        <f t="shared" si="4"/>
        <v>163.34823342573378</v>
      </c>
      <c r="AM44" s="62">
        <f t="shared" si="5"/>
        <v>456.6815667590671</v>
      </c>
      <c r="AN44" s="62">
        <f ca="1">AVERAGE(OFFSET($AM$3,0,0,'Données projet'!$E$10+1,1))-AVERAGE(OFFSET($H$3,0,0,'Données projet'!$E$10+1,1))</f>
        <v>82.840015321739202</v>
      </c>
      <c r="AO44" s="62">
        <f t="shared" si="36"/>
        <v>101.40622074610098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6.9185932624291882</v>
      </c>
      <c r="AV44" s="23">
        <f>EXP(-LN(2)/25)*AV43+(1-EXP(-LN(2)/25))/(LN(2)/25)*Calculateur!AQ44*Calculateur!AS44*VLOOKUP('Données projet'!$B$10,Paramètres!$A$1:$I$88,3,0)*0.475*44/12</f>
        <v>15.058227840827199</v>
      </c>
      <c r="AW44" s="23">
        <f>EXP(-LN(2)/2)*AW43+(1-EXP(-LN(2)/2))/(LN(2)/2)*AQ44*AT44*VLOOKUP('Données projet'!$B$10,Paramètres!$A$1:$I$88,3,0)*0.475*44/12</f>
        <v>0</v>
      </c>
      <c r="AX44" s="23">
        <f t="shared" si="6"/>
        <v>21.976821103256388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5.7166666666666686</v>
      </c>
      <c r="BD44" s="13">
        <f>IF('Données projet'!$A$88&gt;35,BD43+BC44-BL43,IF(A44&lt;'Données projet'!$A$88,$BA$205^A44,IF(A44='Données projet'!$A$88,'Données projet'!$B$88,BD43+BC44-BL43)))</f>
        <v>144.01666666666659</v>
      </c>
      <c r="BE44" s="14">
        <f>BD44*VLOOKUP('Données projet'!$B$11,Paramètres!$A$1:$I$88,3,0)*VLOOKUP('Données projet'!$B$11,Paramètres!$A$1:$I$88,5,0)</f>
        <v>86.121966666666623</v>
      </c>
      <c r="BF44" s="14">
        <f t="shared" si="37"/>
        <v>23.627552734302082</v>
      </c>
      <c r="BG44" s="22">
        <f t="shared" si="7"/>
        <v>191.14707962335385</v>
      </c>
      <c r="BH44" s="62">
        <f t="shared" si="8"/>
        <v>484.48041295668713</v>
      </c>
      <c r="BI44" s="62">
        <f ca="1">AVERAGE(OFFSET($BH$3,0,0,'Données projet'!$E$11+1,1))-AVERAGE(OFFSET($H$3,0,0,'Données projet'!$E$11+1,1))</f>
        <v>83.354474428753292</v>
      </c>
      <c r="BJ44" s="62">
        <f t="shared" si="38"/>
        <v>97.75861379589162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7.3986528642301455</v>
      </c>
      <c r="BQ44" s="23">
        <f>EXP(-LN(2)/25)*BQ43+(1-EXP(-LN(2)/25))/(LN(2)/25)*Calculateur!BL44*Calculateur!BN44*VLOOKUP('Données projet'!$B$11,Paramètres!$A$1:$I$88,3,0)*0.475*44/12</f>
        <v>11.50299408428835</v>
      </c>
      <c r="BR44" s="23">
        <f>EXP(-LN(2)/2)*BR43+(1-EXP(-LN(2)/2))/(LN(2)/2)*BL44*BO44*VLOOKUP('Données projet'!$B$11,Paramètres!$A$1:$I$88,3,0)*0.475*44/12</f>
        <v>0</v>
      </c>
      <c r="BS44" s="24">
        <f t="shared" si="9"/>
        <v>18.901646948518497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projet'!$B$12,Paramètres!$A$1:$I$88,3,0)*0.475*44/12</f>
        <v>#N/A</v>
      </c>
      <c r="CL44" s="23" t="e">
        <f>EXP(-LN(2)/25)*CL43+(1-EXP(-LN(2)/25))/(LN(2)/25)*Calculateur!CG44*Calculateur!CI44*VLOOKUP('Données projet'!$B$12,Paramètres!$A$1:$I$88,3,0)*0.475*44/12</f>
        <v>#N/A</v>
      </c>
      <c r="CM44" s="23" t="e">
        <f>EXP(-LN(2)/2)*CM43+(1-EXP(-LN(2)/2))/(LN(2)/2)*CG44*CJ44*VLOOKUP('Données projet'!$B$12,Paramètres!$A$1:$I$88,3,0)*0.475*44/12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30.7944</v>
      </c>
      <c r="D45" s="12">
        <f t="shared" si="32"/>
        <v>9.5228227376882337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311.22066674706707</v>
      </c>
      <c r="H45" s="70">
        <f t="shared" si="1"/>
        <v>363.55249626814032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12.3</v>
      </c>
      <c r="N45" s="14">
        <f>IF('Données projet'!$A$36&gt;35,N44+M45-V44,IF(A45&lt;'Données projet'!$A$36,$K$205^A45,IF(A45='Données projet'!$A$36,'Données projet'!$B$36,N44+M45-V44)))</f>
        <v>280.40000000000015</v>
      </c>
      <c r="O45" s="14">
        <f>N45*VLOOKUP('Données projet'!$B$9,Paramètres!$A$1:$I$88,3,0)*VLOOKUP('Données projet'!$B$9,Paramètres!$A$1:$I$88,5,0)</f>
        <v>156.74360000000007</v>
      </c>
      <c r="P45" s="14">
        <f t="shared" si="33"/>
        <v>40.107148620850566</v>
      </c>
      <c r="Q45" s="22">
        <f t="shared" si="53"/>
        <v>342.84838718131488</v>
      </c>
      <c r="R45" s="62">
        <f t="shared" si="0"/>
        <v>636.18172051464819</v>
      </c>
      <c r="S45" s="62">
        <f ca="1">AVERAGE(OFFSET($R$3,0,0,'Données projet'!$E$9+1,1))-AVERAGE(OFFSET($H$3,0,0,'Données projet'!$E$9+1,1))</f>
        <v>222.18341301864729</v>
      </c>
      <c r="T45" s="62">
        <f t="shared" si="34"/>
        <v>172.63628480089358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5.0125473689375379</v>
      </c>
      <c r="AA45" s="23">
        <f>EXP(-LN(2)/25)*AA44+(1-EXP(-LN(2)/25))/(LN(2)/25)*Calculateur!V45*Calculateur!X45*VLOOKUP('Données projet'!$B$9,Paramètres!$A$1:$I$88,3,0)*0.475*44/12</f>
        <v>7.8103615585288999</v>
      </c>
      <c r="AB45" s="23">
        <f>EXP(-LN(2)/2)*AB44+(1-EXP(-LN(2)/2))/(LN(2)/2)*V45*Y45*VLOOKUP('Données projet'!$B$9,Paramètres!$A$1:$I$88,3,0)*0.475*44/12</f>
        <v>0</v>
      </c>
      <c r="AC45" s="24">
        <f t="shared" si="3"/>
        <v>12.822908927466438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7.5</v>
      </c>
      <c r="AI45" s="14">
        <f>IF('Données projet'!$A$62&gt;35,AI44+AH45-AQ44,IF(A45&lt;'Données projet'!$A$62,$AF$205^A45,IF(A45='Données projet'!$A$62,'Données projet'!$B$62,AI44+AH45-AQ44)))</f>
        <v>164.12</v>
      </c>
      <c r="AJ45" s="14">
        <f>AI45*VLOOKUP('Données projet'!$B$10,Paramètres!$A$1:$I$88,3,0)*VLOOKUP('Données projet'!$B$10,Paramètres!$A$1:$I$88,5,0)</f>
        <v>76.808160000000001</v>
      </c>
      <c r="AK45" s="14">
        <f t="shared" si="35"/>
        <v>21.354922978188263</v>
      </c>
      <c r="AL45" s="22">
        <f t="shared" si="4"/>
        <v>170.96736952034459</v>
      </c>
      <c r="AM45" s="62">
        <f t="shared" si="5"/>
        <v>464.30070285367788</v>
      </c>
      <c r="AN45" s="62">
        <f ca="1">AVERAGE(OFFSET($AM$3,0,0,'Données projet'!$E$10+1,1))-AVERAGE(OFFSET($H$3,0,0,'Données projet'!$E$10+1,1))</f>
        <v>82.840015321739202</v>
      </c>
      <c r="AO45" s="62">
        <f t="shared" si="36"/>
        <v>101.40622074610098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6.782923868478159</v>
      </c>
      <c r="AV45" s="23">
        <f>EXP(-LN(2)/25)*AV44+(1-EXP(-LN(2)/25))/(LN(2)/25)*Calculateur!AQ45*Calculateur!AS45*VLOOKUP('Données projet'!$B$10,Paramètres!$A$1:$I$88,3,0)*0.475*44/12</f>
        <v>14.646459808641993</v>
      </c>
      <c r="AW45" s="23">
        <f>EXP(-LN(2)/2)*AW44+(1-EXP(-LN(2)/2))/(LN(2)/2)*AQ45*AT45*VLOOKUP('Données projet'!$B$10,Paramètres!$A$1:$I$88,3,0)*0.475*44/12</f>
        <v>0</v>
      </c>
      <c r="AX45" s="23">
        <f t="shared" si="6"/>
        <v>21.42938367712015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5.7166666666666686</v>
      </c>
      <c r="BD45" s="13">
        <f>IF('Données projet'!$A$88&gt;35,BD44+BC45-BL44,IF(A45&lt;'Données projet'!$A$88,$BA$205^A45,IF(A45='Données projet'!$A$88,'Données projet'!$B$88,BD44+BC45-BL44)))</f>
        <v>149.73333333333326</v>
      </c>
      <c r="BE45" s="14">
        <f>BD45*VLOOKUP('Données projet'!$B$11,Paramètres!$A$1:$I$88,3,0)*VLOOKUP('Données projet'!$B$11,Paramètres!$A$1:$I$88,5,0)</f>
        <v>89.540533333333286</v>
      </c>
      <c r="BF45" s="14">
        <f t="shared" si="37"/>
        <v>24.454379710376521</v>
      </c>
      <c r="BG45" s="22">
        <f t="shared" si="7"/>
        <v>198.54114021779455</v>
      </c>
      <c r="BH45" s="62">
        <f t="shared" si="8"/>
        <v>491.87447355112783</v>
      </c>
      <c r="BI45" s="62">
        <f ca="1">AVERAGE(OFFSET($BH$3,0,0,'Données projet'!$E$11+1,1))-AVERAGE(OFFSET($H$3,0,0,'Données projet'!$E$11+1,1))</f>
        <v>83.354474428753292</v>
      </c>
      <c r="BJ45" s="62">
        <f t="shared" si="38"/>
        <v>97.75861379589162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7.2535697942952444</v>
      </c>
      <c r="BQ45" s="23">
        <f>EXP(-LN(2)/25)*BQ44+(1-EXP(-LN(2)/25))/(LN(2)/25)*Calculateur!BL45*Calculateur!BN45*VLOOKUP('Données projet'!$B$11,Paramètres!$A$1:$I$88,3,0)*0.475*44/12</f>
        <v>11.188444106137316</v>
      </c>
      <c r="BR45" s="23">
        <f>EXP(-LN(2)/2)*BR44+(1-EXP(-LN(2)/2))/(LN(2)/2)*BL45*BO45*VLOOKUP('Données projet'!$B$11,Paramètres!$A$1:$I$88,3,0)*0.475*44/12</f>
        <v>0</v>
      </c>
      <c r="BS45" s="24">
        <f t="shared" si="9"/>
        <v>18.44201390043256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projet'!$B$12,Paramètres!$A$1:$I$88,3,0)*0.475*44/12</f>
        <v>#N/A</v>
      </c>
      <c r="CL45" s="23" t="e">
        <f>EXP(-LN(2)/25)*CL44+(1-EXP(-LN(2)/25))/(LN(2)/25)*Calculateur!CG45*Calculateur!CI45*VLOOKUP('Données projet'!$B$12,Paramètres!$A$1:$I$88,3,0)*0.475*44/12</f>
        <v>#N/A</v>
      </c>
      <c r="CM45" s="23" t="e">
        <f>EXP(-LN(2)/2)*CM44+(1-EXP(-LN(2)/2))/(LN(2)/2)*CG45*CJ45*VLOOKUP('Données projet'!$B$12,Paramètres!$A$1:$I$88,3,0)*0.475*44/12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31.5276</v>
      </c>
      <c r="D46" s="12">
        <f t="shared" si="32"/>
        <v>9.7228896017746997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318.42483201369947</v>
      </c>
      <c r="H46" s="70">
        <f t="shared" si="1"/>
        <v>365.17793605642424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12.3</v>
      </c>
      <c r="N46" s="14">
        <f>IF('Données projet'!$A$36&gt;35,N45+M46-V45,IF(A46&lt;'Données projet'!$A$36,$K$205^A46,IF(A46='Données projet'!$A$36,'Données projet'!$B$36,N45+M46-V45)))</f>
        <v>292.70000000000016</v>
      </c>
      <c r="O46" s="14">
        <f>N46*VLOOKUP('Données projet'!$B$9,Paramètres!$A$1:$I$88,3,0)*VLOOKUP('Données projet'!$B$9,Paramètres!$A$1:$I$88,5,0)</f>
        <v>163.61930000000009</v>
      </c>
      <c r="P46" s="14">
        <f t="shared" si="33"/>
        <v>41.657792832092227</v>
      </c>
      <c r="Q46" s="22">
        <f t="shared" si="53"/>
        <v>357.52427001589405</v>
      </c>
      <c r="R46" s="62">
        <f t="shared" si="0"/>
        <v>650.85760334922736</v>
      </c>
      <c r="S46" s="62">
        <f ca="1">AVERAGE(OFFSET($R$3,0,0,'Données projet'!$E$9+1,1))-AVERAGE(OFFSET($H$3,0,0,'Données projet'!$E$9+1,1))</f>
        <v>222.18341301864729</v>
      </c>
      <c r="T46" s="62">
        <f t="shared" si="34"/>
        <v>172.63628480089358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4.9142543723846792</v>
      </c>
      <c r="AA46" s="23">
        <f>EXP(-LN(2)/25)*AA45+(1-EXP(-LN(2)/25))/(LN(2)/25)*Calculateur!V46*Calculateur!X46*VLOOKUP('Données projet'!$B$9,Paramètres!$A$1:$I$88,3,0)*0.475*44/12</f>
        <v>7.5967868109818637</v>
      </c>
      <c r="AB46" s="23">
        <f>EXP(-LN(2)/2)*AB45+(1-EXP(-LN(2)/2))/(LN(2)/2)*V46*Y46*VLOOKUP('Données projet'!$B$9,Paramètres!$A$1:$I$88,3,0)*0.475*44/12</f>
        <v>0</v>
      </c>
      <c r="AC46" s="24">
        <f t="shared" si="3"/>
        <v>12.511041183366544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7.5</v>
      </c>
      <c r="AI46" s="14">
        <f>IF('Données projet'!$A$62&gt;35,AI45+AH46-AQ45,IF(A46&lt;'Données projet'!$A$62,$AF$205^A46,IF(A46='Données projet'!$A$62,'Données projet'!$B$62,AI45+AH46-AQ45)))</f>
        <v>171.62</v>
      </c>
      <c r="AJ46" s="14">
        <f>AI46*VLOOKUP('Données projet'!$B$10,Paramètres!$A$1:$I$88,3,0)*VLOOKUP('Données projet'!$B$10,Paramètres!$A$1:$I$88,5,0)</f>
        <v>80.318160000000006</v>
      </c>
      <c r="AK46" s="14">
        <f t="shared" si="35"/>
        <v>22.214957923479322</v>
      </c>
      <c r="AL46" s="22">
        <f t="shared" si="4"/>
        <v>178.57851371672646</v>
      </c>
      <c r="AM46" s="62">
        <f t="shared" si="5"/>
        <v>471.91184705005981</v>
      </c>
      <c r="AN46" s="62">
        <f ca="1">AVERAGE(OFFSET($AM$3,0,0,'Données projet'!$E$10+1,1))-AVERAGE(OFFSET($H$3,0,0,'Données projet'!$E$10+1,1))</f>
        <v>82.840015321739202</v>
      </c>
      <c r="AO46" s="62">
        <f t="shared" si="36"/>
        <v>101.40622074610098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6.6499148685923499</v>
      </c>
      <c r="AV46" s="23">
        <f>EXP(-LN(2)/25)*AV45+(1-EXP(-LN(2)/25))/(LN(2)/25)*Calculateur!AQ46*Calculateur!AS46*VLOOKUP('Données projet'!$B$10,Paramètres!$A$1:$I$88,3,0)*0.475*44/12</f>
        <v>14.245951594950832</v>
      </c>
      <c r="AW46" s="23">
        <f>EXP(-LN(2)/2)*AW45+(1-EXP(-LN(2)/2))/(LN(2)/2)*AQ46*AT46*VLOOKUP('Données projet'!$B$10,Paramètres!$A$1:$I$88,3,0)*0.475*44/12</f>
        <v>0</v>
      </c>
      <c r="AX46" s="23">
        <f t="shared" si="6"/>
        <v>20.895866463543182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5.7166666666666686</v>
      </c>
      <c r="BD46" s="13">
        <f>IF('Données projet'!$A$88&gt;35,BD45+BC46-BL45,IF(A46&lt;'Données projet'!$A$88,$BA$205^A46,IF(A46='Données projet'!$A$88,'Données projet'!$B$88,BD45+BC46-BL45)))</f>
        <v>155.44999999999993</v>
      </c>
      <c r="BE46" s="14">
        <f>BD46*VLOOKUP('Données projet'!$B$11,Paramètres!$A$1:$I$88,3,0)*VLOOKUP('Données projet'!$B$11,Paramètres!$A$1:$I$88,5,0)</f>
        <v>92.959099999999978</v>
      </c>
      <c r="BF46" s="14">
        <f t="shared" si="37"/>
        <v>25.277539450987835</v>
      </c>
      <c r="BG46" s="22">
        <f t="shared" si="7"/>
        <v>205.92881371047042</v>
      </c>
      <c r="BH46" s="62">
        <f t="shared" si="8"/>
        <v>499.26214704380374</v>
      </c>
      <c r="BI46" s="62">
        <f ca="1">AVERAGE(OFFSET($BH$3,0,0,'Données projet'!$E$11+1,1))-AVERAGE(OFFSET($H$3,0,0,'Données projet'!$E$11+1,1))</f>
        <v>83.354474428753292</v>
      </c>
      <c r="BJ46" s="62">
        <f t="shared" si="38"/>
        <v>97.75861379589162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7.1113317148698316</v>
      </c>
      <c r="BQ46" s="23">
        <f>EXP(-LN(2)/25)*BQ45+(1-EXP(-LN(2)/25))/(LN(2)/25)*Calculateur!BL46*Calculateur!BN46*VLOOKUP('Données projet'!$B$11,Paramètres!$A$1:$I$88,3,0)*0.475*44/12</f>
        <v>10.882495513680288</v>
      </c>
      <c r="BR46" s="23">
        <f>EXP(-LN(2)/2)*BR45+(1-EXP(-LN(2)/2))/(LN(2)/2)*BL46*BO46*VLOOKUP('Données projet'!$B$11,Paramètres!$A$1:$I$88,3,0)*0.475*44/12</f>
        <v>0</v>
      </c>
      <c r="BS46" s="24">
        <f t="shared" si="9"/>
        <v>17.993827228550121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projet'!$B$12,Paramètres!$A$1:$I$88,3,0)*0.475*44/12</f>
        <v>#N/A</v>
      </c>
      <c r="CL46" s="23" t="e">
        <f>EXP(-LN(2)/25)*CL45+(1-EXP(-LN(2)/25))/(LN(2)/25)*Calculateur!CG46*Calculateur!CI46*VLOOKUP('Données projet'!$B$12,Paramètres!$A$1:$I$88,3,0)*0.475*44/12</f>
        <v>#N/A</v>
      </c>
      <c r="CM46" s="23" t="e">
        <f>EXP(-LN(2)/2)*CM45+(1-EXP(-LN(2)/2))/(LN(2)/2)*CG46*CJ46*VLOOKUP('Données projet'!$B$12,Paramètres!$A$1:$I$88,3,0)*0.475*44/12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32.260799999999996</v>
      </c>
      <c r="D47" s="12">
        <f t="shared" si="32"/>
        <v>9.9224155703389041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325.62482194647572</v>
      </c>
      <c r="H47" s="70">
        <f t="shared" si="1"/>
        <v>366.80243378500688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>
        <f>VLOOKUP(A47,'Données projet'!$A$35:$I$55,2,0)</f>
        <v>305</v>
      </c>
      <c r="L47" s="13">
        <f>VLOOKUP(A47,'Données projet'!$A$35:$I$55,9,0)</f>
        <v>12.3</v>
      </c>
      <c r="M47" s="13">
        <f t="array" ref="M47">INDEX(L:L,MIN(IF(ISNUMBER(L47:L243),ROW(L47:L243),"")))</f>
        <v>12.3</v>
      </c>
      <c r="N47" s="14">
        <f>IF('Données projet'!$A$36&gt;35,N46+M47-V46,IF(A47&lt;'Données projet'!$A$36,$K$205^A47,IF(A47='Données projet'!$A$36,'Données projet'!$B$36,N46+M47-V46)))</f>
        <v>305.00000000000017</v>
      </c>
      <c r="O47" s="14">
        <f>N47*VLOOKUP('Données projet'!$B$9,Paramètres!$A$1:$I$88,3,0)*VLOOKUP('Données projet'!$B$9,Paramètres!$A$1:$I$88,5,0)</f>
        <v>170.49500000000009</v>
      </c>
      <c r="P47" s="14">
        <f t="shared" si="33"/>
        <v>43.200868351686822</v>
      </c>
      <c r="Q47" s="22">
        <f t="shared" si="53"/>
        <v>372.18697071252132</v>
      </c>
      <c r="R47" s="62">
        <f t="shared" si="0"/>
        <v>665.52030404585457</v>
      </c>
      <c r="S47" s="62">
        <f ca="1">AVERAGE(OFFSET($R$3,0,0,'Données projet'!$E$9+1,1))-AVERAGE(OFFSET($H$3,0,0,'Données projet'!$E$9+1,1))</f>
        <v>222.18341301864729</v>
      </c>
      <c r="T47" s="62">
        <f t="shared" si="34"/>
        <v>172.63628480089358</v>
      </c>
      <c r="U47" s="16">
        <f>IF(ISNA(VLOOKUP(A47,'Données projet'!$A$35:$I$55,3,0)),0,VLOOKUP(A47,'Données projet'!$A$35:$I$55,3,0))</f>
        <v>3</v>
      </c>
      <c r="V47" s="16">
        <f>IF(ISNA(VLOOKUP(A47,'Données projet'!$A$35:$I$55,4,0)),0,VLOOKUP(A47,'Données projet'!$A$35:$I$55,4,0))</f>
        <v>61</v>
      </c>
      <c r="W47" s="17">
        <f>IF(ISNA(VLOOKUP(A47,'Données projet'!$A$35:$I$55,5,0)),0%,VLOOKUP(A47,'Données projet'!$A$35:$I$55,5,0)*VLOOKUP('Données projet'!$B$9,Paramètres!$A$1:$I$88,7,0))</f>
        <v>0.16500000000000001</v>
      </c>
      <c r="X47" s="17">
        <f>IF(ISNA(VLOOKUP(A47,'Données projet'!$A$35:$I$55,6,0)),0%,VLOOKUP(A47,'Données projet'!$A$35:$I$55,6,0)*VLOOKUP('Données projet'!$B$9,Paramètres!$A$1:$I$88,7,0))</f>
        <v>0.27500000000000002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12.281584866936839</v>
      </c>
      <c r="AA47" s="23">
        <f>EXP(-LN(2)/25)*AA46+(1-EXP(-LN(2)/25))/(LN(2)/25)*Calculateur!V47*Calculateur!X47*VLOOKUP('Données projet'!$B$9,Paramètres!$A$1:$I$88,3,0)*0.475*44/12</f>
        <v>19.77956662655841</v>
      </c>
      <c r="AB47" s="23">
        <f>EXP(-LN(2)/2)*AB46+(1-EXP(-LN(2)/2))/(LN(2)/2)*V47*Y47*VLOOKUP('Données projet'!$B$9,Paramètres!$A$1:$I$88,3,0)*0.475*44/12</f>
        <v>0</v>
      </c>
      <c r="AC47" s="24">
        <f t="shared" si="3"/>
        <v>32.061151493495245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7.5</v>
      </c>
      <c r="AI47" s="14">
        <f>IF('Données projet'!$A$62&gt;35,AI46+AH47-AQ46,IF(A47&lt;'Données projet'!$A$62,$AF$205^A47,IF(A47='Données projet'!$A$62,'Données projet'!$B$62,AI46+AH47-AQ46)))</f>
        <v>179.12</v>
      </c>
      <c r="AJ47" s="14">
        <f>AI47*VLOOKUP('Données projet'!$B$10,Paramètres!$A$1:$I$88,3,0)*VLOOKUP('Données projet'!$B$10,Paramètres!$A$1:$I$88,5,0)</f>
        <v>83.828159999999997</v>
      </c>
      <c r="AK47" s="14">
        <f t="shared" si="35"/>
        <v>23.07062766697906</v>
      </c>
      <c r="AL47" s="22">
        <f t="shared" si="4"/>
        <v>186.18205518665516</v>
      </c>
      <c r="AM47" s="62">
        <f t="shared" si="5"/>
        <v>479.51538851998851</v>
      </c>
      <c r="AN47" s="62">
        <f ca="1">AVERAGE(OFFSET($AM$3,0,0,'Données projet'!$E$10+1,1))-AVERAGE(OFFSET($H$3,0,0,'Données projet'!$E$10+1,1))</f>
        <v>82.840015321739202</v>
      </c>
      <c r="AO47" s="62">
        <f t="shared" si="36"/>
        <v>101.40622074610098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6.5195140940668219</v>
      </c>
      <c r="AV47" s="23">
        <f>EXP(-LN(2)/25)*AV46+(1-EXP(-LN(2)/25))/(LN(2)/25)*Calculateur!AQ47*Calculateur!AS47*VLOOKUP('Données projet'!$B$10,Paramètres!$A$1:$I$88,3,0)*0.475*44/12</f>
        <v>13.856395299424866</v>
      </c>
      <c r="AW47" s="23">
        <f>EXP(-LN(2)/2)*AW46+(1-EXP(-LN(2)/2))/(LN(2)/2)*AQ47*AT47*VLOOKUP('Données projet'!$B$10,Paramètres!$A$1:$I$88,3,0)*0.475*44/12</f>
        <v>0</v>
      </c>
      <c r="AX47" s="23">
        <f t="shared" si="6"/>
        <v>20.375909393491689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5.7166666666666686</v>
      </c>
      <c r="BD47" s="13">
        <f>IF('Données projet'!$A$88&gt;35,BD46+BC47-BL46,IF(A47&lt;'Données projet'!$A$88,$BA$205^A47,IF(A47='Données projet'!$A$88,'Données projet'!$B$88,BD46+BC47-BL46)))</f>
        <v>161.1666666666666</v>
      </c>
      <c r="BE47" s="14">
        <f>BD47*VLOOKUP('Données projet'!$B$11,Paramètres!$A$1:$I$88,3,0)*VLOOKUP('Données projet'!$B$11,Paramètres!$A$1:$I$88,5,0)</f>
        <v>96.377666666666642</v>
      </c>
      <c r="BF47" s="14">
        <f t="shared" si="37"/>
        <v>26.097182263683415</v>
      </c>
      <c r="BG47" s="22">
        <f t="shared" si="7"/>
        <v>213.31036188702635</v>
      </c>
      <c r="BH47" s="62">
        <f t="shared" si="8"/>
        <v>506.64369522035963</v>
      </c>
      <c r="BI47" s="62">
        <f ca="1">AVERAGE(OFFSET($BH$3,0,0,'Données projet'!$E$11+1,1))-AVERAGE(OFFSET($H$3,0,0,'Données projet'!$E$11+1,1))</f>
        <v>83.354474428753292</v>
      </c>
      <c r="BJ47" s="62">
        <f t="shared" si="38"/>
        <v>97.75861379589162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6.971882837425289</v>
      </c>
      <c r="BQ47" s="23">
        <f>EXP(-LN(2)/25)*BQ46+(1-EXP(-LN(2)/25))/(LN(2)/25)*Calculateur!BL47*Calculateur!BN47*VLOOKUP('Données projet'!$B$11,Paramètres!$A$1:$I$88,3,0)*0.475*44/12</f>
        <v>10.584913101573134</v>
      </c>
      <c r="BR47" s="23">
        <f>EXP(-LN(2)/2)*BR46+(1-EXP(-LN(2)/2))/(LN(2)/2)*BL47*BO47*VLOOKUP('Données projet'!$B$11,Paramètres!$A$1:$I$88,3,0)*0.475*44/12</f>
        <v>0</v>
      </c>
      <c r="BS47" s="24">
        <f t="shared" si="9"/>
        <v>17.556795938998423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projet'!$B$12,Paramètres!$A$1:$I$88,3,0)*0.475*44/12</f>
        <v>#N/A</v>
      </c>
      <c r="CL47" s="23" t="e">
        <f>EXP(-LN(2)/25)*CL46+(1-EXP(-LN(2)/25))/(LN(2)/25)*Calculateur!CG47*Calculateur!CI47*VLOOKUP('Données projet'!$B$12,Paramètres!$A$1:$I$88,3,0)*0.475*44/12</f>
        <v>#N/A</v>
      </c>
      <c r="CM47" s="23" t="e">
        <f>EXP(-LN(2)/2)*CM46+(1-EXP(-LN(2)/2))/(LN(2)/2)*CG47*CJ47*VLOOKUP('Données projet'!$B$12,Paramètres!$A$1:$I$88,3,0)*0.475*44/12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32.993999999999993</v>
      </c>
      <c r="D48" s="12">
        <f t="shared" si="32"/>
        <v>10.121414351623134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332.82074236340662</v>
      </c>
      <c r="H48" s="70">
        <f t="shared" si="1"/>
        <v>368.42601332907691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255.40000000000015</v>
      </c>
      <c r="O48" s="14">
        <f>N48*VLOOKUP('Données projet'!$B$9,Paramètres!$A$1:$I$88,3,0)*VLOOKUP('Données projet'!$B$9,Paramètres!$A$1:$I$88,5,0)</f>
        <v>142.76860000000008</v>
      </c>
      <c r="P48" s="14">
        <f t="shared" si="33"/>
        <v>36.93052820877903</v>
      </c>
      <c r="Q48" s="22">
        <f t="shared" si="53"/>
        <v>312.97598163029028</v>
      </c>
      <c r="R48" s="62">
        <f t="shared" si="0"/>
        <v>606.30931496362359</v>
      </c>
      <c r="S48" s="62">
        <f ca="1">AVERAGE(OFFSET($R$3,0,0,'Données projet'!$E$9+1,1))-AVERAGE(OFFSET($H$3,0,0,'Données projet'!$E$9+1,1))</f>
        <v>222.18341301864729</v>
      </c>
      <c r="T48" s="62">
        <f t="shared" si="34"/>
        <v>172.63628480089358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12.040750478723298</v>
      </c>
      <c r="AA48" s="23">
        <f>EXP(-LN(2)/25)*AA47+(1-EXP(-LN(2)/25))/(LN(2)/25)*Calculateur!V48*Calculateur!X48*VLOOKUP('Données projet'!$B$9,Paramètres!$A$1:$I$88,3,0)*0.475*44/12</f>
        <v>19.238693336992966</v>
      </c>
      <c r="AB48" s="23">
        <f>EXP(-LN(2)/2)*AB47+(1-EXP(-LN(2)/2))/(LN(2)/2)*V48*Y48*VLOOKUP('Données projet'!$B$9,Paramètres!$A$1:$I$88,3,0)*0.475*44/12</f>
        <v>0</v>
      </c>
      <c r="AC48" s="24">
        <f t="shared" si="3"/>
        <v>31.279443815716263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7.5</v>
      </c>
      <c r="AI48" s="14">
        <f>IF('Données projet'!$A$62&gt;35,AI47+AH48-AQ47,IF(A48&lt;'Données projet'!$A$62,$AF$205^A48,IF(A48='Données projet'!$A$62,'Données projet'!$B$62,AI47+AH48-AQ47)))</f>
        <v>186.62</v>
      </c>
      <c r="AJ48" s="14">
        <f>AI48*VLOOKUP('Données projet'!$B$10,Paramètres!$A$1:$I$88,3,0)*VLOOKUP('Données projet'!$B$10,Paramètres!$A$1:$I$88,5,0)</f>
        <v>87.338160000000002</v>
      </c>
      <c r="AK48" s="14">
        <f t="shared" si="35"/>
        <v>23.922135885857756</v>
      </c>
      <c r="AL48" s="22">
        <f t="shared" si="4"/>
        <v>193.77834866786893</v>
      </c>
      <c r="AM48" s="62">
        <f t="shared" si="5"/>
        <v>487.11168200120221</v>
      </c>
      <c r="AN48" s="62">
        <f ca="1">AVERAGE(OFFSET($AM$3,0,0,'Données projet'!$E$10+1,1))-AVERAGE(OFFSET($H$3,0,0,'Données projet'!$E$10+1,1))</f>
        <v>82.840015321739202</v>
      </c>
      <c r="AO48" s="62">
        <f t="shared" si="36"/>
        <v>101.40622074610098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6.3916703991931207</v>
      </c>
      <c r="AV48" s="23">
        <f>EXP(-LN(2)/25)*AV47+(1-EXP(-LN(2)/25))/(LN(2)/25)*Calculateur!AQ48*Calculateur!AS48*VLOOKUP('Données projet'!$B$10,Paramètres!$A$1:$I$88,3,0)*0.475*44/12</f>
        <v>13.477491441285935</v>
      </c>
      <c r="AW48" s="23">
        <f>EXP(-LN(2)/2)*AW47+(1-EXP(-LN(2)/2))/(LN(2)/2)*AQ48*AT48*VLOOKUP('Données projet'!$B$10,Paramètres!$A$1:$I$88,3,0)*0.475*44/12</f>
        <v>0</v>
      </c>
      <c r="AX48" s="23">
        <f t="shared" si="6"/>
        <v>19.869161840479055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5.7166666666666686</v>
      </c>
      <c r="BD48" s="13">
        <f>IF('Données projet'!$A$88&gt;35,BD47+BC48-BL47,IF(A48&lt;'Données projet'!$A$88,$BA$205^A48,IF(A48='Données projet'!$A$88,'Données projet'!$B$88,BD47+BC48-BL47)))</f>
        <v>166.88333333333327</v>
      </c>
      <c r="BE48" s="14">
        <f>BD48*VLOOKUP('Données projet'!$B$11,Paramètres!$A$1:$I$88,3,0)*VLOOKUP('Données projet'!$B$11,Paramètres!$A$1:$I$88,5,0)</f>
        <v>99.796233333333305</v>
      </c>
      <c r="BF48" s="14">
        <f t="shared" si="37"/>
        <v>26.913447188510393</v>
      </c>
      <c r="BG48" s="22">
        <f t="shared" si="7"/>
        <v>220.68602690887778</v>
      </c>
      <c r="BH48" s="62">
        <f t="shared" si="8"/>
        <v>514.01936024221106</v>
      </c>
      <c r="BI48" s="62">
        <f ca="1">AVERAGE(OFFSET($BH$3,0,0,'Données projet'!$E$11+1,1))-AVERAGE(OFFSET($H$3,0,0,'Données projet'!$E$11+1,1))</f>
        <v>83.354474428753292</v>
      </c>
      <c r="BJ48" s="62">
        <f t="shared" si="38"/>
        <v>97.75861379589162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6.8351684674120179</v>
      </c>
      <c r="BQ48" s="23">
        <f>EXP(-LN(2)/25)*BQ47+(1-EXP(-LN(2)/25))/(LN(2)/25)*Calculateur!BL48*Calculateur!BN48*VLOOKUP('Données projet'!$B$11,Paramètres!$A$1:$I$88,3,0)*0.475*44/12</f>
        <v>10.295468096174229</v>
      </c>
      <c r="BR48" s="23">
        <f>EXP(-LN(2)/2)*BR47+(1-EXP(-LN(2)/2))/(LN(2)/2)*BL48*BO48*VLOOKUP('Données projet'!$B$11,Paramètres!$A$1:$I$88,3,0)*0.475*44/12</f>
        <v>0</v>
      </c>
      <c r="BS48" s="24">
        <f t="shared" si="9"/>
        <v>17.130636563586247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projet'!$B$12,Paramètres!$A$1:$I$88,3,0)*0.475*44/12</f>
        <v>#N/A</v>
      </c>
      <c r="CL48" s="23" t="e">
        <f>EXP(-LN(2)/25)*CL47+(1-EXP(-LN(2)/25))/(LN(2)/25)*Calculateur!CG48*Calculateur!CI48*VLOOKUP('Données projet'!$B$12,Paramètres!$A$1:$I$88,3,0)*0.475*44/12</f>
        <v>#N/A</v>
      </c>
      <c r="CM48" s="23" t="e">
        <f>EXP(-LN(2)/2)*CM47+(1-EXP(-LN(2)/2))/(LN(2)/2)*CG48*CJ48*VLOOKUP('Données projet'!$B$12,Paramètres!$A$1:$I$88,3,0)*0.475*44/12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33.727199999999989</v>
      </c>
      <c r="D49" s="12">
        <f t="shared" si="32"/>
        <v>10.319899009829577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340.01269411096507</v>
      </c>
      <c r="H49" s="70">
        <f t="shared" si="1"/>
        <v>370.04869744211982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11.4</v>
      </c>
      <c r="N49" s="14">
        <f>IF('Données projet'!$A$36&gt;35,N48+M49-V48,IF(A49&lt;'Données projet'!$A$36,$K$205^A49,IF(A49='Données projet'!$A$36,'Données projet'!$B$36,N48+M49-V48)))</f>
        <v>266.80000000000013</v>
      </c>
      <c r="O49" s="14">
        <f>N49*VLOOKUP('Données projet'!$B$9,Paramètres!$A$1:$I$88,3,0)*VLOOKUP('Données projet'!$B$9,Paramètres!$A$1:$I$88,5,0)</f>
        <v>149.14120000000005</v>
      </c>
      <c r="P49" s="14">
        <f t="shared" si="33"/>
        <v>38.383355068273829</v>
      </c>
      <c r="Q49" s="22">
        <f t="shared" si="53"/>
        <v>326.60526674391036</v>
      </c>
      <c r="R49" s="62">
        <f t="shared" si="0"/>
        <v>619.93860007724368</v>
      </c>
      <c r="S49" s="62">
        <f ca="1">AVERAGE(OFFSET($R$3,0,0,'Données projet'!$E$9+1,1))-AVERAGE(OFFSET($H$3,0,0,'Données projet'!$E$9+1,1))</f>
        <v>222.18341301864729</v>
      </c>
      <c r="T49" s="62">
        <f t="shared" si="34"/>
        <v>172.63628480089358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11.804638705968154</v>
      </c>
      <c r="AA49" s="23">
        <f>EXP(-LN(2)/25)*AA48+(1-EXP(-LN(2)/25))/(LN(2)/25)*Calculateur!V49*Calculateur!X49*VLOOKUP('Données projet'!$B$9,Paramètres!$A$1:$I$88,3,0)*0.475*44/12</f>
        <v>18.712610255973981</v>
      </c>
      <c r="AB49" s="23">
        <f>EXP(-LN(2)/2)*AB48+(1-EXP(-LN(2)/2))/(LN(2)/2)*V49*Y49*VLOOKUP('Données projet'!$B$9,Paramètres!$A$1:$I$88,3,0)*0.475*44/12</f>
        <v>0</v>
      </c>
      <c r="AC49" s="24">
        <f t="shared" si="3"/>
        <v>30.517248961942137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7.5</v>
      </c>
      <c r="AI49" s="14">
        <f>IF('Données projet'!$A$62&gt;35,AI48+AH49-AQ48,IF(A49&lt;'Données projet'!$A$62,$AF$205^A49,IF(A49='Données projet'!$A$62,'Données projet'!$B$62,AI48+AH49-AQ48)))</f>
        <v>194.12</v>
      </c>
      <c r="AJ49" s="14">
        <f>AI49*VLOOKUP('Données projet'!$B$10,Paramètres!$A$1:$I$88,3,0)*VLOOKUP('Données projet'!$B$10,Paramètres!$A$1:$I$88,5,0)</f>
        <v>90.848160000000007</v>
      </c>
      <c r="AK49" s="14">
        <f t="shared" si="35"/>
        <v>24.769668959679429</v>
      </c>
      <c r="AL49" s="22">
        <f t="shared" si="4"/>
        <v>201.36771877144167</v>
      </c>
      <c r="AM49" s="62">
        <f t="shared" si="5"/>
        <v>494.70105210477499</v>
      </c>
      <c r="AN49" s="62">
        <f ca="1">AVERAGE(OFFSET($AM$3,0,0,'Données projet'!$E$10+1,1))-AVERAGE(OFFSET($H$3,0,0,'Données projet'!$E$10+1,1))</f>
        <v>82.840015321739202</v>
      </c>
      <c r="AO49" s="62">
        <f t="shared" si="36"/>
        <v>101.40622074610098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6.2663336411989388</v>
      </c>
      <c r="AV49" s="23">
        <f>EXP(-LN(2)/25)*AV48+(1-EXP(-LN(2)/25))/(LN(2)/25)*Calculateur!AQ49*Calculateur!AS49*VLOOKUP('Données projet'!$B$10,Paramètres!$A$1:$I$88,3,0)*0.475*44/12</f>
        <v>13.108948729073498</v>
      </c>
      <c r="AW49" s="23">
        <f>EXP(-LN(2)/2)*AW48+(1-EXP(-LN(2)/2))/(LN(2)/2)*AQ49*AT49*VLOOKUP('Données projet'!$B$10,Paramètres!$A$1:$I$88,3,0)*0.475*44/12</f>
        <v>0</v>
      </c>
      <c r="AX49" s="23">
        <f t="shared" si="6"/>
        <v>19.375282370272437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>
        <f>VLOOKUP(A49,'Données projet'!$A$87:$I$107,2,0)</f>
        <v>172.6</v>
      </c>
      <c r="BB49" s="13">
        <f>VLOOKUP(A49,'Données projet'!$A$87:$I$107,9,0)</f>
        <v>5.7166666666666686</v>
      </c>
      <c r="BC49" s="13">
        <f t="array" ref="BC49">INDEX(BB:BB,MIN(IF(ISNUMBER(BB49:BB245),ROW(BB49:BB245),"")))</f>
        <v>5.7166666666666686</v>
      </c>
      <c r="BD49" s="13">
        <f>IF('Données projet'!$A$88&gt;35,BD48+BC49-BL48,IF(A49&lt;'Données projet'!$A$88,$BA$205^A49,IF(A49='Données projet'!$A$88,'Données projet'!$B$88,BD48+BC49-BL48)))</f>
        <v>172.59999999999994</v>
      </c>
      <c r="BE49" s="14">
        <f>BD49*VLOOKUP('Données projet'!$B$11,Paramètres!$A$1:$I$88,3,0)*VLOOKUP('Données projet'!$B$11,Paramètres!$A$1:$I$88,5,0)</f>
        <v>103.21479999999997</v>
      </c>
      <c r="BF49" s="14">
        <f t="shared" si="37"/>
        <v>27.726463199430313</v>
      </c>
      <c r="BG49" s="22">
        <f t="shared" si="7"/>
        <v>228.05603340567441</v>
      </c>
      <c r="BH49" s="62">
        <f t="shared" si="8"/>
        <v>521.38936673900776</v>
      </c>
      <c r="BI49" s="62">
        <f ca="1">AVERAGE(OFFSET($BH$3,0,0,'Données projet'!$E$11+1,1))-AVERAGE(OFFSET($H$3,0,0,'Données projet'!$E$11+1,1))</f>
        <v>83.354474428753292</v>
      </c>
      <c r="BJ49" s="62">
        <f t="shared" si="38"/>
        <v>97.75861379589162</v>
      </c>
      <c r="BK49" s="16">
        <f>IF(ISNA(VLOOKUP(A49,'Données projet'!$A$87:$I$107,3,0)),0,VLOOKUP(A49,'Données projet'!$A$87:$I$107,3,0))</f>
        <v>8</v>
      </c>
      <c r="BL49" s="16">
        <f>IF(ISNA(VLOOKUP(A49,'Données projet'!$A$87:$I$107,4,0)),0,VLOOKUP(A49,'Données projet'!$A$87:$I$107,4,0))</f>
        <v>18.600000000000001</v>
      </c>
      <c r="BM49" s="17">
        <f>IF(ISNA(VLOOKUP(A49,'Données projet'!$A$87:$I$107,5,0)),0%,VLOOKUP(A49,'Données projet'!$A$87:$I$107,5,0)*VLOOKUP('Données projet'!$B$11,Paramètres!$A$1:$I$88,7,0))</f>
        <v>0.13500000000000001</v>
      </c>
      <c r="BN49" s="17">
        <f>IF(ISNA(VLOOKUP(A49,'Données projet'!$A$87:$I$107,6,0)),0%,VLOOKUP(A49,'Données projet'!$A$87:$I$107,6,0)*VLOOKUP('Données projet'!$B$11,Paramètres!$A$1:$I$88,7,0))</f>
        <v>0.22500000000000001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8.6930749846771693</v>
      </c>
      <c r="BQ49" s="23">
        <f>EXP(-LN(2)/25)*BQ48+(1-EXP(-LN(2)/25))/(LN(2)/25)*Calculateur!BL49*Calculateur!BN49*VLOOKUP('Données projet'!$B$11,Paramètres!$A$1:$I$88,3,0)*0.475*44/12</f>
        <v>13.32076627149252</v>
      </c>
      <c r="BR49" s="23">
        <f>EXP(-LN(2)/2)*BR48+(1-EXP(-LN(2)/2))/(LN(2)/2)*BL49*BO49*VLOOKUP('Données projet'!$B$11,Paramètres!$A$1:$I$88,3,0)*0.475*44/12</f>
        <v>0</v>
      </c>
      <c r="BS49" s="24">
        <f t="shared" si="9"/>
        <v>22.013841256169691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projet'!$B$12,Paramètres!$A$1:$I$88,3,0)*0.475*44/12</f>
        <v>#N/A</v>
      </c>
      <c r="CL49" s="23" t="e">
        <f>EXP(-LN(2)/25)*CL48+(1-EXP(-LN(2)/25))/(LN(2)/25)*Calculateur!CG49*Calculateur!CI49*VLOOKUP('Données projet'!$B$12,Paramètres!$A$1:$I$88,3,0)*0.475*44/12</f>
        <v>#N/A</v>
      </c>
      <c r="CM49" s="23" t="e">
        <f>EXP(-LN(2)/2)*CM48+(1-EXP(-LN(2)/2))/(LN(2)/2)*CG49*CJ49*VLOOKUP('Données projet'!$B$12,Paramètres!$A$1:$I$88,3,0)*0.475*44/12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34.460399999999986</v>
      </c>
      <c r="D50" s="12">
        <f t="shared" si="32"/>
        <v>10.517882008711249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347.20077340057793</v>
      </c>
      <c r="H50" s="70">
        <f t="shared" si="1"/>
        <v>371.67050783183868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11.4</v>
      </c>
      <c r="N50" s="14">
        <f>IF('Données projet'!$A$36&gt;35,N49+M50-V49,IF(A50&lt;'Données projet'!$A$36,$K$205^A50,IF(A50='Données projet'!$A$36,'Données projet'!$B$36,N49+M50-V49)))</f>
        <v>278.2000000000001</v>
      </c>
      <c r="O50" s="14">
        <f>N50*VLOOKUP('Données projet'!$B$9,Paramètres!$A$1:$I$88,3,0)*VLOOKUP('Données projet'!$B$9,Paramètres!$A$1:$I$88,5,0)</f>
        <v>155.51380000000006</v>
      </c>
      <c r="P50" s="14">
        <f t="shared" si="33"/>
        <v>39.828971751416368</v>
      </c>
      <c r="Q50" s="22">
        <f t="shared" si="53"/>
        <v>340.22199413371692</v>
      </c>
      <c r="R50" s="62">
        <f t="shared" si="0"/>
        <v>633.55532746705023</v>
      </c>
      <c r="S50" s="62">
        <f ca="1">AVERAGE(OFFSET($R$3,0,0,'Données projet'!$E$9+1,1))-AVERAGE(OFFSET($H$3,0,0,'Données projet'!$E$9+1,1))</f>
        <v>222.18341301864729</v>
      </c>
      <c r="T50" s="62">
        <f t="shared" si="34"/>
        <v>172.63628480089358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11.573156941062777</v>
      </c>
      <c r="AA50" s="23">
        <f>EXP(-LN(2)/25)*AA49+(1-EXP(-LN(2)/25))/(LN(2)/25)*Calculateur!V50*Calculateur!X50*VLOOKUP('Données projet'!$B$9,Paramètres!$A$1:$I$88,3,0)*0.475*44/12</f>
        <v>18.200912944470968</v>
      </c>
      <c r="AB50" s="23">
        <f>EXP(-LN(2)/2)*AB49+(1-EXP(-LN(2)/2))/(LN(2)/2)*V50*Y50*VLOOKUP('Données projet'!$B$9,Paramètres!$A$1:$I$88,3,0)*0.475*44/12</f>
        <v>0</v>
      </c>
      <c r="AC50" s="24">
        <f t="shared" si="3"/>
        <v>29.774069885533745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7.5</v>
      </c>
      <c r="AI50" s="14">
        <f>IF('Données projet'!$A$62&gt;35,AI49+AH50-AQ49,IF(A50&lt;'Données projet'!$A$62,$AF$205^A50,IF(A50='Données projet'!$A$62,'Données projet'!$B$62,AI49+AH50-AQ49)))</f>
        <v>201.62</v>
      </c>
      <c r="AJ50" s="14">
        <f>AI50*VLOOKUP('Données projet'!$B$10,Paramètres!$A$1:$I$88,3,0)*VLOOKUP('Données projet'!$B$10,Paramètres!$A$1:$I$88,5,0)</f>
        <v>94.358160000000012</v>
      </c>
      <c r="AK50" s="14">
        <f t="shared" si="35"/>
        <v>25.613398050576336</v>
      </c>
      <c r="AL50" s="22">
        <f t="shared" si="4"/>
        <v>208.95046360475382</v>
      </c>
      <c r="AM50" s="62">
        <f t="shared" si="5"/>
        <v>502.28379693808711</v>
      </c>
      <c r="AN50" s="62">
        <f ca="1">AVERAGE(OFFSET($AM$3,0,0,'Données projet'!$E$10+1,1))-AVERAGE(OFFSET($H$3,0,0,'Données projet'!$E$10+1,1))</f>
        <v>82.840015321739202</v>
      </c>
      <c r="AO50" s="62">
        <f t="shared" si="36"/>
        <v>101.40622074610098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6.1434546605811491</v>
      </c>
      <c r="AV50" s="23">
        <f>EXP(-LN(2)/25)*AV49+(1-EXP(-LN(2)/25))/(LN(2)/25)*Calculateur!AQ50*Calculateur!AS50*VLOOKUP('Données projet'!$B$10,Paramètres!$A$1:$I$88,3,0)*0.475*44/12</f>
        <v>12.75048383670733</v>
      </c>
      <c r="AW50" s="23">
        <f>EXP(-LN(2)/2)*AW49+(1-EXP(-LN(2)/2))/(LN(2)/2)*AQ50*AT50*VLOOKUP('Données projet'!$B$10,Paramètres!$A$1:$I$88,3,0)*0.475*44/12</f>
        <v>0</v>
      </c>
      <c r="AX50" s="23">
        <f t="shared" si="6"/>
        <v>18.893938497288481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3.6999999999999993</v>
      </c>
      <c r="BD50" s="13">
        <f>IF('Données projet'!$A$88&gt;35,BD49+BC50-BL49,IF(A50&lt;'Données projet'!$A$88,$BA$205^A50,IF(A50='Données projet'!$A$88,'Données projet'!$B$88,BD49+BC50-BL49)))</f>
        <v>157.69999999999993</v>
      </c>
      <c r="BE50" s="14">
        <f>BD50*VLOOKUP('Données projet'!$B$11,Paramètres!$A$1:$I$88,3,0)*VLOOKUP('Données projet'!$B$11,Paramètres!$A$1:$I$88,5,0)</f>
        <v>94.304599999999965</v>
      </c>
      <c r="BF50" s="14">
        <f t="shared" si="37"/>
        <v>25.600551150064625</v>
      </c>
      <c r="BG50" s="22">
        <f t="shared" si="7"/>
        <v>208.83480491969581</v>
      </c>
      <c r="BH50" s="62">
        <f t="shared" si="8"/>
        <v>502.16813825302916</v>
      </c>
      <c r="BI50" s="62">
        <f ca="1">AVERAGE(OFFSET($BH$3,0,0,'Données projet'!$E$11+1,1))-AVERAGE(OFFSET($H$3,0,0,'Données projet'!$E$11+1,1))</f>
        <v>83.354474428753292</v>
      </c>
      <c r="BJ50" s="62">
        <f t="shared" si="38"/>
        <v>97.75861379589162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8.5226090864798376</v>
      </c>
      <c r="BQ50" s="23">
        <f>EXP(-LN(2)/25)*BQ49+(1-EXP(-LN(2)/25))/(LN(2)/25)*Calculateur!BL50*Calculateur!BN50*VLOOKUP('Données projet'!$B$11,Paramètres!$A$1:$I$88,3,0)*0.475*44/12</f>
        <v>12.956509217289904</v>
      </c>
      <c r="BR50" s="23">
        <f>EXP(-LN(2)/2)*BR49+(1-EXP(-LN(2)/2))/(LN(2)/2)*BL50*BO50*VLOOKUP('Données projet'!$B$11,Paramètres!$A$1:$I$88,3,0)*0.475*44/12</f>
        <v>0</v>
      </c>
      <c r="BS50" s="24">
        <f t="shared" si="9"/>
        <v>21.479118303769742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projet'!$B$12,Paramètres!$A$1:$I$88,3,0)*0.475*44/12</f>
        <v>#N/A</v>
      </c>
      <c r="CL50" s="23" t="e">
        <f>EXP(-LN(2)/25)*CL49+(1-EXP(-LN(2)/25))/(LN(2)/25)*Calculateur!CG50*Calculateur!CI50*VLOOKUP('Données projet'!$B$12,Paramètres!$A$1:$I$88,3,0)*0.475*44/12</f>
        <v>#N/A</v>
      </c>
      <c r="CM50" s="23" t="e">
        <f>EXP(-LN(2)/2)*CM49+(1-EXP(-LN(2)/2))/(LN(2)/2)*CG50*CJ50*VLOOKUP('Données projet'!$B$12,Paramètres!$A$1:$I$88,3,0)*0.475*44/12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35.193599999999982</v>
      </c>
      <c r="D51" s="12">
        <f t="shared" si="32"/>
        <v>10.715375251348382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354.38507211567162</v>
      </c>
      <c r="H51" s="70">
        <f t="shared" si="1"/>
        <v>373.29146522943171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11.4</v>
      </c>
      <c r="N51" s="14">
        <f>IF('Données projet'!$A$36&gt;35,N50+M51-V50,IF(A51&lt;'Données projet'!$A$36,$K$205^A51,IF(A51='Données projet'!$A$36,'Données projet'!$B$36,N50+M51-V50)))</f>
        <v>289.60000000000008</v>
      </c>
      <c r="O51" s="14">
        <f>N51*VLOOKUP('Données projet'!$B$9,Paramètres!$A$1:$I$88,3,0)*VLOOKUP('Données projet'!$B$9,Paramètres!$A$1:$I$88,5,0)</f>
        <v>161.88640000000004</v>
      </c>
      <c r="P51" s="14">
        <f t="shared" si="33"/>
        <v>41.26770750835508</v>
      </c>
      <c r="Q51" s="22">
        <f t="shared" si="53"/>
        <v>353.82673724371847</v>
      </c>
      <c r="R51" s="62">
        <f t="shared" si="0"/>
        <v>647.16007057705178</v>
      </c>
      <c r="S51" s="62">
        <f ca="1">AVERAGE(OFFSET($R$3,0,0,'Données projet'!$E$9+1,1))-AVERAGE(OFFSET($H$3,0,0,'Données projet'!$E$9+1,1))</f>
        <v>222.18341301864729</v>
      </c>
      <c r="T51" s="62">
        <f t="shared" si="34"/>
        <v>172.63628480089358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11.346214392377259</v>
      </c>
      <c r="AA51" s="23">
        <f>EXP(-LN(2)/25)*AA50+(1-EXP(-LN(2)/25))/(LN(2)/25)*Calculateur!V51*Calculateur!X51*VLOOKUP('Données projet'!$B$9,Paramètres!$A$1:$I$88,3,0)*0.475*44/12</f>
        <v>17.703208022859997</v>
      </c>
      <c r="AB51" s="23">
        <f>EXP(-LN(2)/2)*AB50+(1-EXP(-LN(2)/2))/(LN(2)/2)*V51*Y51*VLOOKUP('Données projet'!$B$9,Paramètres!$A$1:$I$88,3,0)*0.475*44/12</f>
        <v>0</v>
      </c>
      <c r="AC51" s="24">
        <f t="shared" si="3"/>
        <v>29.049422415237256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7.5</v>
      </c>
      <c r="AI51" s="14">
        <f>IF('Données projet'!$A$62&gt;35,AI50+AH51-AQ50,IF(A51&lt;'Données projet'!$A$62,$AF$205^A51,IF(A51='Données projet'!$A$62,'Données projet'!$B$62,AI50+AH51-AQ50)))</f>
        <v>209.12</v>
      </c>
      <c r="AJ51" s="14">
        <f>AI51*VLOOKUP('Données projet'!$B$10,Paramètres!$A$1:$I$88,3,0)*VLOOKUP('Données projet'!$B$10,Paramètres!$A$1:$I$88,5,0)</f>
        <v>97.868159999999989</v>
      </c>
      <c r="AK51" s="14">
        <f t="shared" si="35"/>
        <v>26.4534808652033</v>
      </c>
      <c r="AL51" s="22">
        <f t="shared" si="4"/>
        <v>216.52685784022904</v>
      </c>
      <c r="AM51" s="62">
        <f t="shared" si="5"/>
        <v>509.86019117356238</v>
      </c>
      <c r="AN51" s="62">
        <f ca="1">AVERAGE(OFFSET($AM$3,0,0,'Données projet'!$E$10+1,1))-AVERAGE(OFFSET($H$3,0,0,'Données projet'!$E$10+1,1))</f>
        <v>82.840015321739202</v>
      </c>
      <c r="AO51" s="62">
        <f t="shared" si="36"/>
        <v>101.40622074610098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6.0229852618244966</v>
      </c>
      <c r="AV51" s="23">
        <f>EXP(-LN(2)/25)*AV50+(1-EXP(-LN(2)/25))/(LN(2)/25)*Calculateur!AQ51*Calculateur!AS51*VLOOKUP('Données projet'!$B$10,Paramètres!$A$1:$I$88,3,0)*0.475*44/12</f>
        <v>12.401821185673764</v>
      </c>
      <c r="AW51" s="23">
        <f>EXP(-LN(2)/2)*AW50+(1-EXP(-LN(2)/2))/(LN(2)/2)*AQ51*AT51*VLOOKUP('Données projet'!$B$10,Paramètres!$A$1:$I$88,3,0)*0.475*44/12</f>
        <v>0</v>
      </c>
      <c r="AX51" s="23">
        <f t="shared" si="6"/>
        <v>18.424806447498263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3.6999999999999993</v>
      </c>
      <c r="BD51" s="13">
        <f>IF('Données projet'!$A$88&gt;35,BD50+BC51-BL50,IF(A51&lt;'Données projet'!$A$88,$BA$205^A51,IF(A51='Données projet'!$A$88,'Données projet'!$B$88,BD50+BC51-BL50)))</f>
        <v>161.39999999999992</v>
      </c>
      <c r="BE51" s="14">
        <f>BD51*VLOOKUP('Données projet'!$B$11,Paramètres!$A$1:$I$88,3,0)*VLOOKUP('Données projet'!$B$11,Paramètres!$A$1:$I$88,5,0)</f>
        <v>96.51719999999996</v>
      </c>
      <c r="BF51" s="14">
        <f t="shared" si="37"/>
        <v>26.130564414257559</v>
      </c>
      <c r="BG51" s="22">
        <f t="shared" si="7"/>
        <v>213.61152302149853</v>
      </c>
      <c r="BH51" s="62">
        <f t="shared" si="8"/>
        <v>506.94485635483181</v>
      </c>
      <c r="BI51" s="62">
        <f ca="1">AVERAGE(OFFSET($BH$3,0,0,'Données projet'!$E$11+1,1))-AVERAGE(OFFSET($H$3,0,0,'Données projet'!$E$11+1,1))</f>
        <v>83.354474428753292</v>
      </c>
      <c r="BJ51" s="62">
        <f t="shared" si="38"/>
        <v>97.75861379589162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8.3554859205722227</v>
      </c>
      <c r="BQ51" s="23">
        <f>EXP(-LN(2)/25)*BQ50+(1-EXP(-LN(2)/25))/(LN(2)/25)*Calculateur!BL51*Calculateur!BN51*VLOOKUP('Données projet'!$B$11,Paramètres!$A$1:$I$88,3,0)*0.475*44/12</f>
        <v>12.602212791389904</v>
      </c>
      <c r="BR51" s="23">
        <f>EXP(-LN(2)/2)*BR50+(1-EXP(-LN(2)/2))/(LN(2)/2)*BL51*BO51*VLOOKUP('Données projet'!$B$11,Paramètres!$A$1:$I$88,3,0)*0.475*44/12</f>
        <v>0</v>
      </c>
      <c r="BS51" s="24">
        <f t="shared" si="9"/>
        <v>20.957698711962127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projet'!$B$12,Paramètres!$A$1:$I$88,3,0)*0.475*44/12</f>
        <v>#N/A</v>
      </c>
      <c r="CL51" s="23" t="e">
        <f>EXP(-LN(2)/25)*CL50+(1-EXP(-LN(2)/25))/(LN(2)/25)*Calculateur!CG51*Calculateur!CI51*VLOOKUP('Données projet'!$B$12,Paramètres!$A$1:$I$88,3,0)*0.475*44/12</f>
        <v>#N/A</v>
      </c>
      <c r="CM51" s="23" t="e">
        <f>EXP(-LN(2)/2)*CM50+(1-EXP(-LN(2)/2))/(LN(2)/2)*CG51*CJ51*VLOOKUP('Données projet'!$B$12,Paramètres!$A$1:$I$88,3,0)*0.475*44/12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35.926799999999979</v>
      </c>
      <c r="D52" s="12">
        <f t="shared" si="32"/>
        <v>10.912390116516537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361.56567809240823</v>
      </c>
      <c r="H52" s="70">
        <f t="shared" si="1"/>
        <v>374.9115894529329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11.4</v>
      </c>
      <c r="N52" s="14">
        <f>IF('Données projet'!$A$36&gt;35,N51+M52-V51,IF(A52&lt;'Données projet'!$A$36,$K$205^A52,IF(A52='Données projet'!$A$36,'Données projet'!$B$36,N51+M52-V51)))</f>
        <v>301.00000000000006</v>
      </c>
      <c r="O52" s="14">
        <f>N52*VLOOKUP('Données projet'!$B$9,Paramètres!$A$1:$I$88,3,0)*VLOOKUP('Données projet'!$B$9,Paramètres!$A$1:$I$88,5,0)</f>
        <v>168.25900000000004</v>
      </c>
      <c r="P52" s="14">
        <f t="shared" si="33"/>
        <v>42.699864200071879</v>
      </c>
      <c r="Q52" s="22">
        <f t="shared" si="53"/>
        <v>367.42002181512527</v>
      </c>
      <c r="R52" s="62">
        <f t="shared" si="0"/>
        <v>660.75335514845858</v>
      </c>
      <c r="S52" s="62">
        <f ca="1">AVERAGE(OFFSET($R$3,0,0,'Données projet'!$E$9+1,1))-AVERAGE(OFFSET($H$3,0,0,'Données projet'!$E$9+1,1))</f>
        <v>222.18341301864729</v>
      </c>
      <c r="T52" s="62">
        <f t="shared" si="34"/>
        <v>172.63628480089358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11.123722048650178</v>
      </c>
      <c r="AA52" s="23">
        <f>EXP(-LN(2)/25)*AA51+(1-EXP(-LN(2)/25))/(LN(2)/25)*Calculateur!V52*Calculateur!X52*VLOOKUP('Données projet'!$B$9,Paramètres!$A$1:$I$88,3,0)*0.475*44/12</f>
        <v>17.21911286850364</v>
      </c>
      <c r="AB52" s="23">
        <f>EXP(-LN(2)/2)*AB51+(1-EXP(-LN(2)/2))/(LN(2)/2)*V52*Y52*VLOOKUP('Données projet'!$B$9,Paramètres!$A$1:$I$88,3,0)*0.475*44/12</f>
        <v>0</v>
      </c>
      <c r="AC52" s="24">
        <f t="shared" si="3"/>
        <v>28.342834917153816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7.5</v>
      </c>
      <c r="AI52" s="14">
        <f>IF('Données projet'!$A$62&gt;35,AI51+AH52-AQ51,IF(A52&lt;'Données projet'!$A$62,$AF$205^A52,IF(A52='Données projet'!$A$62,'Données projet'!$B$62,AI51+AH52-AQ51)))</f>
        <v>216.62</v>
      </c>
      <c r="AJ52" s="14">
        <f>AI52*VLOOKUP('Données projet'!$B$10,Paramètres!$A$1:$I$88,3,0)*VLOOKUP('Données projet'!$B$10,Paramètres!$A$1:$I$88,5,0)</f>
        <v>101.37815999999999</v>
      </c>
      <c r="AK52" s="14">
        <f t="shared" si="35"/>
        <v>27.29006315682112</v>
      </c>
      <c r="AL52" s="22">
        <f t="shared" si="4"/>
        <v>224.09715533146343</v>
      </c>
      <c r="AM52" s="62">
        <f t="shared" si="5"/>
        <v>517.43048866479671</v>
      </c>
      <c r="AN52" s="62">
        <f ca="1">AVERAGE(OFFSET($AM$3,0,0,'Données projet'!$E$10+1,1))-AVERAGE(OFFSET($H$3,0,0,'Données projet'!$E$10+1,1))</f>
        <v>82.840015321739202</v>
      </c>
      <c r="AO52" s="62">
        <f t="shared" si="36"/>
        <v>101.40622074610098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5.9048781944983846</v>
      </c>
      <c r="AV52" s="23">
        <f>EXP(-LN(2)/25)*AV51+(1-EXP(-LN(2)/25))/(LN(2)/25)*Calculateur!AQ52*Calculateur!AS52*VLOOKUP('Données projet'!$B$10,Paramètres!$A$1:$I$88,3,0)*0.475*44/12</f>
        <v>12.062692733168085</v>
      </c>
      <c r="AW52" s="23">
        <f>EXP(-LN(2)/2)*AW51+(1-EXP(-LN(2)/2))/(LN(2)/2)*AQ52*AT52*VLOOKUP('Données projet'!$B$10,Paramètres!$A$1:$I$88,3,0)*0.475*44/12</f>
        <v>0</v>
      </c>
      <c r="AX52" s="23">
        <f t="shared" si="6"/>
        <v>17.967570927666468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3.6999999999999993</v>
      </c>
      <c r="BD52" s="13">
        <f>IF('Données projet'!$A$88&gt;35,BD51+BC52-BL51,IF(A52&lt;'Données projet'!$A$88,$BA$205^A52,IF(A52='Données projet'!$A$88,'Données projet'!$B$88,BD51+BC52-BL51)))</f>
        <v>165.09999999999991</v>
      </c>
      <c r="BE52" s="14">
        <f>BD52*VLOOKUP('Données projet'!$B$11,Paramètres!$A$1:$I$88,3,0)*VLOOKUP('Données projet'!$B$11,Paramètres!$A$1:$I$88,5,0)</f>
        <v>98.72979999999994</v>
      </c>
      <c r="BF52" s="14">
        <f t="shared" si="37"/>
        <v>26.659165144771517</v>
      </c>
      <c r="BG52" s="22">
        <f t="shared" si="7"/>
        <v>218.38578096047695</v>
      </c>
      <c r="BH52" s="62">
        <f t="shared" si="8"/>
        <v>511.71911429381026</v>
      </c>
      <c r="BI52" s="62">
        <f ca="1">AVERAGE(OFFSET($BH$3,0,0,'Données projet'!$E$11+1,1))-AVERAGE(OFFSET($H$3,0,0,'Données projet'!$E$11+1,1))</f>
        <v>83.354474428753292</v>
      </c>
      <c r="BJ52" s="62">
        <f t="shared" si="38"/>
        <v>97.75861379589162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8.1916399380129903</v>
      </c>
      <c r="BQ52" s="23">
        <f>EXP(-LN(2)/25)*BQ51+(1-EXP(-LN(2)/25))/(LN(2)/25)*Calculateur!BL52*Calculateur!BN52*VLOOKUP('Données projet'!$B$11,Paramètres!$A$1:$I$88,3,0)*0.475*44/12</f>
        <v>12.257604619887779</v>
      </c>
      <c r="BR52" s="23">
        <f>EXP(-LN(2)/2)*BR51+(1-EXP(-LN(2)/2))/(LN(2)/2)*BL52*BO52*VLOOKUP('Données projet'!$B$11,Paramètres!$A$1:$I$88,3,0)*0.475*44/12</f>
        <v>0</v>
      </c>
      <c r="BS52" s="24">
        <f t="shared" si="9"/>
        <v>20.449244557900769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projet'!$B$12,Paramètres!$A$1:$I$88,3,0)*0.475*44/12</f>
        <v>#N/A</v>
      </c>
      <c r="CL52" s="23" t="e">
        <f>EXP(-LN(2)/25)*CL51+(1-EXP(-LN(2)/25))/(LN(2)/25)*Calculateur!CG52*Calculateur!CI52*VLOOKUP('Données projet'!$B$12,Paramètres!$A$1:$I$88,3,0)*0.475*44/12</f>
        <v>#N/A</v>
      </c>
      <c r="CM52" s="23" t="e">
        <f>EXP(-LN(2)/2)*CM51+(1-EXP(-LN(2)/2))/(LN(2)/2)*CG52*CJ52*VLOOKUP('Données projet'!$B$12,Paramètres!$A$1:$I$88,3,0)*0.475*44/12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36.659999999999975</v>
      </c>
      <c r="D53" s="12">
        <f t="shared" si="32"/>
        <v>11.108937492002092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368.74267537685813</v>
      </c>
      <c r="H53" s="70">
        <f t="shared" si="1"/>
        <v>376.53089946523693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11.4</v>
      </c>
      <c r="N53" s="14">
        <f>IF('Données projet'!$A$36&gt;35,N52+M53-V52,IF(A53&lt;'Données projet'!$A$36,$K$205^A53,IF(A53='Données projet'!$A$36,'Données projet'!$B$36,N52+M53-V52)))</f>
        <v>312.40000000000003</v>
      </c>
      <c r="O53" s="14">
        <f>N53*VLOOKUP('Données projet'!$B$9,Paramètres!$A$1:$I$88,3,0)*VLOOKUP('Données projet'!$B$9,Paramètres!$A$1:$I$88,5,0)</f>
        <v>174.63160000000005</v>
      </c>
      <c r="P53" s="14">
        <f t="shared" si="33"/>
        <v>44.125719527183371</v>
      </c>
      <c r="Q53" s="22">
        <f t="shared" si="53"/>
        <v>381.00233150984445</v>
      </c>
      <c r="R53" s="62">
        <f t="shared" si="0"/>
        <v>674.33566484317771</v>
      </c>
      <c r="S53" s="62">
        <f ca="1">AVERAGE(OFFSET($R$3,0,0,'Données projet'!$E$9+1,1))-AVERAGE(OFFSET($H$3,0,0,'Données projet'!$E$9+1,1))</f>
        <v>222.18341301864729</v>
      </c>
      <c r="T53" s="62">
        <f t="shared" si="34"/>
        <v>172.63628480089358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10.905592644076654</v>
      </c>
      <c r="AA53" s="23">
        <f>EXP(-LN(2)/25)*AA52+(1-EXP(-LN(2)/25))/(LN(2)/25)*Calculateur!V53*Calculateur!X53*VLOOKUP('Données projet'!$B$9,Paramètres!$A$1:$I$88,3,0)*0.475*44/12</f>
        <v>16.748255321600617</v>
      </c>
      <c r="AB53" s="23">
        <f>EXP(-LN(2)/2)*AB52+(1-EXP(-LN(2)/2))/(LN(2)/2)*V53*Y53*VLOOKUP('Données projet'!$B$9,Paramètres!$A$1:$I$88,3,0)*0.475*44/12</f>
        <v>0</v>
      </c>
      <c r="AC53" s="24">
        <f t="shared" si="3"/>
        <v>27.653847965677272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7.5</v>
      </c>
      <c r="AI53" s="14">
        <f>IF('Données projet'!$A$62&gt;35,AI52+AH53-AQ52,IF(A53&lt;'Données projet'!$A$62,$AF$205^A53,IF(A53='Données projet'!$A$62,'Données projet'!$B$62,AI52+AH53-AQ52)))</f>
        <v>224.12</v>
      </c>
      <c r="AJ53" s="14">
        <f>AI53*VLOOKUP('Données projet'!$B$10,Paramètres!$A$1:$I$88,3,0)*VLOOKUP('Données projet'!$B$10,Paramètres!$A$1:$I$88,5,0)</f>
        <v>104.88816</v>
      </c>
      <c r="AK53" s="14">
        <f t="shared" si="35"/>
        <v>28.123280013510676</v>
      </c>
      <c r="AL53" s="22">
        <f t="shared" si="4"/>
        <v>231.66159135686442</v>
      </c>
      <c r="AM53" s="62">
        <f t="shared" si="5"/>
        <v>524.99492469019776</v>
      </c>
      <c r="AN53" s="62">
        <f ca="1">AVERAGE(OFFSET($AM$3,0,0,'Données projet'!$E$10+1,1))-AVERAGE(OFFSET($H$3,0,0,'Données projet'!$E$10+1,1))</f>
        <v>82.840015321739202</v>
      </c>
      <c r="AO53" s="62">
        <f t="shared" si="36"/>
        <v>101.40622074610098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5.7890871347243396</v>
      </c>
      <c r="AV53" s="23">
        <f>EXP(-LN(2)/25)*AV52+(1-EXP(-LN(2)/25))/(LN(2)/25)*Calculateur!AQ53*Calculateur!AS53*VLOOKUP('Données projet'!$B$10,Paramètres!$A$1:$I$88,3,0)*0.475*44/12</f>
        <v>11.732837766030162</v>
      </c>
      <c r="AW53" s="23">
        <f>EXP(-LN(2)/2)*AW52+(1-EXP(-LN(2)/2))/(LN(2)/2)*AQ53*AT53*VLOOKUP('Données projet'!$B$10,Paramètres!$A$1:$I$88,3,0)*0.475*44/12</f>
        <v>0</v>
      </c>
      <c r="AX53" s="23">
        <f t="shared" si="6"/>
        <v>17.521924900754502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3.6999999999999993</v>
      </c>
      <c r="BD53" s="13">
        <f>IF('Données projet'!$A$88&gt;35,BD52+BC53-BL52,IF(A53&lt;'Données projet'!$A$88,$BA$205^A53,IF(A53='Données projet'!$A$88,'Données projet'!$B$88,BD52+BC53-BL52)))</f>
        <v>168.7999999999999</v>
      </c>
      <c r="BE53" s="14">
        <f>BD53*VLOOKUP('Données projet'!$B$11,Paramètres!$A$1:$I$88,3,0)*VLOOKUP('Données projet'!$B$11,Paramètres!$A$1:$I$88,5,0)</f>
        <v>100.94239999999995</v>
      </c>
      <c r="BF53" s="14">
        <f t="shared" si="37"/>
        <v>27.18638864207113</v>
      </c>
      <c r="BG53" s="22">
        <f t="shared" si="7"/>
        <v>223.15764021827377</v>
      </c>
      <c r="BH53" s="62">
        <f t="shared" si="8"/>
        <v>516.49097355160711</v>
      </c>
      <c r="BI53" s="62">
        <f ca="1">AVERAGE(OFFSET($BH$3,0,0,'Données projet'!$E$11+1,1))-AVERAGE(OFFSET($H$3,0,0,'Données projet'!$E$11+1,1))</f>
        <v>83.354474428753292</v>
      </c>
      <c r="BJ53" s="62">
        <f t="shared" si="38"/>
        <v>97.75861379589162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8.0310068752355637</v>
      </c>
      <c r="BQ53" s="23">
        <f>EXP(-LN(2)/25)*BQ52+(1-EXP(-LN(2)/25))/(LN(2)/25)*Calculateur!BL53*Calculateur!BN53*VLOOKUP('Données projet'!$B$11,Paramètres!$A$1:$I$88,3,0)*0.475*44/12</f>
        <v>11.922419776957536</v>
      </c>
      <c r="BR53" s="23">
        <f>EXP(-LN(2)/2)*BR52+(1-EXP(-LN(2)/2))/(LN(2)/2)*BL53*BO53*VLOOKUP('Données projet'!$B$11,Paramètres!$A$1:$I$88,3,0)*0.475*44/12</f>
        <v>0</v>
      </c>
      <c r="BS53" s="24">
        <f t="shared" si="9"/>
        <v>19.953426652193102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projet'!$B$12,Paramètres!$A$1:$I$88,3,0)*0.475*44/12</f>
        <v>#N/A</v>
      </c>
      <c r="CL53" s="23" t="e">
        <f>EXP(-LN(2)/25)*CL52+(1-EXP(-LN(2)/25))/(LN(2)/25)*Calculateur!CG53*Calculateur!CI53*VLOOKUP('Données projet'!$B$12,Paramètres!$A$1:$I$88,3,0)*0.475*44/12</f>
        <v>#N/A</v>
      </c>
      <c r="CM53" s="23" t="e">
        <f>EXP(-LN(2)/2)*CM52+(1-EXP(-LN(2)/2))/(LN(2)/2)*CG53*CJ53*VLOOKUP('Données projet'!$B$12,Paramètres!$A$1:$I$88,3,0)*0.475*44/12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37.393199999999972</v>
      </c>
      <c r="D54" s="12">
        <f t="shared" si="32"/>
        <v>11.305027805177126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375.91614446101624</v>
      </c>
      <c r="H54" s="70">
        <f t="shared" si="1"/>
        <v>378.14941342735011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11.4</v>
      </c>
      <c r="N54" s="14">
        <f>IF('Données projet'!$A$36&gt;35,N53+M54-V53,IF(A54&lt;'Données projet'!$A$36,$K$205^A54,IF(A54='Données projet'!$A$36,'Données projet'!$B$36,N53+M54-V53)))</f>
        <v>323.8</v>
      </c>
      <c r="O54" s="14">
        <f>N54*VLOOKUP('Données projet'!$B$9,Paramètres!$A$1:$I$88,3,0)*VLOOKUP('Données projet'!$B$9,Paramètres!$A$1:$I$88,5,0)</f>
        <v>181.00420000000003</v>
      </c>
      <c r="P54" s="14">
        <f t="shared" si="33"/>
        <v>45.545529774197469</v>
      </c>
      <c r="Q54" s="22">
        <f t="shared" si="53"/>
        <v>394.57411269006053</v>
      </c>
      <c r="R54" s="62">
        <f t="shared" si="0"/>
        <v>687.90744602339385</v>
      </c>
      <c r="S54" s="62">
        <f ca="1">AVERAGE(OFFSET($R$3,0,0,'Données projet'!$E$9+1,1))-AVERAGE(OFFSET($H$3,0,0,'Données projet'!$E$9+1,1))</f>
        <v>222.18341301864729</v>
      </c>
      <c r="T54" s="62">
        <f t="shared" si="34"/>
        <v>172.63628480089358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10.691740624081017</v>
      </c>
      <c r="AA54" s="23">
        <f>EXP(-LN(2)/25)*AA53+(1-EXP(-LN(2)/25))/(LN(2)/25)*Calculateur!V54*Calculateur!X54*VLOOKUP('Données projet'!$B$9,Paramètres!$A$1:$I$88,3,0)*0.475*44/12</f>
        <v>16.290273399078981</v>
      </c>
      <c r="AB54" s="23">
        <f>EXP(-LN(2)/2)*AB53+(1-EXP(-LN(2)/2))/(LN(2)/2)*V54*Y54*VLOOKUP('Données projet'!$B$9,Paramètres!$A$1:$I$88,3,0)*0.475*44/12</f>
        <v>0</v>
      </c>
      <c r="AC54" s="24">
        <f t="shared" si="3"/>
        <v>26.982014023159998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7.5</v>
      </c>
      <c r="AI54" s="14">
        <f>IF('Données projet'!$A$62&gt;35,AI53+AH54-AQ53,IF(A54&lt;'Données projet'!$A$62,$AF$205^A54,IF(A54='Données projet'!$A$62,'Données projet'!$B$62,AI53+AH54-AQ53)))</f>
        <v>231.62</v>
      </c>
      <c r="AJ54" s="14">
        <f>AI54*VLOOKUP('Données projet'!$B$10,Paramètres!$A$1:$I$88,3,0)*VLOOKUP('Données projet'!$B$10,Paramètres!$A$1:$I$88,5,0)</f>
        <v>108.39816</v>
      </c>
      <c r="AK54" s="14">
        <f t="shared" si="35"/>
        <v>28.953256969105865</v>
      </c>
      <c r="AL54" s="22">
        <f t="shared" si="4"/>
        <v>239.22038455452602</v>
      </c>
      <c r="AM54" s="62">
        <f t="shared" si="5"/>
        <v>532.55371788785931</v>
      </c>
      <c r="AN54" s="62">
        <f ca="1">AVERAGE(OFFSET($AM$3,0,0,'Données projet'!$E$10+1,1))-AVERAGE(OFFSET($H$3,0,0,'Données projet'!$E$10+1,1))</f>
        <v>82.840015321739202</v>
      </c>
      <c r="AO54" s="62">
        <f t="shared" si="36"/>
        <v>101.40622074610098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5.6755666670068905</v>
      </c>
      <c r="AV54" s="23">
        <f>EXP(-LN(2)/25)*AV53+(1-EXP(-LN(2)/25))/(LN(2)/25)*Calculateur!AQ54*Calculateur!AS54*VLOOKUP('Données projet'!$B$10,Paramètres!$A$1:$I$88,3,0)*0.475*44/12</f>
        <v>11.412002700314945</v>
      </c>
      <c r="AW54" s="23">
        <f>EXP(-LN(2)/2)*AW53+(1-EXP(-LN(2)/2))/(LN(2)/2)*AQ54*AT54*VLOOKUP('Données projet'!$B$10,Paramètres!$A$1:$I$88,3,0)*0.475*44/12</f>
        <v>0</v>
      </c>
      <c r="AX54" s="23">
        <f t="shared" si="6"/>
        <v>17.087569367321834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3.6999999999999993</v>
      </c>
      <c r="BD54" s="13">
        <f>IF('Données projet'!$A$88&gt;35,BD53+BC54-BL53,IF(A54&lt;'Données projet'!$A$88,$BA$205^A54,IF(A54='Données projet'!$A$88,'Données projet'!$B$88,BD53+BC54-BL53)))</f>
        <v>172.49999999999989</v>
      </c>
      <c r="BE54" s="14">
        <f>BD54*VLOOKUP('Données projet'!$B$11,Paramètres!$A$1:$I$88,3,0)*VLOOKUP('Données projet'!$B$11,Paramètres!$A$1:$I$88,5,0)</f>
        <v>103.15499999999994</v>
      </c>
      <c r="BF54" s="14">
        <f t="shared" si="37"/>
        <v>27.712268570716105</v>
      </c>
      <c r="BG54" s="22">
        <f t="shared" si="7"/>
        <v>227.92715942733045</v>
      </c>
      <c r="BH54" s="62">
        <f t="shared" si="8"/>
        <v>521.26049276066374</v>
      </c>
      <c r="BI54" s="62">
        <f ca="1">AVERAGE(OFFSET($BH$3,0,0,'Données projet'!$E$11+1,1))-AVERAGE(OFFSET($H$3,0,0,'Données projet'!$E$11+1,1))</f>
        <v>83.354474428753292</v>
      </c>
      <c r="BJ54" s="62">
        <f t="shared" si="38"/>
        <v>97.75861379589162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7.8735237288427085</v>
      </c>
      <c r="BQ54" s="23">
        <f>EXP(-LN(2)/25)*BQ53+(1-EXP(-LN(2)/25))/(LN(2)/25)*Calculateur!BL54*Calculateur!BN54*VLOOKUP('Données projet'!$B$11,Paramètres!$A$1:$I$88,3,0)*0.475*44/12</f>
        <v>11.596400581183826</v>
      </c>
      <c r="BR54" s="23">
        <f>EXP(-LN(2)/2)*BR53+(1-EXP(-LN(2)/2))/(LN(2)/2)*BL54*BO54*VLOOKUP('Données projet'!$B$11,Paramètres!$A$1:$I$88,3,0)*0.475*44/12</f>
        <v>0</v>
      </c>
      <c r="BS54" s="24">
        <f t="shared" si="9"/>
        <v>19.469924310026535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projet'!$B$12,Paramètres!$A$1:$I$88,3,0)*0.475*44/12</f>
        <v>#N/A</v>
      </c>
      <c r="CL54" s="23" t="e">
        <f>EXP(-LN(2)/25)*CL53+(1-EXP(-LN(2)/25))/(LN(2)/25)*Calculateur!CG54*Calculateur!CI54*VLOOKUP('Données projet'!$B$12,Paramètres!$A$1:$I$88,3,0)*0.475*44/12</f>
        <v>#N/A</v>
      </c>
      <c r="CM54" s="23" t="e">
        <f>EXP(-LN(2)/2)*CM53+(1-EXP(-LN(2)/2))/(LN(2)/2)*CG54*CJ54*VLOOKUP('Données projet'!$B$12,Paramètres!$A$1:$I$88,3,0)*0.475*44/12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38.126399999999968</v>
      </c>
      <c r="D55" s="12">
        <f t="shared" si="32"/>
        <v>11.500671051108624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383.08616249978564</v>
      </c>
      <c r="H55" s="70">
        <f t="shared" si="1"/>
        <v>379.76714874734745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11.4</v>
      </c>
      <c r="N55" s="14">
        <f>IF('Données projet'!$A$36&gt;35,N54+M55-V54,IF(A55&lt;'Données projet'!$A$36,$K$205^A55,IF(A55='Données projet'!$A$36,'Données projet'!$B$36,N54+M55-V54)))</f>
        <v>335.2</v>
      </c>
      <c r="O55" s="14">
        <f>N55*VLOOKUP('Données projet'!$B$9,Paramètres!$A$1:$I$88,3,0)*VLOOKUP('Données projet'!$B$9,Paramètres!$A$1:$I$88,5,0)</f>
        <v>187.3768</v>
      </c>
      <c r="P55" s="14">
        <f t="shared" si="33"/>
        <v>46.959532156443977</v>
      </c>
      <c r="Q55" s="22">
        <f t="shared" si="53"/>
        <v>408.13577850580651</v>
      </c>
      <c r="R55" s="62">
        <f t="shared" si="0"/>
        <v>701.46911183913983</v>
      </c>
      <c r="S55" s="62">
        <f ca="1">AVERAGE(OFFSET($R$3,0,0,'Données projet'!$E$9+1,1))-AVERAGE(OFFSET($H$3,0,0,'Données projet'!$E$9+1,1))</f>
        <v>222.18341301864729</v>
      </c>
      <c r="T55" s="62">
        <f t="shared" si="34"/>
        <v>172.63628480089358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10.482082111760642</v>
      </c>
      <c r="AA55" s="23">
        <f>EXP(-LN(2)/25)*AA54+(1-EXP(-LN(2)/25))/(LN(2)/25)*Calculateur!V55*Calculateur!X55*VLOOKUP('Données projet'!$B$9,Paramètres!$A$1:$I$88,3,0)*0.475*44/12</f>
        <v>15.84481501631292</v>
      </c>
      <c r="AB55" s="23">
        <f>EXP(-LN(2)/2)*AB54+(1-EXP(-LN(2)/2))/(LN(2)/2)*V55*Y55*VLOOKUP('Données projet'!$B$9,Paramètres!$A$1:$I$88,3,0)*0.475*44/12</f>
        <v>0</v>
      </c>
      <c r="AC55" s="24">
        <f t="shared" si="3"/>
        <v>26.326897128073561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7.5</v>
      </c>
      <c r="AI55" s="14">
        <f>IF('Données projet'!$A$62&gt;35,AI54+AH55-AQ54,IF(A55&lt;'Données projet'!$A$62,$AF$205^A55,IF(A55='Données projet'!$A$62,'Données projet'!$B$62,AI54+AH55-AQ54)))</f>
        <v>239.12</v>
      </c>
      <c r="AJ55" s="14">
        <f>AI55*VLOOKUP('Données projet'!$B$10,Paramètres!$A$1:$I$88,3,0)*VLOOKUP('Données projet'!$B$10,Paramètres!$A$1:$I$88,5,0)</f>
        <v>111.90816000000001</v>
      </c>
      <c r="AK55" s="14">
        <f t="shared" si="35"/>
        <v>29.780110966194563</v>
      </c>
      <c r="AL55" s="22">
        <f t="shared" si="4"/>
        <v>246.77373859945556</v>
      </c>
      <c r="AM55" s="62">
        <f t="shared" si="5"/>
        <v>540.10707193278881</v>
      </c>
      <c r="AN55" s="62">
        <f ca="1">AVERAGE(OFFSET($AM$3,0,0,'Données projet'!$E$10+1,1))-AVERAGE(OFFSET($H$3,0,0,'Données projet'!$E$10+1,1))</f>
        <v>82.840015321739202</v>
      </c>
      <c r="AO55" s="62">
        <f t="shared" si="36"/>
        <v>101.40622074610098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5.5642722664207325</v>
      </c>
      <c r="AV55" s="23">
        <f>EXP(-LN(2)/25)*AV54+(1-EXP(-LN(2)/25))/(LN(2)/25)*Calculateur!AQ55*Calculateur!AS55*VLOOKUP('Données projet'!$B$10,Paramètres!$A$1:$I$88,3,0)*0.475*44/12</f>
        <v>11.099940886343694</v>
      </c>
      <c r="AW55" s="23">
        <f>EXP(-LN(2)/2)*AW54+(1-EXP(-LN(2)/2))/(LN(2)/2)*AQ55*AT55*VLOOKUP('Données projet'!$B$10,Paramètres!$A$1:$I$88,3,0)*0.475*44/12</f>
        <v>0</v>
      </c>
      <c r="AX55" s="23">
        <f t="shared" si="6"/>
        <v>16.664213152764425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3.6999999999999993</v>
      </c>
      <c r="BD55" s="13">
        <f>IF('Données projet'!$A$88&gt;35,BD54+BC55-BL54,IF(A55&lt;'Données projet'!$A$88,$BA$205^A55,IF(A55='Données projet'!$A$88,'Données projet'!$B$88,BD54+BC55-BL54)))</f>
        <v>176.19999999999987</v>
      </c>
      <c r="BE55" s="14">
        <f>BD55*VLOOKUP('Données projet'!$B$11,Paramètres!$A$1:$I$88,3,0)*VLOOKUP('Données projet'!$B$11,Paramètres!$A$1:$I$88,5,0)</f>
        <v>105.36759999999994</v>
      </c>
      <c r="BF55" s="14">
        <f t="shared" si="37"/>
        <v>28.236837068609667</v>
      </c>
      <c r="BG55" s="22">
        <f t="shared" si="7"/>
        <v>232.69439456116172</v>
      </c>
      <c r="BH55" s="62">
        <f t="shared" si="8"/>
        <v>526.027727894495</v>
      </c>
      <c r="BI55" s="62">
        <f ca="1">AVERAGE(OFFSET($BH$3,0,0,'Données projet'!$E$11+1,1))-AVERAGE(OFFSET($H$3,0,0,'Données projet'!$E$11+1,1))</f>
        <v>83.354474428753292</v>
      </c>
      <c r="BJ55" s="62">
        <f t="shared" si="38"/>
        <v>97.75861379589162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7.719128730895382</v>
      </c>
      <c r="BQ55" s="23">
        <f>EXP(-LN(2)/25)*BQ54+(1-EXP(-LN(2)/25))/(LN(2)/25)*Calculateur!BL55*Calculateur!BN55*VLOOKUP('Données projet'!$B$11,Paramètres!$A$1:$I$88,3,0)*0.475*44/12</f>
        <v>11.279296397463151</v>
      </c>
      <c r="BR55" s="23">
        <f>EXP(-LN(2)/2)*BR54+(1-EXP(-LN(2)/2))/(LN(2)/2)*BL55*BO55*VLOOKUP('Données projet'!$B$11,Paramètres!$A$1:$I$88,3,0)*0.475*44/12</f>
        <v>0</v>
      </c>
      <c r="BS55" s="24">
        <f t="shared" si="9"/>
        <v>18.998425128358534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projet'!$B$12,Paramètres!$A$1:$I$88,3,0)*0.475*44/12</f>
        <v>#N/A</v>
      </c>
      <c r="CL55" s="23" t="e">
        <f>EXP(-LN(2)/25)*CL54+(1-EXP(-LN(2)/25))/(LN(2)/25)*Calculateur!CG55*Calculateur!CI55*VLOOKUP('Données projet'!$B$12,Paramètres!$A$1:$I$88,3,0)*0.475*44/12</f>
        <v>#N/A</v>
      </c>
      <c r="CM55" s="23" t="e">
        <f>EXP(-LN(2)/2)*CM54+(1-EXP(-LN(2)/2))/(LN(2)/2)*CG55*CJ55*VLOOKUP('Données projet'!$B$12,Paramètres!$A$1:$I$88,3,0)*0.475*44/12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38.859599999999965</v>
      </c>
      <c r="D56" s="12">
        <f t="shared" si="32"/>
        <v>11.695876818444219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390.25280351079726</v>
      </c>
      <c r="H56" s="70">
        <f t="shared" si="1"/>
        <v>381.38412212545694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11.4</v>
      </c>
      <c r="N56" s="14">
        <f>IF('Données projet'!$A$36&gt;35,N55+M56-V55,IF(A56&lt;'Données projet'!$A$36,$K$205^A56,IF(A56='Données projet'!$A$36,'Données projet'!$B$36,N55+M56-V55)))</f>
        <v>346.59999999999997</v>
      </c>
      <c r="O56" s="14">
        <f>N56*VLOOKUP('Données projet'!$B$9,Paramètres!$A$1:$I$88,3,0)*VLOOKUP('Données projet'!$B$9,Paramètres!$A$1:$I$88,5,0)</f>
        <v>193.74939999999998</v>
      </c>
      <c r="P56" s="14">
        <f t="shared" si="33"/>
        <v>48.367946838763594</v>
      </c>
      <c r="Q56" s="22">
        <f t="shared" si="53"/>
        <v>421.68771241084659</v>
      </c>
      <c r="R56" s="62">
        <f t="shared" si="0"/>
        <v>715.0210457441799</v>
      </c>
      <c r="S56" s="62">
        <f ca="1">AVERAGE(OFFSET($R$3,0,0,'Données projet'!$E$9+1,1))-AVERAGE(OFFSET($H$3,0,0,'Données projet'!$E$9+1,1))</f>
        <v>222.18341301864729</v>
      </c>
      <c r="T56" s="62">
        <f t="shared" si="34"/>
        <v>172.63628480089358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10.276534874987805</v>
      </c>
      <c r="AA56" s="23">
        <f>EXP(-LN(2)/25)*AA55+(1-EXP(-LN(2)/25))/(LN(2)/25)*Calculateur!V56*Calculateur!X56*VLOOKUP('Données projet'!$B$9,Paramètres!$A$1:$I$88,3,0)*0.475*44/12</f>
        <v>15.411537716449235</v>
      </c>
      <c r="AB56" s="23">
        <f>EXP(-LN(2)/2)*AB55+(1-EXP(-LN(2)/2))/(LN(2)/2)*V56*Y56*VLOOKUP('Données projet'!$B$9,Paramètres!$A$1:$I$88,3,0)*0.475*44/12</f>
        <v>0</v>
      </c>
      <c r="AC56" s="24">
        <f t="shared" si="3"/>
        <v>25.688072591437042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7.5</v>
      </c>
      <c r="AI56" s="14">
        <f>IF('Données projet'!$A$62&gt;35,AI55+AH56-AQ55,IF(A56&lt;'Données projet'!$A$62,$AF$205^A56,IF(A56='Données projet'!$A$62,'Données projet'!$B$62,AI55+AH56-AQ55)))</f>
        <v>246.62</v>
      </c>
      <c r="AJ56" s="14">
        <f>AI56*VLOOKUP('Données projet'!$B$10,Paramètres!$A$1:$I$88,3,0)*VLOOKUP('Données projet'!$B$10,Paramètres!$A$1:$I$88,5,0)</f>
        <v>115.41816</v>
      </c>
      <c r="AK56" s="14">
        <f t="shared" si="35"/>
        <v>30.60395119490676</v>
      </c>
      <c r="AL56" s="22">
        <f t="shared" si="4"/>
        <v>254.32184366446259</v>
      </c>
      <c r="AM56" s="62">
        <f t="shared" si="5"/>
        <v>547.65517699779593</v>
      </c>
      <c r="AN56" s="62">
        <f ca="1">AVERAGE(OFFSET($AM$3,0,0,'Données projet'!$E$10+1,1))-AVERAGE(OFFSET($H$3,0,0,'Données projet'!$E$10+1,1))</f>
        <v>82.840015321739202</v>
      </c>
      <c r="AO56" s="62">
        <f t="shared" si="36"/>
        <v>101.40622074610098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5.4551602811471875</v>
      </c>
      <c r="AV56" s="23">
        <f>EXP(-LN(2)/25)*AV55+(1-EXP(-LN(2)/25))/(LN(2)/25)*Calculateur!AQ56*Calculateur!AS56*VLOOKUP('Données projet'!$B$10,Paramètres!$A$1:$I$88,3,0)*0.475*44/12</f>
        <v>10.796412419086103</v>
      </c>
      <c r="AW56" s="23">
        <f>EXP(-LN(2)/2)*AW55+(1-EXP(-LN(2)/2))/(LN(2)/2)*AQ56*AT56*VLOOKUP('Données projet'!$B$10,Paramètres!$A$1:$I$88,3,0)*0.475*44/12</f>
        <v>0</v>
      </c>
      <c r="AX56" s="23">
        <f t="shared" si="6"/>
        <v>16.251572700233289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3.6999999999999993</v>
      </c>
      <c r="BD56" s="13">
        <f>IF('Données projet'!$A$88&gt;35,BD55+BC56-BL55,IF(A56&lt;'Données projet'!$A$88,$BA$205^A56,IF(A56='Données projet'!$A$88,'Données projet'!$B$88,BD55+BC56-BL55)))</f>
        <v>179.89999999999986</v>
      </c>
      <c r="BE56" s="14">
        <f>BD56*VLOOKUP('Données projet'!$B$11,Paramètres!$A$1:$I$88,3,0)*VLOOKUP('Données projet'!$B$11,Paramètres!$A$1:$I$88,5,0)</f>
        <v>107.58019999999992</v>
      </c>
      <c r="BF56" s="14">
        <f t="shared" si="37"/>
        <v>28.760124846811699</v>
      </c>
      <c r="BG56" s="22">
        <f t="shared" si="7"/>
        <v>237.45939910819689</v>
      </c>
      <c r="BH56" s="62">
        <f t="shared" si="8"/>
        <v>530.79273244153023</v>
      </c>
      <c r="BI56" s="62">
        <f ca="1">AVERAGE(OFFSET($BH$3,0,0,'Données projet'!$E$11+1,1))-AVERAGE(OFFSET($H$3,0,0,'Données projet'!$E$11+1,1))</f>
        <v>83.354474428753292</v>
      </c>
      <c r="BJ56" s="62">
        <f t="shared" si="38"/>
        <v>97.75861379589162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7.5677613246861526</v>
      </c>
      <c r="BQ56" s="23">
        <f>EXP(-LN(2)/25)*BQ55+(1-EXP(-LN(2)/25))/(LN(2)/25)*Calculateur!BL56*Calculateur!BN56*VLOOKUP('Données projet'!$B$11,Paramètres!$A$1:$I$88,3,0)*0.475*44/12</f>
        <v>10.970863444322102</v>
      </c>
      <c r="BR56" s="23">
        <f>EXP(-LN(2)/2)*BR55+(1-EXP(-LN(2)/2))/(LN(2)/2)*BL56*BO56*VLOOKUP('Données projet'!$B$11,Paramètres!$A$1:$I$88,3,0)*0.475*44/12</f>
        <v>0</v>
      </c>
      <c r="BS56" s="24">
        <f t="shared" si="9"/>
        <v>18.538624769008255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projet'!$B$12,Paramètres!$A$1:$I$88,3,0)*0.475*44/12</f>
        <v>#N/A</v>
      </c>
      <c r="CL56" s="23" t="e">
        <f>EXP(-LN(2)/25)*CL55+(1-EXP(-LN(2)/25))/(LN(2)/25)*Calculateur!CG56*Calculateur!CI56*VLOOKUP('Données projet'!$B$12,Paramètres!$A$1:$I$88,3,0)*0.475*44/12</f>
        <v>#N/A</v>
      </c>
      <c r="CM56" s="23" t="e">
        <f>EXP(-LN(2)/2)*CM55+(1-EXP(-LN(2)/2))/(LN(2)/2)*CG56*CJ56*VLOOKUP('Données projet'!$B$12,Paramètres!$A$1:$I$88,3,0)*0.475*44/12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39.592799999999961</v>
      </c>
      <c r="D57" s="12">
        <f t="shared" si="32"/>
        <v>11.890654313289092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397.41613855872248</v>
      </c>
      <c r="H57" s="70">
        <f t="shared" si="1"/>
        <v>383.0003495956451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>
        <f>VLOOKUP(A57,'Données projet'!$A$35:$I$55,2,0)</f>
        <v>358</v>
      </c>
      <c r="L57" s="13">
        <f>VLOOKUP(A57,'Données projet'!$A$35:$I$55,9,0)</f>
        <v>11.4</v>
      </c>
      <c r="M57" s="13">
        <f t="array" ref="M57">INDEX(L:L,MIN(IF(ISNUMBER(L57:L253),ROW(L57:L253),"")))</f>
        <v>11.4</v>
      </c>
      <c r="N57" s="14">
        <f>IF('Données projet'!$A$36&gt;35,N56+M57-V56,IF(A57&lt;'Données projet'!$A$36,$K$205^A57,IF(A57='Données projet'!$A$36,'Données projet'!$B$36,N56+M57-V56)))</f>
        <v>357.99999999999994</v>
      </c>
      <c r="O57" s="14">
        <f>N57*VLOOKUP('Données projet'!$B$9,Paramètres!$A$1:$I$88,3,0)*VLOOKUP('Données projet'!$B$9,Paramètres!$A$1:$I$88,5,0)</f>
        <v>200.12199999999996</v>
      </c>
      <c r="P57" s="14">
        <f t="shared" si="33"/>
        <v>49.77097868115019</v>
      </c>
      <c r="Q57" s="22">
        <f t="shared" si="53"/>
        <v>435.23027120300316</v>
      </c>
      <c r="R57" s="62">
        <f t="shared" si="0"/>
        <v>728.56360453633647</v>
      </c>
      <c r="S57" s="62">
        <f ca="1">AVERAGE(OFFSET($R$3,0,0,'Données projet'!$E$9+1,1))-AVERAGE(OFFSET($H$3,0,0,'Données projet'!$E$9+1,1))</f>
        <v>222.18341301864729</v>
      </c>
      <c r="T57" s="62">
        <f t="shared" si="34"/>
        <v>172.63628480089358</v>
      </c>
      <c r="U57" s="16">
        <f>IF(ISNA(VLOOKUP(A57,'Données projet'!$A$35:$I$55,3,0)),0,VLOOKUP(A57,'Données projet'!$A$35:$I$55,3,0))</f>
        <v>4</v>
      </c>
      <c r="V57" s="16">
        <f>IF(ISNA(VLOOKUP(A57,'Données projet'!$A$35:$I$55,4,0)),0,VLOOKUP(A57,'Données projet'!$A$35:$I$55,4,0))</f>
        <v>60</v>
      </c>
      <c r="W57" s="17">
        <f>IF(ISNA(VLOOKUP(A57,'Données projet'!$A$35:$I$55,5,0)),0%,VLOOKUP(A57,'Données projet'!$A$35:$I$55,5,0)*VLOOKUP('Données projet'!$B$9,Paramètres!$A$1:$I$88,7,0))</f>
        <v>0.38500000000000001</v>
      </c>
      <c r="X57" s="17">
        <f>IF(ISNA(VLOOKUP(A57,'Données projet'!$A$35:$I$55,6,0)),0%,VLOOKUP(A57,'Données projet'!$A$35:$I$55,6,0)*VLOOKUP('Données projet'!$B$9,Paramètres!$A$1:$I$88,7,0))</f>
        <v>0.16500000000000001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27.204812450801889</v>
      </c>
      <c r="AA57" s="23">
        <f>EXP(-LN(2)/25)*AA56+(1-EXP(-LN(2)/25))/(LN(2)/25)*Calculateur!V57*Calculateur!X57*VLOOKUP('Données projet'!$B$9,Paramètres!$A$1:$I$88,3,0)*0.475*44/12</f>
        <v>22.302543105744206</v>
      </c>
      <c r="AB57" s="23">
        <f>EXP(-LN(2)/2)*AB56+(1-EXP(-LN(2)/2))/(LN(2)/2)*V57*Y57*VLOOKUP('Données projet'!$B$9,Paramètres!$A$1:$I$88,3,0)*0.475*44/12</f>
        <v>0</v>
      </c>
      <c r="AC57" s="24">
        <f t="shared" si="3"/>
        <v>49.507355556546095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7.5</v>
      </c>
      <c r="AI57" s="14">
        <f>IF('Données projet'!$A$62&gt;35,AI56+AH57-AQ56,IF(A57&lt;'Données projet'!$A$62,$AF$205^A57,IF(A57='Données projet'!$A$62,'Données projet'!$B$62,AI56+AH57-AQ56)))</f>
        <v>254.12</v>
      </c>
      <c r="AJ57" s="14">
        <f>AI57*VLOOKUP('Données projet'!$B$10,Paramètres!$A$1:$I$88,3,0)*VLOOKUP('Données projet'!$B$10,Paramètres!$A$1:$I$88,5,0)</f>
        <v>118.92816000000001</v>
      </c>
      <c r="AK57" s="14">
        <f t="shared" si="35"/>
        <v>31.424879826802247</v>
      </c>
      <c r="AL57" s="22">
        <f t="shared" si="4"/>
        <v>261.86487769834724</v>
      </c>
      <c r="AM57" s="62">
        <f t="shared" si="5"/>
        <v>555.19821103168056</v>
      </c>
      <c r="AN57" s="62">
        <f ca="1">AVERAGE(OFFSET($AM$3,0,0,'Données projet'!$E$10+1,1))-AVERAGE(OFFSET($H$3,0,0,'Données projet'!$E$10+1,1))</f>
        <v>82.840015321739202</v>
      </c>
      <c r="AO57" s="62">
        <f t="shared" si="36"/>
        <v>101.40622074610098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5.3481879153531171</v>
      </c>
      <c r="AV57" s="23">
        <f>EXP(-LN(2)/25)*AV56+(1-EXP(-LN(2)/25))/(LN(2)/25)*Calculateur!AQ57*Calculateur!AS57*VLOOKUP('Données projet'!$B$10,Paramètres!$A$1:$I$88,3,0)*0.475*44/12</f>
        <v>10.501183953727539</v>
      </c>
      <c r="AW57" s="23">
        <f>EXP(-LN(2)/2)*AW56+(1-EXP(-LN(2)/2))/(LN(2)/2)*AQ57*AT57*VLOOKUP('Données projet'!$B$10,Paramètres!$A$1:$I$88,3,0)*0.475*44/12</f>
        <v>0</v>
      </c>
      <c r="AX57" s="23">
        <f t="shared" si="6"/>
        <v>15.849371869080656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>
        <f>VLOOKUP(A57,'Données projet'!$A$87:$I$107,2,0)</f>
        <v>183.6</v>
      </c>
      <c r="BB57" s="13">
        <f>VLOOKUP(A57,'Données projet'!$A$87:$I$107,9,0)</f>
        <v>3.6999999999999993</v>
      </c>
      <c r="BC57" s="13">
        <f t="array" ref="BC57">INDEX(BB:BB,MIN(IF(ISNUMBER(BB57:BB253),ROW(BB57:BB253),"")))</f>
        <v>3.6999999999999993</v>
      </c>
      <c r="BD57" s="13">
        <f>IF('Données projet'!$A$88&gt;35,BD56+BC57-BL56,IF(A57&lt;'Données projet'!$A$88,$BA$205^A57,IF(A57='Données projet'!$A$88,'Données projet'!$B$88,BD56+BC57-BL56)))</f>
        <v>183.59999999999985</v>
      </c>
      <c r="BE57" s="14">
        <f>BD57*VLOOKUP('Données projet'!$B$11,Paramètres!$A$1:$I$88,3,0)*VLOOKUP('Données projet'!$B$11,Paramètres!$A$1:$I$88,5,0)</f>
        <v>109.79279999999991</v>
      </c>
      <c r="BF57" s="14">
        <f t="shared" si="37"/>
        <v>29.282161280908586</v>
      </c>
      <c r="BG57" s="22">
        <f t="shared" si="7"/>
        <v>242.2222242309156</v>
      </c>
      <c r="BH57" s="62">
        <f t="shared" si="8"/>
        <v>535.55555756424894</v>
      </c>
      <c r="BI57" s="62">
        <f ca="1">AVERAGE(OFFSET($BH$3,0,0,'Données projet'!$E$11+1,1))-AVERAGE(OFFSET($H$3,0,0,'Données projet'!$E$11+1,1))</f>
        <v>83.354474428753292</v>
      </c>
      <c r="BJ57" s="62">
        <f t="shared" si="38"/>
        <v>97.75861379589162</v>
      </c>
      <c r="BK57" s="16">
        <f>IF(ISNA(VLOOKUP(A57,'Données projet'!$A$87:$I$107,3,0)),0,VLOOKUP(A57,'Données projet'!$A$87:$I$107,3,0))</f>
        <v>9</v>
      </c>
      <c r="BL57" s="16">
        <f>IF(ISNA(VLOOKUP(A57,'Données projet'!$A$87:$I$107,4,0)),0,VLOOKUP(A57,'Données projet'!$A$87:$I$107,4,0))</f>
        <v>15.7</v>
      </c>
      <c r="BM57" s="17">
        <f>IF(ISNA(VLOOKUP(A57,'Données projet'!$A$87:$I$107,5,0)),0%,VLOOKUP(A57,'Données projet'!$A$87:$I$107,5,0)*VLOOKUP('Données projet'!$B$11,Paramètres!$A$1:$I$88,7,0))</f>
        <v>0.315</v>
      </c>
      <c r="BN57" s="17">
        <f>IF(ISNA(VLOOKUP(A57,'Données projet'!$A$87:$I$107,6,0)),0%,VLOOKUP(A57,'Données projet'!$A$87:$I$107,6,0)*VLOOKUP('Données projet'!$B$11,Paramètres!$A$1:$I$88,7,0))</f>
        <v>0.13500000000000001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11.34255580058468</v>
      </c>
      <c r="BQ57" s="23">
        <f>EXP(-LN(2)/25)*BQ56+(1-EXP(-LN(2)/25))/(LN(2)/25)*Calculateur!BL57*Calculateur!BN57*VLOOKUP('Données projet'!$B$11,Paramètres!$A$1:$I$88,3,0)*0.475*44/12</f>
        <v>12.345613128492417</v>
      </c>
      <c r="BR57" s="23">
        <f>EXP(-LN(2)/2)*BR56+(1-EXP(-LN(2)/2))/(LN(2)/2)*BL57*BO57*VLOOKUP('Données projet'!$B$11,Paramètres!$A$1:$I$88,3,0)*0.475*44/12</f>
        <v>0</v>
      </c>
      <c r="BS57" s="24">
        <f t="shared" si="9"/>
        <v>23.688168929077097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projet'!$B$12,Paramètres!$A$1:$I$88,3,0)*0.475*44/12</f>
        <v>#N/A</v>
      </c>
      <c r="CL57" s="23" t="e">
        <f>EXP(-LN(2)/25)*CL56+(1-EXP(-LN(2)/25))/(LN(2)/25)*Calculateur!CG57*Calculateur!CI57*VLOOKUP('Données projet'!$B$12,Paramètres!$A$1:$I$88,3,0)*0.475*44/12</f>
        <v>#N/A</v>
      </c>
      <c r="CM57" s="23" t="e">
        <f>EXP(-LN(2)/2)*CM56+(1-EXP(-LN(2)/2))/(LN(2)/2)*CG57*CJ57*VLOOKUP('Données projet'!$B$12,Paramètres!$A$1:$I$88,3,0)*0.475*44/12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40.325999999999958</v>
      </c>
      <c r="D58" s="12">
        <f t="shared" si="32"/>
        <v>12.085012381264168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404.57623592554768</v>
      </c>
      <c r="H58" s="70">
        <f t="shared" si="1"/>
        <v>384.615846564035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308.19999999999993</v>
      </c>
      <c r="O58" s="14">
        <f>N58*VLOOKUP('Données projet'!$B$9,Paramètres!$A$1:$I$88,3,0)*VLOOKUP('Données projet'!$B$9,Paramètres!$A$1:$I$88,5,0)</f>
        <v>172.28379999999999</v>
      </c>
      <c r="P58" s="14">
        <f t="shared" si="33"/>
        <v>43.601120877902545</v>
      </c>
      <c r="Q58" s="22">
        <f t="shared" si="53"/>
        <v>375.99957052901351</v>
      </c>
      <c r="R58" s="62">
        <f t="shared" si="0"/>
        <v>669.33290386234683</v>
      </c>
      <c r="S58" s="62">
        <f ca="1">AVERAGE(OFFSET($R$3,0,0,'Données projet'!$E$9+1,1))-AVERAGE(OFFSET($H$3,0,0,'Données projet'!$E$9+1,1))</f>
        <v>222.18341301864729</v>
      </c>
      <c r="T58" s="62">
        <f t="shared" si="34"/>
        <v>172.63628480089358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26.671342671938806</v>
      </c>
      <c r="AA58" s="23">
        <f>EXP(-LN(2)/25)*AA57+(1-EXP(-LN(2)/25))/(LN(2)/25)*Calculateur!V58*Calculateur!X58*VLOOKUP('Données projet'!$B$9,Paramètres!$A$1:$I$88,3,0)*0.475*44/12</f>
        <v>21.692678891677861</v>
      </c>
      <c r="AB58" s="23">
        <f>EXP(-LN(2)/2)*AB57+(1-EXP(-LN(2)/2))/(LN(2)/2)*V58*Y58*VLOOKUP('Données projet'!$B$9,Paramètres!$A$1:$I$88,3,0)*0.475*44/12</f>
        <v>0</v>
      </c>
      <c r="AC58" s="24">
        <f t="shared" si="3"/>
        <v>48.364021563616667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7.5</v>
      </c>
      <c r="AI58" s="14">
        <f>IF('Données projet'!$A$62&gt;35,AI57+AH58-AQ57,IF(A58&lt;'Données projet'!$A$62,$AF$205^A58,IF(A58='Données projet'!$A$62,'Données projet'!$B$62,AI57+AH58-AQ57)))</f>
        <v>261.62</v>
      </c>
      <c r="AJ58" s="14">
        <f>AI58*VLOOKUP('Données projet'!$B$10,Paramètres!$A$1:$I$88,3,0)*VLOOKUP('Données projet'!$B$10,Paramètres!$A$1:$I$88,5,0)</f>
        <v>122.43816</v>
      </c>
      <c r="AK58" s="14">
        <f t="shared" si="35"/>
        <v>32.242992659685036</v>
      </c>
      <c r="AL58" s="22">
        <f t="shared" si="4"/>
        <v>269.40300754895145</v>
      </c>
      <c r="AM58" s="62">
        <f t="shared" si="5"/>
        <v>562.73634088228482</v>
      </c>
      <c r="AN58" s="62">
        <f ca="1">AVERAGE(OFFSET($AM$3,0,0,'Données projet'!$E$10+1,1))-AVERAGE(OFFSET($H$3,0,0,'Données projet'!$E$10+1,1))</f>
        <v>82.840015321739202</v>
      </c>
      <c r="AO58" s="62">
        <f t="shared" si="36"/>
        <v>101.40622074610098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5.2433132124055684</v>
      </c>
      <c r="AV58" s="23">
        <f>EXP(-LN(2)/25)*AV57+(1-EXP(-LN(2)/25))/(LN(2)/25)*Calculateur!AQ58*Calculateur!AS58*VLOOKUP('Données projet'!$B$10,Paramètres!$A$1:$I$88,3,0)*0.475*44/12</f>
        <v>10.214028526279597</v>
      </c>
      <c r="AW58" s="23">
        <f>EXP(-LN(2)/2)*AW57+(1-EXP(-LN(2)/2))/(LN(2)/2)*AQ58*AT58*VLOOKUP('Données projet'!$B$10,Paramètres!$A$1:$I$88,3,0)*0.475*44/12</f>
        <v>0</v>
      </c>
      <c r="AX58" s="23">
        <f t="shared" si="6"/>
        <v>15.457341738685166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1.5999999999999979</v>
      </c>
      <c r="BD58" s="13">
        <f>IF('Données projet'!$A$88&gt;35,BD57+BC58-BL57,IF(A58&lt;'Données projet'!$A$88,$BA$205^A58,IF(A58='Données projet'!$A$88,'Données projet'!$B$88,BD57+BC58-BL57)))</f>
        <v>169.49999999999986</v>
      </c>
      <c r="BE58" s="14">
        <f>BD58*VLOOKUP('Données projet'!$B$11,Paramètres!$A$1:$I$88,3,0)*VLOOKUP('Données projet'!$B$11,Paramètres!$A$1:$I$88,5,0)</f>
        <v>101.36099999999993</v>
      </c>
      <c r="BF58" s="14">
        <f t="shared" si="37"/>
        <v>27.285981491368869</v>
      </c>
      <c r="BG58" s="22">
        <f t="shared" si="7"/>
        <v>224.06015943080061</v>
      </c>
      <c r="BH58" s="62">
        <f t="shared" si="8"/>
        <v>517.39349276413395</v>
      </c>
      <c r="BI58" s="62">
        <f ca="1">AVERAGE(OFFSET($BH$3,0,0,'Données projet'!$E$11+1,1))-AVERAGE(OFFSET($H$3,0,0,'Données projet'!$E$11+1,1))</f>
        <v>83.354474428753292</v>
      </c>
      <c r="BJ58" s="62">
        <f t="shared" si="38"/>
        <v>97.75861379589162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11.120135199611131</v>
      </c>
      <c r="BQ58" s="23">
        <f>EXP(-LN(2)/25)*BQ57+(1-EXP(-LN(2)/25))/(LN(2)/25)*Calculateur!BL58*Calculateur!BN58*VLOOKUP('Données projet'!$B$11,Paramètres!$A$1:$I$88,3,0)*0.475*44/12</f>
        <v>12.008021688266213</v>
      </c>
      <c r="BR58" s="23">
        <f>EXP(-LN(2)/2)*BR57+(1-EXP(-LN(2)/2))/(LN(2)/2)*BL58*BO58*VLOOKUP('Données projet'!$B$11,Paramètres!$A$1:$I$88,3,0)*0.475*44/12</f>
        <v>0</v>
      </c>
      <c r="BS58" s="24">
        <f t="shared" si="9"/>
        <v>23.128156887877346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projet'!$B$12,Paramètres!$A$1:$I$88,3,0)*0.475*44/12</f>
        <v>#N/A</v>
      </c>
      <c r="CL58" s="23" t="e">
        <f>EXP(-LN(2)/25)*CL57+(1-EXP(-LN(2)/25))/(LN(2)/25)*Calculateur!CG58*Calculateur!CI58*VLOOKUP('Données projet'!$B$12,Paramètres!$A$1:$I$88,3,0)*0.475*44/12</f>
        <v>#N/A</v>
      </c>
      <c r="CM58" s="23" t="e">
        <f>EXP(-LN(2)/2)*CM57+(1-EXP(-LN(2)/2))/(LN(2)/2)*CG58*CJ58*VLOOKUP('Données projet'!$B$12,Paramètres!$A$1:$I$88,3,0)*0.475*44/12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41.059199999999954</v>
      </c>
      <c r="D59" s="12">
        <f t="shared" si="32"/>
        <v>12.278959527914731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411.73316126811329</v>
      </c>
      <c r="H59" s="70">
        <f t="shared" si="1"/>
        <v>386.23062784445136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10.199999999999999</v>
      </c>
      <c r="N59" s="14">
        <f>IF('Données projet'!$A$36&gt;35,N58+M59-V58,IF(A59&lt;'Données projet'!$A$36,$K$205^A59,IF(A59='Données projet'!$A$36,'Données projet'!$B$36,N58+M59-V58)))</f>
        <v>318.39999999999992</v>
      </c>
      <c r="O59" s="14">
        <f>N59*VLOOKUP('Données projet'!$B$9,Paramètres!$A$1:$I$88,3,0)*VLOOKUP('Données projet'!$B$9,Paramètres!$A$1:$I$88,5,0)</f>
        <v>177.98559999999998</v>
      </c>
      <c r="P59" s="14">
        <f t="shared" si="33"/>
        <v>44.873726155533582</v>
      </c>
      <c r="Q59" s="22">
        <f t="shared" si="53"/>
        <v>388.14665972088761</v>
      </c>
      <c r="R59" s="62">
        <f t="shared" si="0"/>
        <v>681.47999305422093</v>
      </c>
      <c r="S59" s="62">
        <f ca="1">AVERAGE(OFFSET($R$3,0,0,'Données projet'!$E$9+1,1))-AVERAGE(OFFSET($H$3,0,0,'Données projet'!$E$9+1,1))</f>
        <v>222.18341301864729</v>
      </c>
      <c r="T59" s="62">
        <f t="shared" si="34"/>
        <v>172.63628480089358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26.148333910054792</v>
      </c>
      <c r="AA59" s="23">
        <f>EXP(-LN(2)/25)*AA58+(1-EXP(-LN(2)/25))/(LN(2)/25)*Calculateur!V59*Calculateur!X59*VLOOKUP('Données projet'!$B$9,Paramètres!$A$1:$I$88,3,0)*0.475*44/12</f>
        <v>21.099491446616526</v>
      </c>
      <c r="AB59" s="23">
        <f>EXP(-LN(2)/2)*AB58+(1-EXP(-LN(2)/2))/(LN(2)/2)*V59*Y59*VLOOKUP('Données projet'!$B$9,Paramètres!$A$1:$I$88,3,0)*0.475*44/12</f>
        <v>0</v>
      </c>
      <c r="AC59" s="24">
        <f t="shared" si="3"/>
        <v>47.247825356671314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7.5</v>
      </c>
      <c r="AI59" s="14">
        <f>IF('Données projet'!$A$62&gt;35,AI58+AH59-AQ58,IF(A59&lt;'Données projet'!$A$62,$AF$205^A59,IF(A59='Données projet'!$A$62,'Données projet'!$B$62,AI58+AH59-AQ58)))</f>
        <v>269.12</v>
      </c>
      <c r="AJ59" s="14">
        <f>AI59*VLOOKUP('Données projet'!$B$10,Paramètres!$A$1:$I$88,3,0)*VLOOKUP('Données projet'!$B$10,Paramètres!$A$1:$I$88,5,0)</f>
        <v>125.94816</v>
      </c>
      <c r="AK59" s="14">
        <f t="shared" si="35"/>
        <v>33.058379686398482</v>
      </c>
      <c r="AL59" s="22">
        <f t="shared" si="4"/>
        <v>276.93638995381065</v>
      </c>
      <c r="AM59" s="62">
        <f t="shared" si="5"/>
        <v>570.26972328714396</v>
      </c>
      <c r="AN59" s="62">
        <f ca="1">AVERAGE(OFFSET($AM$3,0,0,'Données projet'!$E$10+1,1))-AVERAGE(OFFSET($H$3,0,0,'Données projet'!$E$10+1,1))</f>
        <v>82.840015321739202</v>
      </c>
      <c r="AO59" s="62">
        <f t="shared" si="36"/>
        <v>101.40622074610098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5.1404950384155681</v>
      </c>
      <c r="AV59" s="23">
        <f>EXP(-LN(2)/25)*AV58+(1-EXP(-LN(2)/25))/(LN(2)/25)*Calculateur!AQ59*Calculateur!AS59*VLOOKUP('Données projet'!$B$10,Paramètres!$A$1:$I$88,3,0)*0.475*44/12</f>
        <v>9.934725379096065</v>
      </c>
      <c r="AW59" s="23">
        <f>EXP(-LN(2)/2)*AW58+(1-EXP(-LN(2)/2))/(LN(2)/2)*AQ59*AT59*VLOOKUP('Données projet'!$B$10,Paramètres!$A$1:$I$88,3,0)*0.475*44/12</f>
        <v>0</v>
      </c>
      <c r="AX59" s="23">
        <f t="shared" si="6"/>
        <v>15.075220417511634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1.5999999999999979</v>
      </c>
      <c r="BD59" s="13">
        <f>IF('Données projet'!$A$88&gt;35,BD58+BC59-BL58,IF(A59&lt;'Données projet'!$A$88,$BA$205^A59,IF(A59='Données projet'!$A$88,'Données projet'!$B$88,BD58+BC59-BL58)))</f>
        <v>171.09999999999985</v>
      </c>
      <c r="BE59" s="14">
        <f>BD59*VLOOKUP('Données projet'!$B$11,Paramètres!$A$1:$I$88,3,0)*VLOOKUP('Données projet'!$B$11,Paramètres!$A$1:$I$88,5,0)</f>
        <v>102.31779999999992</v>
      </c>
      <c r="BF59" s="14">
        <f t="shared" si="37"/>
        <v>27.51344291000834</v>
      </c>
      <c r="BG59" s="22">
        <f t="shared" si="7"/>
        <v>226.12274806826437</v>
      </c>
      <c r="BH59" s="62">
        <f t="shared" si="8"/>
        <v>519.45608140159766</v>
      </c>
      <c r="BI59" s="62">
        <f ca="1">AVERAGE(OFFSET($BH$3,0,0,'Données projet'!$E$11+1,1))-AVERAGE(OFFSET($H$3,0,0,'Données projet'!$E$11+1,1))</f>
        <v>83.354474428753292</v>
      </c>
      <c r="BJ59" s="62">
        <f t="shared" si="38"/>
        <v>97.75861379589162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10.9020761309595</v>
      </c>
      <c r="BQ59" s="23">
        <f>EXP(-LN(2)/25)*BQ58+(1-EXP(-LN(2)/25))/(LN(2)/25)*Calculateur!BL59*Calculateur!BN59*VLOOKUP('Données projet'!$B$11,Paramètres!$A$1:$I$88,3,0)*0.475*44/12</f>
        <v>11.679661703726158</v>
      </c>
      <c r="BR59" s="23">
        <f>EXP(-LN(2)/2)*BR58+(1-EXP(-LN(2)/2))/(LN(2)/2)*BL59*BO59*VLOOKUP('Données projet'!$B$11,Paramètres!$A$1:$I$88,3,0)*0.475*44/12</f>
        <v>0</v>
      </c>
      <c r="BS59" s="24">
        <f t="shared" si="9"/>
        <v>22.581737834685658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projet'!$B$12,Paramètres!$A$1:$I$88,3,0)*0.475*44/12</f>
        <v>#N/A</v>
      </c>
      <c r="CL59" s="23" t="e">
        <f>EXP(-LN(2)/25)*CL58+(1-EXP(-LN(2)/25))/(LN(2)/25)*Calculateur!CG59*Calculateur!CI59*VLOOKUP('Données projet'!$B$12,Paramètres!$A$1:$I$88,3,0)*0.475*44/12</f>
        <v>#N/A</v>
      </c>
      <c r="CM59" s="23" t="e">
        <f>EXP(-LN(2)/2)*CM58+(1-EXP(-LN(2)/2))/(LN(2)/2)*CG59*CJ59*VLOOKUP('Données projet'!$B$12,Paramètres!$A$1:$I$88,3,0)*0.475*44/12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41.792399999999951</v>
      </c>
      <c r="D60" s="12">
        <f t="shared" si="32"/>
        <v>12.472503937619955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418.8869777640835</v>
      </c>
      <c r="H60" s="70">
        <f t="shared" si="1"/>
        <v>387.84470769135464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10.199999999999999</v>
      </c>
      <c r="N60" s="14">
        <f>IF('Données projet'!$A$36&gt;35,N59+M60-V59,IF(A60&lt;'Données projet'!$A$36,$K$205^A60,IF(A60='Données projet'!$A$36,'Données projet'!$B$36,N59+M60-V59)))</f>
        <v>328.59999999999991</v>
      </c>
      <c r="O60" s="14">
        <f>N60*VLOOKUP('Données projet'!$B$9,Paramètres!$A$1:$I$88,3,0)*VLOOKUP('Données projet'!$B$9,Paramètres!$A$1:$I$88,5,0)</f>
        <v>183.68739999999994</v>
      </c>
      <c r="P60" s="14">
        <f t="shared" si="33"/>
        <v>46.141594002885661</v>
      </c>
      <c r="Q60" s="22">
        <f t="shared" si="53"/>
        <v>400.28549788835903</v>
      </c>
      <c r="R60" s="62">
        <f t="shared" si="0"/>
        <v>693.61883122169229</v>
      </c>
      <c r="S60" s="62">
        <f ca="1">AVERAGE(OFFSET($R$3,0,0,'Données projet'!$E$9+1,1))-AVERAGE(OFFSET($H$3,0,0,'Données projet'!$E$9+1,1))</f>
        <v>222.18341301864729</v>
      </c>
      <c r="T60" s="62">
        <f t="shared" si="34"/>
        <v>172.63628480089358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25.635581030987478</v>
      </c>
      <c r="AA60" s="23">
        <f>EXP(-LN(2)/25)*AA59+(1-EXP(-LN(2)/25))/(LN(2)/25)*Calculateur!V60*Calculateur!X60*VLOOKUP('Données projet'!$B$9,Paramètres!$A$1:$I$88,3,0)*0.475*44/12</f>
        <v>20.522524743434765</v>
      </c>
      <c r="AB60" s="23">
        <f>EXP(-LN(2)/2)*AB59+(1-EXP(-LN(2)/2))/(LN(2)/2)*V60*Y60*VLOOKUP('Données projet'!$B$9,Paramètres!$A$1:$I$88,3,0)*0.475*44/12</f>
        <v>0</v>
      </c>
      <c r="AC60" s="24">
        <f t="shared" si="3"/>
        <v>46.158105774422239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7.5</v>
      </c>
      <c r="AI60" s="14">
        <f>IF('Données projet'!$A$62&gt;35,AI59+AH60-AQ59,IF(A60&lt;'Données projet'!$A$62,$AF$205^A60,IF(A60='Données projet'!$A$62,'Données projet'!$B$62,AI59+AH60-AQ59)))</f>
        <v>276.62</v>
      </c>
      <c r="AJ60" s="14">
        <f>AI60*VLOOKUP('Données projet'!$B$10,Paramètres!$A$1:$I$88,3,0)*VLOOKUP('Données projet'!$B$10,Paramètres!$A$1:$I$88,5,0)</f>
        <v>129.45816000000002</v>
      </c>
      <c r="AK60" s="14">
        <f t="shared" si="35"/>
        <v>33.871125598432023</v>
      </c>
      <c r="AL60" s="22">
        <f t="shared" si="4"/>
        <v>284.46517241726917</v>
      </c>
      <c r="AM60" s="62">
        <f t="shared" si="5"/>
        <v>577.79850575060254</v>
      </c>
      <c r="AN60" s="62">
        <f ca="1">AVERAGE(OFFSET($AM$3,0,0,'Données projet'!$E$10+1,1))-AVERAGE(OFFSET($H$3,0,0,'Données projet'!$E$10+1,1))</f>
        <v>82.840015321739202</v>
      </c>
      <c r="AO60" s="62">
        <f t="shared" si="36"/>
        <v>101.40622074610098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5.0396930661046175</v>
      </c>
      <c r="AV60" s="23">
        <f>EXP(-LN(2)/25)*AV59+(1-EXP(-LN(2)/25))/(LN(2)/25)*Calculateur!AQ60*Calculateur!AS60*VLOOKUP('Données projet'!$B$10,Paramètres!$A$1:$I$88,3,0)*0.475*44/12</f>
        <v>9.6630597911601814</v>
      </c>
      <c r="AW60" s="23">
        <f>EXP(-LN(2)/2)*AW59+(1-EXP(-LN(2)/2))/(LN(2)/2)*AQ60*AT60*VLOOKUP('Données projet'!$B$10,Paramètres!$A$1:$I$88,3,0)*0.475*44/12</f>
        <v>0</v>
      </c>
      <c r="AX60" s="23">
        <f t="shared" si="6"/>
        <v>14.702752857264798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1.5999999999999979</v>
      </c>
      <c r="BD60" s="13">
        <f>IF('Données projet'!$A$88&gt;35,BD59+BC60-BL59,IF(A60&lt;'Données projet'!$A$88,$BA$205^A60,IF(A60='Données projet'!$A$88,'Données projet'!$B$88,BD59+BC60-BL59)))</f>
        <v>172.69999999999985</v>
      </c>
      <c r="BE60" s="14">
        <f>BD60*VLOOKUP('Données projet'!$B$11,Paramètres!$A$1:$I$88,3,0)*VLOOKUP('Données projet'!$B$11,Paramètres!$A$1:$I$88,5,0)</f>
        <v>103.27459999999992</v>
      </c>
      <c r="BF60" s="14">
        <f t="shared" si="37"/>
        <v>27.740656870902825</v>
      </c>
      <c r="BG60" s="22">
        <f t="shared" si="7"/>
        <v>228.1849057168223</v>
      </c>
      <c r="BH60" s="62">
        <f t="shared" si="8"/>
        <v>521.51823905015567</v>
      </c>
      <c r="BI60" s="62">
        <f ca="1">AVERAGE(OFFSET($BH$3,0,0,'Données projet'!$E$11+1,1))-AVERAGE(OFFSET($H$3,0,0,'Données projet'!$E$11+1,1))</f>
        <v>83.354474428753292</v>
      </c>
      <c r="BJ60" s="62">
        <f t="shared" si="38"/>
        <v>97.75861379589162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10.688293067641229</v>
      </c>
      <c r="BQ60" s="23">
        <f>EXP(-LN(2)/25)*BQ59+(1-EXP(-LN(2)/25))/(LN(2)/25)*Calculateur!BL60*Calculateur!BN60*VLOOKUP('Données projet'!$B$11,Paramètres!$A$1:$I$88,3,0)*0.475*44/12</f>
        <v>11.360280740231051</v>
      </c>
      <c r="BR60" s="23">
        <f>EXP(-LN(2)/2)*BR59+(1-EXP(-LN(2)/2))/(LN(2)/2)*BL60*BO60*VLOOKUP('Données projet'!$B$11,Paramètres!$A$1:$I$88,3,0)*0.475*44/12</f>
        <v>0</v>
      </c>
      <c r="BS60" s="24">
        <f t="shared" si="9"/>
        <v>22.04857380787228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projet'!$B$12,Paramètres!$A$1:$I$88,3,0)*0.475*44/12</f>
        <v>#N/A</v>
      </c>
      <c r="CL60" s="23" t="e">
        <f>EXP(-LN(2)/25)*CL59+(1-EXP(-LN(2)/25))/(LN(2)/25)*Calculateur!CG60*Calculateur!CI60*VLOOKUP('Données projet'!$B$12,Paramètres!$A$1:$I$88,3,0)*0.475*44/12</f>
        <v>#N/A</v>
      </c>
      <c r="CM60" s="23" t="e">
        <f>EXP(-LN(2)/2)*CM59+(1-EXP(-LN(2)/2))/(LN(2)/2)*CG60*CJ60*VLOOKUP('Données projet'!$B$12,Paramètres!$A$1:$I$88,3,0)*0.475*44/12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42.525599999999947</v>
      </c>
      <c r="D61" s="12">
        <f t="shared" si="32"/>
        <v>12.665653491137919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426.03774624738003</v>
      </c>
      <c r="H61" s="70">
        <f t="shared" si="1"/>
        <v>389.4580998303984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10.199999999999999</v>
      </c>
      <c r="N61" s="14">
        <f>IF('Données projet'!$A$36&gt;35,N60+M61-V60,IF(A61&lt;'Données projet'!$A$36,$K$205^A61,IF(A61='Données projet'!$A$36,'Données projet'!$B$36,N60+M61-V60)))</f>
        <v>338.7999999999999</v>
      </c>
      <c r="O61" s="14">
        <f>N61*VLOOKUP('Données projet'!$B$9,Paramètres!$A$1:$I$88,3,0)*VLOOKUP('Données projet'!$B$9,Paramètres!$A$1:$I$88,5,0)</f>
        <v>189.38919999999993</v>
      </c>
      <c r="P61" s="14">
        <f t="shared" si="33"/>
        <v>47.40488834769716</v>
      </c>
      <c r="Q61" s="22">
        <f t="shared" si="53"/>
        <v>412.41637053890577</v>
      </c>
      <c r="R61" s="62">
        <f t="shared" si="0"/>
        <v>705.74970387223902</v>
      </c>
      <c r="S61" s="62">
        <f ca="1">AVERAGE(OFFSET($R$3,0,0,'Données projet'!$E$9+1,1))-AVERAGE(OFFSET($H$3,0,0,'Données projet'!$E$9+1,1))</f>
        <v>222.18341301864729</v>
      </c>
      <c r="T61" s="62">
        <f t="shared" si="34"/>
        <v>172.63628480089358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25.1328829231303</v>
      </c>
      <c r="AA61" s="23">
        <f>EXP(-LN(2)/25)*AA60+(1-EXP(-LN(2)/25))/(LN(2)/25)*Calculateur!V61*Calculateur!X61*VLOOKUP('Données projet'!$B$9,Paramètres!$A$1:$I$88,3,0)*0.475*44/12</f>
        <v>19.961335225092871</v>
      </c>
      <c r="AB61" s="23">
        <f>EXP(-LN(2)/2)*AB60+(1-EXP(-LN(2)/2))/(LN(2)/2)*V61*Y61*VLOOKUP('Données projet'!$B$9,Paramètres!$A$1:$I$88,3,0)*0.475*44/12</f>
        <v>0</v>
      </c>
      <c r="AC61" s="24">
        <f t="shared" si="3"/>
        <v>45.09421814822317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7.5</v>
      </c>
      <c r="AI61" s="14">
        <f>IF('Données projet'!$A$62&gt;35,AI60+AH61-AQ60,IF(A61&lt;'Données projet'!$A$62,$AF$205^A61,IF(A61='Données projet'!$A$62,'Données projet'!$B$62,AI60+AH61-AQ60)))</f>
        <v>284.12</v>
      </c>
      <c r="AJ61" s="14">
        <f>AI61*VLOOKUP('Données projet'!$B$10,Paramètres!$A$1:$I$88,3,0)*VLOOKUP('Données projet'!$B$10,Paramètres!$A$1:$I$88,5,0)</f>
        <v>132.96815999999998</v>
      </c>
      <c r="AK61" s="14">
        <f t="shared" si="35"/>
        <v>34.681310233374433</v>
      </c>
      <c r="AL61" s="22">
        <f t="shared" si="4"/>
        <v>291.98949398979374</v>
      </c>
      <c r="AM61" s="62">
        <f t="shared" si="5"/>
        <v>585.32282732312706</v>
      </c>
      <c r="AN61" s="62">
        <f ca="1">AVERAGE(OFFSET($AM$3,0,0,'Données projet'!$E$10+1,1))-AVERAGE(OFFSET($H$3,0,0,'Données projet'!$E$10+1,1))</f>
        <v>82.840015321739202</v>
      </c>
      <c r="AO61" s="62">
        <f t="shared" si="36"/>
        <v>101.40622074610098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4.9408677589875527</v>
      </c>
      <c r="AV61" s="23">
        <f>EXP(-LN(2)/25)*AV60+(1-EXP(-LN(2)/25))/(LN(2)/25)*Calculateur!AQ61*Calculateur!AS61*VLOOKUP('Données projet'!$B$10,Paramètres!$A$1:$I$88,3,0)*0.475*44/12</f>
        <v>9.3988229130126779</v>
      </c>
      <c r="AW61" s="23">
        <f>EXP(-LN(2)/2)*AW60+(1-EXP(-LN(2)/2))/(LN(2)/2)*AQ61*AT61*VLOOKUP('Données projet'!$B$10,Paramètres!$A$1:$I$88,3,0)*0.475*44/12</f>
        <v>0</v>
      </c>
      <c r="AX61" s="23">
        <f t="shared" si="6"/>
        <v>14.339690672000231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1.5999999999999979</v>
      </c>
      <c r="BD61" s="13">
        <f>IF('Données projet'!$A$88&gt;35,BD60+BC61-BL60,IF(A61&lt;'Données projet'!$A$88,$BA$205^A61,IF(A61='Données projet'!$A$88,'Données projet'!$B$88,BD60+BC61-BL60)))</f>
        <v>174.29999999999984</v>
      </c>
      <c r="BE61" s="14">
        <f>BD61*VLOOKUP('Données projet'!$B$11,Paramètres!$A$1:$I$88,3,0)*VLOOKUP('Données projet'!$B$11,Paramètres!$A$1:$I$88,5,0)</f>
        <v>104.23139999999991</v>
      </c>
      <c r="BF61" s="14">
        <f t="shared" si="37"/>
        <v>27.967625932207291</v>
      </c>
      <c r="BG61" s="22">
        <f t="shared" si="7"/>
        <v>230.24663683192753</v>
      </c>
      <c r="BH61" s="62">
        <f t="shared" si="8"/>
        <v>523.57997016526087</v>
      </c>
      <c r="BI61" s="62">
        <f ca="1">AVERAGE(OFFSET($BH$3,0,0,'Données projet'!$E$11+1,1))-AVERAGE(OFFSET($H$3,0,0,'Données projet'!$E$11+1,1))</f>
        <v>83.354474428753292</v>
      </c>
      <c r="BJ61" s="62">
        <f t="shared" si="38"/>
        <v>97.75861379589162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10.478702159799838</v>
      </c>
      <c r="BQ61" s="23">
        <f>EXP(-LN(2)/25)*BQ60+(1-EXP(-LN(2)/25))/(LN(2)/25)*Calculateur!BL61*Calculateur!BN61*VLOOKUP('Données projet'!$B$11,Paramètres!$A$1:$I$88,3,0)*0.475*44/12</f>
        <v>11.049633265978233</v>
      </c>
      <c r="BR61" s="23">
        <f>EXP(-LN(2)/2)*BR60+(1-EXP(-LN(2)/2))/(LN(2)/2)*BL61*BO61*VLOOKUP('Données projet'!$B$11,Paramètres!$A$1:$I$88,3,0)*0.475*44/12</f>
        <v>0</v>
      </c>
      <c r="BS61" s="24">
        <f t="shared" si="9"/>
        <v>21.528335425778071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projet'!$B$12,Paramètres!$A$1:$I$88,3,0)*0.475*44/12</f>
        <v>#N/A</v>
      </c>
      <c r="CL61" s="23" t="e">
        <f>EXP(-LN(2)/25)*CL60+(1-EXP(-LN(2)/25))/(LN(2)/25)*Calculateur!CG61*Calculateur!CI61*VLOOKUP('Données projet'!$B$12,Paramètres!$A$1:$I$88,3,0)*0.475*44/12</f>
        <v>#N/A</v>
      </c>
      <c r="CM61" s="23" t="e">
        <f>EXP(-LN(2)/2)*CM60+(1-EXP(-LN(2)/2))/(LN(2)/2)*CG61*CJ61*VLOOKUP('Données projet'!$B$12,Paramètres!$A$1:$I$88,3,0)*0.475*44/12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43.258799999999944</v>
      </c>
      <c r="D62" s="12">
        <f t="shared" si="32"/>
        <v>12.858415781906336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433.18552533401339</v>
      </c>
      <c r="H62" s="70">
        <f t="shared" si="1"/>
        <v>391.07081748682009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10.199999999999999</v>
      </c>
      <c r="N62" s="14">
        <f>IF('Données projet'!$A$36&gt;35,N61+M62-V61,IF(A62&lt;'Données projet'!$A$36,$K$205^A62,IF(A62='Données projet'!$A$36,'Données projet'!$B$36,N61+M62-V61)))</f>
        <v>348.99999999999989</v>
      </c>
      <c r="O62" s="14">
        <f>N62*VLOOKUP('Données projet'!$B$9,Paramètres!$A$1:$I$88,3,0)*VLOOKUP('Données projet'!$B$9,Paramètres!$A$1:$I$88,5,0)</f>
        <v>195.09099999999992</v>
      </c>
      <c r="P62" s="14">
        <f t="shared" si="33"/>
        <v>48.663762686246173</v>
      </c>
      <c r="Q62" s="22">
        <f t="shared" si="53"/>
        <v>424.53954501187854</v>
      </c>
      <c r="R62" s="62">
        <f t="shared" si="0"/>
        <v>717.8728783452118</v>
      </c>
      <c r="S62" s="62">
        <f ca="1">AVERAGE(OFFSET($R$3,0,0,'Données projet'!$E$9+1,1))-AVERAGE(OFFSET($H$3,0,0,'Données projet'!$E$9+1,1))</f>
        <v>222.18341301864729</v>
      </c>
      <c r="T62" s="62">
        <f t="shared" si="34"/>
        <v>172.63628480089358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24.640042418552632</v>
      </c>
      <c r="AA62" s="23">
        <f>EXP(-LN(2)/25)*AA61+(1-EXP(-LN(2)/25))/(LN(2)/25)*Calculateur!V62*Calculateur!X62*VLOOKUP('Données projet'!$B$9,Paramètres!$A$1:$I$88,3,0)*0.475*44/12</f>
        <v>19.415491463641708</v>
      </c>
      <c r="AB62" s="23">
        <f>EXP(-LN(2)/2)*AB61+(1-EXP(-LN(2)/2))/(LN(2)/2)*V62*Y62*VLOOKUP('Données projet'!$B$9,Paramètres!$A$1:$I$88,3,0)*0.475*44/12</f>
        <v>0</v>
      </c>
      <c r="AC62" s="24">
        <f t="shared" si="3"/>
        <v>44.055533882194339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7.5</v>
      </c>
      <c r="AI62" s="14">
        <f>IF('Données projet'!$A$62&gt;35,AI61+AH62-AQ61,IF(A62&lt;'Données projet'!$A$62,$AF$205^A62,IF(A62='Données projet'!$A$62,'Données projet'!$B$62,AI61+AH62-AQ61)))</f>
        <v>291.62</v>
      </c>
      <c r="AJ62" s="14">
        <f>AI62*VLOOKUP('Données projet'!$B$10,Paramètres!$A$1:$I$88,3,0)*VLOOKUP('Données projet'!$B$10,Paramètres!$A$1:$I$88,5,0)</f>
        <v>136.47816</v>
      </c>
      <c r="AK62" s="14">
        <f t="shared" si="35"/>
        <v>35.489008973792373</v>
      </c>
      <c r="AL62" s="22">
        <f t="shared" si="4"/>
        <v>299.50948596268842</v>
      </c>
      <c r="AM62" s="62">
        <f t="shared" si="5"/>
        <v>592.84281929602173</v>
      </c>
      <c r="AN62" s="62">
        <f ca="1">AVERAGE(OFFSET($AM$3,0,0,'Données projet'!$E$10+1,1))-AVERAGE(OFFSET($H$3,0,0,'Données projet'!$E$10+1,1))</f>
        <v>82.840015321739202</v>
      </c>
      <c r="AO62" s="62">
        <f t="shared" si="36"/>
        <v>101.40622074610098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4.8439803558655683</v>
      </c>
      <c r="AV62" s="23">
        <f>EXP(-LN(2)/25)*AV61+(1-EXP(-LN(2)/25))/(LN(2)/25)*Calculateur!AQ62*Calculateur!AS62*VLOOKUP('Données projet'!$B$10,Paramètres!$A$1:$I$88,3,0)*0.475*44/12</f>
        <v>9.1418116061937305</v>
      </c>
      <c r="AW62" s="23">
        <f>EXP(-LN(2)/2)*AW61+(1-EXP(-LN(2)/2))/(LN(2)/2)*AQ62*AT62*VLOOKUP('Données projet'!$B$10,Paramètres!$A$1:$I$88,3,0)*0.475*44/12</f>
        <v>0</v>
      </c>
      <c r="AX62" s="23">
        <f t="shared" si="6"/>
        <v>13.985791962059299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1.5999999999999979</v>
      </c>
      <c r="BD62" s="13">
        <f>IF('Données projet'!$A$88&gt;35,BD61+BC62-BL61,IF(A62&lt;'Données projet'!$A$88,$BA$205^A62,IF(A62='Données projet'!$A$88,'Données projet'!$B$88,BD61+BC62-BL61)))</f>
        <v>175.89999999999984</v>
      </c>
      <c r="BE62" s="14">
        <f>BD62*VLOOKUP('Données projet'!$B$11,Paramètres!$A$1:$I$88,3,0)*VLOOKUP('Données projet'!$B$11,Paramètres!$A$1:$I$88,5,0)</f>
        <v>105.18819999999991</v>
      </c>
      <c r="BF62" s="14">
        <f t="shared" si="37"/>
        <v>28.194352602402233</v>
      </c>
      <c r="BG62" s="22">
        <f t="shared" si="7"/>
        <v>232.30794578251707</v>
      </c>
      <c r="BH62" s="62">
        <f t="shared" si="8"/>
        <v>525.64127911585035</v>
      </c>
      <c r="BI62" s="62">
        <f ca="1">AVERAGE(OFFSET($BH$3,0,0,'Données projet'!$E$11+1,1))-AVERAGE(OFFSET($H$3,0,0,'Données projet'!$E$11+1,1))</f>
        <v>83.354474428753292</v>
      </c>
      <c r="BJ62" s="62">
        <f t="shared" si="38"/>
        <v>97.75861379589162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10.273221201823384</v>
      </c>
      <c r="BQ62" s="23">
        <f>EXP(-LN(2)/25)*BQ61+(1-EXP(-LN(2)/25))/(LN(2)/25)*Calculateur!BL62*Calculateur!BN62*VLOOKUP('Données projet'!$B$11,Paramètres!$A$1:$I$88,3,0)*0.475*44/12</f>
        <v>10.747480463245099</v>
      </c>
      <c r="BR62" s="23">
        <f>EXP(-LN(2)/2)*BR61+(1-EXP(-LN(2)/2))/(LN(2)/2)*BL62*BO62*VLOOKUP('Données projet'!$B$11,Paramètres!$A$1:$I$88,3,0)*0.475*44/12</f>
        <v>0</v>
      </c>
      <c r="BS62" s="24">
        <f t="shared" si="9"/>
        <v>21.020701665068483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projet'!$B$12,Paramètres!$A$1:$I$88,3,0)*0.475*44/12</f>
        <v>#N/A</v>
      </c>
      <c r="CL62" s="23" t="e">
        <f>EXP(-LN(2)/25)*CL61+(1-EXP(-LN(2)/25))/(LN(2)/25)*Calculateur!CG62*Calculateur!CI62*VLOOKUP('Données projet'!$B$12,Paramètres!$A$1:$I$88,3,0)*0.475*44/12</f>
        <v>#N/A</v>
      </c>
      <c r="CM62" s="23" t="e">
        <f>EXP(-LN(2)/2)*CM61+(1-EXP(-LN(2)/2))/(LN(2)/2)*CG62*CJ62*VLOOKUP('Données projet'!$B$12,Paramètres!$A$1:$I$88,3,0)*0.475*44/12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43.99199999999994</v>
      </c>
      <c r="D63" s="12">
        <f t="shared" si="32"/>
        <v>13.050798131206863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440.33037153914029</v>
      </c>
      <c r="H63" s="70">
        <f t="shared" si="1"/>
        <v>392.6828734118518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10.199999999999999</v>
      </c>
      <c r="N63" s="14">
        <f>IF('Données projet'!$A$36&gt;35,N62+M63-V62,IF(A63&lt;'Données projet'!$A$36,$K$205^A63,IF(A63='Données projet'!$A$36,'Données projet'!$B$36,N62+M63-V62)))</f>
        <v>359.19999999999987</v>
      </c>
      <c r="O63" s="14">
        <f>N63*VLOOKUP('Données projet'!$B$9,Paramètres!$A$1:$I$88,3,0)*VLOOKUP('Données projet'!$B$9,Paramètres!$A$1:$I$88,5,0)</f>
        <v>200.79279999999991</v>
      </c>
      <c r="P63" s="14">
        <f t="shared" si="33"/>
        <v>49.918361032393392</v>
      </c>
      <c r="Q63" s="22">
        <f t="shared" si="53"/>
        <v>436.65527213141831</v>
      </c>
      <c r="R63" s="62">
        <f t="shared" si="0"/>
        <v>729.98860546475157</v>
      </c>
      <c r="S63" s="62">
        <f ca="1">AVERAGE(OFFSET($R$3,0,0,'Données projet'!$E$9+1,1))-AVERAGE(OFFSET($H$3,0,0,'Données projet'!$E$9+1,1))</f>
        <v>222.18341301864729</v>
      </c>
      <c r="T63" s="62">
        <f t="shared" si="34"/>
        <v>172.63628480089358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24.156866215666707</v>
      </c>
      <c r="AA63" s="23">
        <f>EXP(-LN(2)/25)*AA62+(1-EXP(-LN(2)/25))/(LN(2)/25)*Calculateur!V63*Calculateur!X63*VLOOKUP('Données projet'!$B$9,Paramètres!$A$1:$I$88,3,0)*0.475*44/12</f>
        <v>18.884573828552103</v>
      </c>
      <c r="AB63" s="23">
        <f>EXP(-LN(2)/2)*AB62+(1-EXP(-LN(2)/2))/(LN(2)/2)*V63*Y63*VLOOKUP('Données projet'!$B$9,Paramètres!$A$1:$I$88,3,0)*0.475*44/12</f>
        <v>0</v>
      </c>
      <c r="AC63" s="24">
        <f t="shared" si="3"/>
        <v>43.04144004421881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299.12</v>
      </c>
      <c r="AG63" s="13">
        <f>VLOOKUP(A63,'Données projet'!$A$61:$I$81,9,0)</f>
        <v>7.5</v>
      </c>
      <c r="AH63" s="13">
        <f t="array" ref="AH63">INDEX(AG:AG,MIN(IF(ISNUMBER(AG63:AG259),ROW(AG63:AG259),"")))</f>
        <v>7.5</v>
      </c>
      <c r="AI63" s="14">
        <f>IF('Données projet'!$A$62&gt;35,AI62+AH63-AQ62,IF(A63&lt;'Données projet'!$A$62,$AF$205^A63,IF(A63='Données projet'!$A$62,'Données projet'!$B$62,AI62+AH63-AQ62)))</f>
        <v>299.12</v>
      </c>
      <c r="AJ63" s="14">
        <f>AI63*VLOOKUP('Données projet'!$B$10,Paramètres!$A$1:$I$88,3,0)*VLOOKUP('Données projet'!$B$10,Paramètres!$A$1:$I$88,5,0)</f>
        <v>139.98815999999999</v>
      </c>
      <c r="AK63" s="14">
        <f t="shared" si="35"/>
        <v>36.294293103919841</v>
      </c>
      <c r="AL63" s="22">
        <f t="shared" si="4"/>
        <v>307.02527248932705</v>
      </c>
      <c r="AM63" s="62">
        <f t="shared" si="5"/>
        <v>600.35860582266037</v>
      </c>
      <c r="AN63" s="62">
        <f ca="1">AVERAGE(OFFSET($AM$3,0,0,'Données projet'!$E$10+1,1))-AVERAGE(OFFSET($H$3,0,0,'Données projet'!$E$10+1,1))</f>
        <v>82.840015321739202</v>
      </c>
      <c r="AO63" s="62">
        <f t="shared" si="36"/>
        <v>101.40622074610098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299.12</v>
      </c>
      <c r="AR63" s="17">
        <f>IF(ISNA(VLOOKUP(A63,'Données projet'!$A$61:$I$81,5,0)),0%,VLOOKUP(A63,'Données projet'!$A$61:$I$81,5,0)*VLOOKUP('Données projet'!$B$10,Paramètres!$A$1:$I$88,7,0))</f>
        <v>0.38500000000000001</v>
      </c>
      <c r="AS63" s="17">
        <f>IF(ISNA(VLOOKUP(A63,'Données projet'!$A$61:$I$81,6,0)),0%,VLOOKUP(A63,'Données projet'!$A$61:$I$81,6,0)*VLOOKUP('Données projet'!$B$10,Paramètres!$A$1:$I$88,7,0))</f>
        <v>0.16500000000000001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76.244769992400862</v>
      </c>
      <c r="AV63" s="23">
        <f>EXP(-LN(2)/25)*AV62+(1-EXP(-LN(2)/25))/(LN(2)/25)*Calculateur!AQ63*Calculateur!AS63*VLOOKUP('Données projet'!$B$10,Paramètres!$A$1:$I$88,3,0)*0.475*44/12</f>
        <v>39.412230152859621</v>
      </c>
      <c r="AW63" s="23">
        <f>EXP(-LN(2)/2)*AW62+(1-EXP(-LN(2)/2))/(LN(2)/2)*AQ63*AT63*VLOOKUP('Données projet'!$B$10,Paramètres!$A$1:$I$88,3,0)*0.475*44/12</f>
        <v>0</v>
      </c>
      <c r="AX63" s="23">
        <f t="shared" si="6"/>
        <v>115.65700014526048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1.5999999999999979</v>
      </c>
      <c r="BD63" s="13">
        <f>IF('Données projet'!$A$88&gt;35,BD62+BC63-BL62,IF(A63&lt;'Données projet'!$A$88,$BA$205^A63,IF(A63='Données projet'!$A$88,'Données projet'!$B$88,BD62+BC63-BL62)))</f>
        <v>177.49999999999983</v>
      </c>
      <c r="BE63" s="14">
        <f>BD63*VLOOKUP('Données projet'!$B$11,Paramètres!$A$1:$I$88,3,0)*VLOOKUP('Données projet'!$B$11,Paramètres!$A$1:$I$88,5,0)</f>
        <v>106.1449999999999</v>
      </c>
      <c r="BF63" s="14">
        <f t="shared" si="37"/>
        <v>28.420839341701143</v>
      </c>
      <c r="BG63" s="22">
        <f t="shared" si="7"/>
        <v>234.36883685346262</v>
      </c>
      <c r="BH63" s="62">
        <f t="shared" si="8"/>
        <v>527.70217018679591</v>
      </c>
      <c r="BI63" s="62">
        <f ca="1">AVERAGE(OFFSET($BH$3,0,0,'Données projet'!$E$11+1,1))-AVERAGE(OFFSET($H$3,0,0,'Données projet'!$E$11+1,1))</f>
        <v>83.354474428753292</v>
      </c>
      <c r="BJ63" s="62">
        <f t="shared" si="38"/>
        <v>97.75861379589162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10.07176960010184</v>
      </c>
      <c r="BQ63" s="23">
        <f>EXP(-LN(2)/25)*BQ62+(1-EXP(-LN(2)/25))/(LN(2)/25)*Calculateur!BL63*Calculateur!BN63*VLOOKUP('Données projet'!$B$11,Paramètres!$A$1:$I$88,3,0)*0.475*44/12</f>
        <v>10.453590044792227</v>
      </c>
      <c r="BR63" s="23">
        <f>EXP(-LN(2)/2)*BR62+(1-EXP(-LN(2)/2))/(LN(2)/2)*BL63*BO63*VLOOKUP('Données projet'!$B$11,Paramètres!$A$1:$I$88,3,0)*0.475*44/12</f>
        <v>0</v>
      </c>
      <c r="BS63" s="24">
        <f t="shared" si="9"/>
        <v>20.525359644894067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projet'!$B$12,Paramètres!$A$1:$I$88,3,0)*0.475*44/12</f>
        <v>#N/A</v>
      </c>
      <c r="CL63" s="23" t="e">
        <f>EXP(-LN(2)/25)*CL62+(1-EXP(-LN(2)/25))/(LN(2)/25)*Calculateur!CG63*Calculateur!CI63*VLOOKUP('Données projet'!$B$12,Paramètres!$A$1:$I$88,3,0)*0.475*44/12</f>
        <v>#N/A</v>
      </c>
      <c r="CM63" s="23" t="e">
        <f>EXP(-LN(2)/2)*CM62+(1-EXP(-LN(2)/2))/(LN(2)/2)*CG63*CJ63*VLOOKUP('Données projet'!$B$12,Paramètres!$A$1:$I$88,3,0)*0.475*44/12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44.725199999999937</v>
      </c>
      <c r="D64" s="12">
        <f t="shared" si="32"/>
        <v>13.24280760228976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447.47233938609594</v>
      </c>
      <c r="H64" s="70">
        <f t="shared" si="1"/>
        <v>394.2942799073212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10.199999999999999</v>
      </c>
      <c r="N64" s="14">
        <f>IF('Données projet'!$A$36&gt;35,N63+M64-V63,IF(A64&lt;'Données projet'!$A$36,$K$205^A64,IF(A64='Données projet'!$A$36,'Données projet'!$B$36,N63+M64-V63)))</f>
        <v>369.39999999999986</v>
      </c>
      <c r="O64" s="14">
        <f>N64*VLOOKUP('Données projet'!$B$9,Paramètres!$A$1:$I$88,3,0)*VLOOKUP('Données projet'!$B$9,Paramètres!$A$1:$I$88,5,0)</f>
        <v>206.49459999999991</v>
      </c>
      <c r="P64" s="14">
        <f t="shared" si="33"/>
        <v>51.168818755796714</v>
      </c>
      <c r="Q64" s="22">
        <f t="shared" si="53"/>
        <v>448.76378766634571</v>
      </c>
      <c r="R64" s="62">
        <f t="shared" si="0"/>
        <v>742.09712099967896</v>
      </c>
      <c r="S64" s="62">
        <f ca="1">AVERAGE(OFFSET($R$3,0,0,'Données projet'!$E$9+1,1))-AVERAGE(OFFSET($H$3,0,0,'Données projet'!$E$9+1,1))</f>
        <v>222.18341301864729</v>
      </c>
      <c r="T64" s="62">
        <f t="shared" si="34"/>
        <v>172.63628480089358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23.683164803410989</v>
      </c>
      <c r="AA64" s="23">
        <f>EXP(-LN(2)/25)*AA63+(1-EXP(-LN(2)/25))/(LN(2)/25)*Calculateur!V64*Calculateur!X64*VLOOKUP('Données projet'!$B$9,Paramètres!$A$1:$I$88,3,0)*0.475*44/12</f>
        <v>18.368174164113768</v>
      </c>
      <c r="AB64" s="23">
        <f>EXP(-LN(2)/2)*AB63+(1-EXP(-LN(2)/2))/(LN(2)/2)*V64*Y64*VLOOKUP('Données projet'!$B$9,Paramètres!$A$1:$I$88,3,0)*0.475*44/12</f>
        <v>0</v>
      </c>
      <c r="AC64" s="24">
        <f t="shared" si="3"/>
        <v>42.051338967524757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projet'!$B$10,Paramètres!$A$1:$I$88,3,0)*VLOOKUP('Données projet'!$B$10,Paramètres!$A$1:$I$88,5,0)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82.840015321739202</v>
      </c>
      <c r="AO64" s="62">
        <f t="shared" si="36"/>
        <v>101.40622074610098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74.749656557567619</v>
      </c>
      <c r="AV64" s="23">
        <f>EXP(-LN(2)/25)*AV63+(1-EXP(-LN(2)/25))/(LN(2)/25)*Calculateur!AQ64*Calculateur!AS64*VLOOKUP('Données projet'!$B$10,Paramètres!$A$1:$I$88,3,0)*0.475*44/12</f>
        <v>38.334500646730568</v>
      </c>
      <c r="AW64" s="23">
        <f>EXP(-LN(2)/2)*AW63+(1-EXP(-LN(2)/2))/(LN(2)/2)*AQ64*AT64*VLOOKUP('Données projet'!$B$10,Paramètres!$A$1:$I$88,3,0)*0.475*44/12</f>
        <v>0</v>
      </c>
      <c r="AX64" s="23">
        <f t="shared" si="6"/>
        <v>113.08415720429818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1.5999999999999979</v>
      </c>
      <c r="BD64" s="13">
        <f>IF('Données projet'!$A$88&gt;35,BD63+BC64-BL63,IF(A64&lt;'Données projet'!$A$88,$BA$205^A64,IF(A64='Données projet'!$A$88,'Données projet'!$B$88,BD63+BC64-BL63)))</f>
        <v>179.09999999999982</v>
      </c>
      <c r="BE64" s="14">
        <f>BD64*VLOOKUP('Données projet'!$B$11,Paramètres!$A$1:$I$88,3,0)*VLOOKUP('Données projet'!$B$11,Paramètres!$A$1:$I$88,5,0)</f>
        <v>107.10179999999991</v>
      </c>
      <c r="BF64" s="14">
        <f t="shared" si="37"/>
        <v>28.647088563405703</v>
      </c>
      <c r="BG64" s="22">
        <f t="shared" si="7"/>
        <v>236.42931424793142</v>
      </c>
      <c r="BH64" s="62">
        <f t="shared" si="8"/>
        <v>529.76264758126467</v>
      </c>
      <c r="BI64" s="62">
        <f ca="1">AVERAGE(OFFSET($BH$3,0,0,'Données projet'!$E$11+1,1))-AVERAGE(OFFSET($H$3,0,0,'Données projet'!$E$11+1,1))</f>
        <v>83.354474428753292</v>
      </c>
      <c r="BJ64" s="62">
        <f t="shared" si="38"/>
        <v>97.75861379589162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9.8742683414167107</v>
      </c>
      <c r="BQ64" s="23">
        <f>EXP(-LN(2)/25)*BQ63+(1-EXP(-LN(2)/25))/(LN(2)/25)*Calculateur!BL64*Calculateur!BN64*VLOOKUP('Données projet'!$B$11,Paramètres!$A$1:$I$88,3,0)*0.475*44/12</f>
        <v>10.167736075286975</v>
      </c>
      <c r="BR64" s="23">
        <f>EXP(-LN(2)/2)*BR63+(1-EXP(-LN(2)/2))/(LN(2)/2)*BL64*BO64*VLOOKUP('Données projet'!$B$11,Paramètres!$A$1:$I$88,3,0)*0.475*44/12</f>
        <v>0</v>
      </c>
      <c r="BS64" s="24">
        <f t="shared" si="9"/>
        <v>20.042004416703683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projet'!$B$12,Paramètres!$A$1:$I$88,3,0)*0.475*44/12</f>
        <v>#N/A</v>
      </c>
      <c r="CL64" s="23" t="e">
        <f>EXP(-LN(2)/25)*CL63+(1-EXP(-LN(2)/25))/(LN(2)/25)*Calculateur!CG64*Calculateur!CI64*VLOOKUP('Données projet'!$B$12,Paramètres!$A$1:$I$88,3,0)*0.475*44/12</f>
        <v>#N/A</v>
      </c>
      <c r="CM64" s="23" t="e">
        <f>EXP(-LN(2)/2)*CM63+(1-EXP(-LN(2)/2))/(LN(2)/2)*CG64*CJ64*VLOOKUP('Données projet'!$B$12,Paramètres!$A$1:$I$88,3,0)*0.475*44/12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45.458399999999934</v>
      </c>
      <c r="D65" s="12">
        <f t="shared" si="32"/>
        <v>13.434451013546127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454.61148150807486</v>
      </c>
      <c r="H65" s="70">
        <f t="shared" si="1"/>
        <v>395.90504884859268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10.199999999999999</v>
      </c>
      <c r="N65" s="14">
        <f>IF('Données projet'!$A$36&gt;35,N64+M65-V64,IF(A65&lt;'Données projet'!$A$36,$K$205^A65,IF(A65='Données projet'!$A$36,'Données projet'!$B$36,N64+M65-V64)))</f>
        <v>379.59999999999985</v>
      </c>
      <c r="O65" s="14">
        <f>N65*VLOOKUP('Données projet'!$B$9,Paramètres!$A$1:$I$88,3,0)*VLOOKUP('Données projet'!$B$9,Paramètres!$A$1:$I$88,5,0)</f>
        <v>212.1963999999999</v>
      </c>
      <c r="P65" s="14">
        <f t="shared" si="33"/>
        <v>52.415263324942657</v>
      </c>
      <c r="Q65" s="22">
        <f t="shared" si="53"/>
        <v>460.86531362427496</v>
      </c>
      <c r="R65" s="62">
        <f t="shared" si="0"/>
        <v>754.19864695760828</v>
      </c>
      <c r="S65" s="62">
        <f ca="1">AVERAGE(OFFSET($R$3,0,0,'Données projet'!$E$9+1,1))-AVERAGE(OFFSET($H$3,0,0,'Données projet'!$E$9+1,1))</f>
        <v>222.18341301864729</v>
      </c>
      <c r="T65" s="62">
        <f t="shared" si="34"/>
        <v>172.63628480089358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23.218752386920276</v>
      </c>
      <c r="AA65" s="23">
        <f>EXP(-LN(2)/25)*AA64+(1-EXP(-LN(2)/25))/(LN(2)/25)*Calculateur!V65*Calculateur!X65*VLOOKUP('Données projet'!$B$9,Paramètres!$A$1:$I$88,3,0)*0.475*44/12</f>
        <v>17.86589547565578</v>
      </c>
      <c r="AB65" s="23">
        <f>EXP(-LN(2)/2)*AB64+(1-EXP(-LN(2)/2))/(LN(2)/2)*V65*Y65*VLOOKUP('Données projet'!$B$9,Paramètres!$A$1:$I$88,3,0)*0.475*44/12</f>
        <v>0</v>
      </c>
      <c r="AC65" s="24">
        <f t="shared" si="3"/>
        <v>41.084647862576055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projet'!$B$10,Paramètres!$A$1:$I$88,3,0)*VLOOKUP('Données projet'!$B$10,Paramètres!$A$1:$I$88,5,0)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82.840015321739202</v>
      </c>
      <c r="AO65" s="62">
        <f t="shared" si="36"/>
        <v>101.40622074610098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73.283861385262298</v>
      </c>
      <c r="AV65" s="23">
        <f>EXP(-LN(2)/25)*AV64+(1-EXP(-LN(2)/25))/(LN(2)/25)*Calculateur!AQ65*Calculateur!AS65*VLOOKUP('Données projet'!$B$10,Paramètres!$A$1:$I$88,3,0)*0.475*44/12</f>
        <v>37.286241710621944</v>
      </c>
      <c r="AW65" s="23">
        <f>EXP(-LN(2)/2)*AW64+(1-EXP(-LN(2)/2))/(LN(2)/2)*AQ65*AT65*VLOOKUP('Données projet'!$B$10,Paramètres!$A$1:$I$88,3,0)*0.475*44/12</f>
        <v>0</v>
      </c>
      <c r="AX65" s="23">
        <f t="shared" si="6"/>
        <v>110.57010309588424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>
        <f>VLOOKUP(A65,'Données projet'!$A$87:$I$107,2,0)</f>
        <v>180.7</v>
      </c>
      <c r="BB65" s="13">
        <f>VLOOKUP(A65,'Données projet'!$A$87:$I$107,9,0)</f>
        <v>1.5999999999999979</v>
      </c>
      <c r="BC65" s="13">
        <f t="array" ref="BC65">INDEX(BB:BB,MIN(IF(ISNUMBER(BB65:BB261),ROW(BB65:BB261),"")))</f>
        <v>1.5999999999999979</v>
      </c>
      <c r="BD65" s="13">
        <f>IF('Données projet'!$A$88&gt;35,BD64+BC65-BL64,IF(A65&lt;'Données projet'!$A$88,$BA$205^A65,IF(A65='Données projet'!$A$88,'Données projet'!$B$88,BD64+BC65-BL64)))</f>
        <v>180.69999999999982</v>
      </c>
      <c r="BE65" s="14">
        <f>BD65*VLOOKUP('Données projet'!$B$11,Paramètres!$A$1:$I$88,3,0)*VLOOKUP('Données projet'!$B$11,Paramètres!$A$1:$I$88,5,0)</f>
        <v>108.0585999999999</v>
      </c>
      <c r="BF65" s="14">
        <f t="shared" si="37"/>
        <v>28.87310263521131</v>
      </c>
      <c r="BG65" s="22">
        <f t="shared" si="7"/>
        <v>238.48938208965947</v>
      </c>
      <c r="BH65" s="62">
        <f t="shared" si="8"/>
        <v>531.82271542299281</v>
      </c>
      <c r="BI65" s="62">
        <f ca="1">AVERAGE(OFFSET($BH$3,0,0,'Données projet'!$E$11+1,1))-AVERAGE(OFFSET($H$3,0,0,'Données projet'!$E$11+1,1))</f>
        <v>83.354474428753292</v>
      </c>
      <c r="BJ65" s="62">
        <f t="shared" si="38"/>
        <v>97.75861379589162</v>
      </c>
      <c r="BK65" s="16">
        <f>IF(ISNA(VLOOKUP(A65,'Données projet'!$A$87:$I$107,3,0)),0,VLOOKUP(A65,'Données projet'!$A$87:$I$107,3,0))</f>
        <v>10</v>
      </c>
      <c r="BL65" s="16">
        <f>IF(ISNA(VLOOKUP(A65,'Données projet'!$A$87:$I$107,4,0)),0,VLOOKUP(A65,'Données projet'!$A$87:$I$107,4,0))</f>
        <v>10.7</v>
      </c>
      <c r="BM65" s="17">
        <f>IF(ISNA(VLOOKUP(A65,'Données projet'!$A$87:$I$107,5,0)),0%,VLOOKUP(A65,'Données projet'!$A$87:$I$107,5,0)*VLOOKUP('Données projet'!$B$11,Paramètres!$A$1:$I$88,7,0))</f>
        <v>0.315</v>
      </c>
      <c r="BN65" s="17">
        <f>IF(ISNA(VLOOKUP(A65,'Données projet'!$A$87:$I$107,6,0)),0%,VLOOKUP(A65,'Données projet'!$A$87:$I$107,6,0)*VLOOKUP('Données projet'!$B$11,Paramètres!$A$1:$I$88,7,0))</f>
        <v>0.13500000000000001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12.354408889191788</v>
      </c>
      <c r="BQ65" s="23">
        <f>EXP(-LN(2)/25)*BQ64+(1-EXP(-LN(2)/25))/(LN(2)/25)*Calculateur!BL65*Calculateur!BN65*VLOOKUP('Données projet'!$B$11,Paramètres!$A$1:$I$88,3,0)*0.475*44/12</f>
        <v>11.031087917691201</v>
      </c>
      <c r="BR65" s="23">
        <f>EXP(-LN(2)/2)*BR64+(1-EXP(-LN(2)/2))/(LN(2)/2)*BL65*BO65*VLOOKUP('Données projet'!$B$11,Paramètres!$A$1:$I$88,3,0)*0.475*44/12</f>
        <v>0</v>
      </c>
      <c r="BS65" s="24">
        <f t="shared" si="9"/>
        <v>23.38549680688299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projet'!$B$12,Paramètres!$A$1:$I$88,3,0)*0.475*44/12</f>
        <v>#N/A</v>
      </c>
      <c r="CL65" s="23" t="e">
        <f>EXP(-LN(2)/25)*CL64+(1-EXP(-LN(2)/25))/(LN(2)/25)*Calculateur!CG65*Calculateur!CI65*VLOOKUP('Données projet'!$B$12,Paramètres!$A$1:$I$88,3,0)*0.475*44/12</f>
        <v>#N/A</v>
      </c>
      <c r="CM65" s="23" t="e">
        <f>EXP(-LN(2)/2)*CM64+(1-EXP(-LN(2)/2))/(LN(2)/2)*CG65*CJ65*VLOOKUP('Données projet'!$B$12,Paramètres!$A$1:$I$88,3,0)*0.475*44/12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46.19159999999993</v>
      </c>
      <c r="D66" s="12">
        <f t="shared" si="32"/>
        <v>13.625734950806207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461.74784874306488</v>
      </c>
      <c r="H66" s="70">
        <f t="shared" si="1"/>
        <v>397.51519170598732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10.199999999999999</v>
      </c>
      <c r="N66" s="14">
        <f>IF('Données projet'!$A$36&gt;35,N65+M66-V65,IF(A66&lt;'Données projet'!$A$36,$K$205^A66,IF(A66='Données projet'!$A$36,'Données projet'!$B$36,N65+M66-V65)))</f>
        <v>389.79999999999984</v>
      </c>
      <c r="O66" s="14">
        <f>N66*VLOOKUP('Données projet'!$B$9,Paramètres!$A$1:$I$88,3,0)*VLOOKUP('Données projet'!$B$9,Paramètres!$A$1:$I$88,5,0)</f>
        <v>217.89819999999989</v>
      </c>
      <c r="P66" s="14">
        <f t="shared" si="33"/>
        <v>53.657814968070035</v>
      </c>
      <c r="Q66" s="22">
        <f t="shared" si="53"/>
        <v>472.96005940272175</v>
      </c>
      <c r="R66" s="62">
        <f t="shared" si="0"/>
        <v>766.29339273605501</v>
      </c>
      <c r="S66" s="62">
        <f ca="1">AVERAGE(OFFSET($R$3,0,0,'Données projet'!$E$9+1,1))-AVERAGE(OFFSET($H$3,0,0,'Données projet'!$E$9+1,1))</f>
        <v>222.18341301864729</v>
      </c>
      <c r="T66" s="62">
        <f t="shared" si="34"/>
        <v>172.63628480089358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22.763446814653339</v>
      </c>
      <c r="AA66" s="23">
        <f>EXP(-LN(2)/25)*AA65+(1-EXP(-LN(2)/25))/(LN(2)/25)*Calculateur!V66*Calculateur!X66*VLOOKUP('Données projet'!$B$9,Paramètres!$A$1:$I$88,3,0)*0.475*44/12</f>
        <v>17.377351624347362</v>
      </c>
      <c r="AB66" s="23">
        <f>EXP(-LN(2)/2)*AB65+(1-EXP(-LN(2)/2))/(LN(2)/2)*V66*Y66*VLOOKUP('Données projet'!$B$9,Paramètres!$A$1:$I$88,3,0)*0.475*44/12</f>
        <v>0</v>
      </c>
      <c r="AC66" s="24">
        <f t="shared" si="3"/>
        <v>40.140798439000704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projet'!$B$10,Paramètres!$A$1:$I$88,3,0)*VLOOKUP('Données projet'!$B$10,Paramètres!$A$1:$I$88,5,0)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82.840015321739202</v>
      </c>
      <c r="AO66" s="62">
        <f t="shared" si="36"/>
        <v>101.40622074610098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71.846809562239116</v>
      </c>
      <c r="AV66" s="23">
        <f>EXP(-LN(2)/25)*AV65+(1-EXP(-LN(2)/25))/(LN(2)/25)*Calculateur!AQ66*Calculateur!AS66*VLOOKUP('Données projet'!$B$10,Paramètres!$A$1:$I$88,3,0)*0.475*44/12</f>
        <v>36.266647470246753</v>
      </c>
      <c r="AW66" s="23">
        <f>EXP(-LN(2)/2)*AW65+(1-EXP(-LN(2)/2))/(LN(2)/2)*AQ66*AT66*VLOOKUP('Données projet'!$B$10,Paramètres!$A$1:$I$88,3,0)*0.475*44/12</f>
        <v>0</v>
      </c>
      <c r="AX66" s="23">
        <f t="shared" si="6"/>
        <v>108.11345703248587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169.99999999999983</v>
      </c>
      <c r="BE66" s="14">
        <f>BD66*VLOOKUP('Données projet'!$B$11,Paramètres!$A$1:$I$88,3,0)*VLOOKUP('Données projet'!$B$11,Paramètres!$A$1:$I$88,5,0)</f>
        <v>101.65999999999991</v>
      </c>
      <c r="BF66" s="14">
        <f t="shared" si="37"/>
        <v>27.357089923704745</v>
      </c>
      <c r="BG66" s="22">
        <f t="shared" si="7"/>
        <v>224.70476495045224</v>
      </c>
      <c r="BH66" s="62">
        <f t="shared" si="8"/>
        <v>518.03809828378553</v>
      </c>
      <c r="BI66" s="62">
        <f ca="1">AVERAGE(OFFSET($BH$3,0,0,'Données projet'!$E$11+1,1))-AVERAGE(OFFSET($H$3,0,0,'Données projet'!$E$11+1,1))</f>
        <v>83.354474428753292</v>
      </c>
      <c r="BJ66" s="62">
        <f t="shared" si="38"/>
        <v>97.75861379589162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12.112146466320096</v>
      </c>
      <c r="BQ66" s="23">
        <f>EXP(-LN(2)/25)*BQ65+(1-EXP(-LN(2)/25))/(LN(2)/25)*Calculateur!BL66*Calculateur!BN66*VLOOKUP('Données projet'!$B$11,Paramètres!$A$1:$I$88,3,0)*0.475*44/12</f>
        <v>10.729442238482234</v>
      </c>
      <c r="BR66" s="23">
        <f>EXP(-LN(2)/2)*BR65+(1-EXP(-LN(2)/2))/(LN(2)/2)*BL66*BO66*VLOOKUP('Données projet'!$B$11,Paramètres!$A$1:$I$88,3,0)*0.475*44/12</f>
        <v>0</v>
      </c>
      <c r="BS66" s="24">
        <f t="shared" si="9"/>
        <v>22.84158870480233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projet'!$B$12,Paramètres!$A$1:$I$88,3,0)*0.475*44/12</f>
        <v>#N/A</v>
      </c>
      <c r="CL66" s="23" t="e">
        <f>EXP(-LN(2)/25)*CL65+(1-EXP(-LN(2)/25))/(LN(2)/25)*Calculateur!CG66*Calculateur!CI66*VLOOKUP('Données projet'!$B$12,Paramètres!$A$1:$I$88,3,0)*0.475*44/12</f>
        <v>#N/A</v>
      </c>
      <c r="CM66" s="23" t="e">
        <f>EXP(-LN(2)/2)*CM65+(1-EXP(-LN(2)/2))/(LN(2)/2)*CG66*CJ66*VLOOKUP('Données projet'!$B$12,Paramètres!$A$1:$I$88,3,0)*0.475*44/12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46.924799999999927</v>
      </c>
      <c r="D67" s="12">
        <f t="shared" si="32"/>
        <v>13.816665778834693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468.88149022258307</v>
      </c>
      <c r="H67" s="70">
        <f t="shared" si="1"/>
        <v>399.12471956480363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>
        <f>VLOOKUP(A67,'Données projet'!$A$35:$I$55,2,0)</f>
        <v>400</v>
      </c>
      <c r="L67" s="13">
        <f>VLOOKUP(A67,'Données projet'!$A$35:$I$55,9,0)</f>
        <v>10.199999999999999</v>
      </c>
      <c r="M67" s="13">
        <f t="array" ref="M67">INDEX(L:L,MIN(IF(ISNUMBER(L67:L263),ROW(L67:L263),"")))</f>
        <v>10.199999999999999</v>
      </c>
      <c r="N67" s="14">
        <f>IF('Données projet'!$A$36&gt;35,N66+M67-V66,IF(A67&lt;'Données projet'!$A$36,$K$205^A67,IF(A67='Données projet'!$A$36,'Données projet'!$B$36,N66+M67-V66)))</f>
        <v>399.99999999999983</v>
      </c>
      <c r="O67" s="14">
        <f>N67*VLOOKUP('Données projet'!$B$9,Paramètres!$A$1:$I$88,3,0)*VLOOKUP('Données projet'!$B$9,Paramètres!$A$1:$I$88,5,0)</f>
        <v>223.59999999999991</v>
      </c>
      <c r="P67" s="14">
        <f t="shared" si="33"/>
        <v>54.896587262968644</v>
      </c>
      <c r="Q67" s="22">
        <f t="shared" ref="Q67:Q98" si="54">(O67+P67)*0.475*44/12</f>
        <v>485.04822281633687</v>
      </c>
      <c r="R67" s="62">
        <f t="shared" ref="R67:R130" si="55">Q67+(I67+J67)*44/12</f>
        <v>778.38155614967013</v>
      </c>
      <c r="S67" s="62">
        <f ca="1">AVERAGE(OFFSET($R$3,0,0,'Données projet'!$E$9+1,1))-AVERAGE(OFFSET($H$3,0,0,'Données projet'!$E$9+1,1))</f>
        <v>222.18341301864729</v>
      </c>
      <c r="T67" s="62">
        <f t="shared" si="34"/>
        <v>172.63628480089358</v>
      </c>
      <c r="U67" s="16">
        <f>IF(ISNA(VLOOKUP(A67,'Données projet'!$A$35:$I$55,3,0)),0,VLOOKUP(A67,'Données projet'!$A$35:$I$55,3,0))</f>
        <v>5</v>
      </c>
      <c r="V67" s="16">
        <f>IF(ISNA(VLOOKUP(A67,'Données projet'!$A$35:$I$55,4,0)),0,VLOOKUP(A67,'Données projet'!$A$35:$I$55,4,0))</f>
        <v>63</v>
      </c>
      <c r="W67" s="17">
        <f>IF(ISNA(VLOOKUP(A67,'Données projet'!$A$35:$I$55,5,0)),0%,VLOOKUP(A67,'Données projet'!$A$35:$I$55,5,0)*VLOOKUP('Données projet'!$B$9,Paramètres!$A$1:$I$88,7,0))</f>
        <v>0.38500000000000001</v>
      </c>
      <c r="X67" s="17">
        <f>IF(ISNA(VLOOKUP(A67,'Données projet'!$A$35:$I$55,6,0)),0%,VLOOKUP(A67,'Données projet'!$A$35:$I$55,6,0)*VLOOKUP('Données projet'!$B$9,Paramètres!$A$1:$I$88,7,0))</f>
        <v>0.16500000000000001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40.303353371427079</v>
      </c>
      <c r="AA67" s="23">
        <f>EXP(-LN(2)/25)*AA66+(1-EXP(-LN(2)/25))/(LN(2)/25)*Calculateur!V67*Calculateur!X67*VLOOKUP('Données projet'!$B$9,Paramètres!$A$1:$I$88,3,0)*0.475*44/12</f>
        <v>24.580223463883641</v>
      </c>
      <c r="AB67" s="23">
        <f>EXP(-LN(2)/2)*AB66+(1-EXP(-LN(2)/2))/(LN(2)/2)*V67*Y67*VLOOKUP('Données projet'!$B$9,Paramètres!$A$1:$I$88,3,0)*0.475*44/12</f>
        <v>0</v>
      </c>
      <c r="AC67" s="24">
        <f t="shared" si="3"/>
        <v>64.88357683531072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projet'!$B$10,Paramètres!$A$1:$I$88,3,0)*VLOOKUP('Données projet'!$B$10,Paramètres!$A$1:$I$88,5,0)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82.840015321739202</v>
      </c>
      <c r="AO67" s="62">
        <f t="shared" si="36"/>
        <v>101.40622074610098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70.43793744895035</v>
      </c>
      <c r="AV67" s="23">
        <f>EXP(-LN(2)/25)*AV66+(1-EXP(-LN(2)/25))/(LN(2)/25)*Calculateur!AQ67*Calculateur!AS67*VLOOKUP('Données projet'!$B$10,Paramètres!$A$1:$I$88,3,0)*0.475*44/12</f>
        <v>35.274934087992754</v>
      </c>
      <c r="AW67" s="23">
        <f>EXP(-LN(2)/2)*AW66+(1-EXP(-LN(2)/2))/(LN(2)/2)*AQ67*AT67*VLOOKUP('Données projet'!$B$10,Paramètres!$A$1:$I$88,3,0)*0.475*44/12</f>
        <v>0</v>
      </c>
      <c r="AX67" s="23">
        <f t="shared" si="6"/>
        <v>105.71287153694311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169.99999999999983</v>
      </c>
      <c r="BE67" s="14">
        <f>BD67*VLOOKUP('Données projet'!$B$11,Paramètres!$A$1:$I$88,3,0)*VLOOKUP('Données projet'!$B$11,Paramètres!$A$1:$I$88,5,0)</f>
        <v>101.65999999999991</v>
      </c>
      <c r="BF67" s="14">
        <f t="shared" si="37"/>
        <v>27.357089923704745</v>
      </c>
      <c r="BG67" s="22">
        <f t="shared" si="7"/>
        <v>224.70476495045224</v>
      </c>
      <c r="BH67" s="62">
        <f t="shared" si="8"/>
        <v>518.03809828378553</v>
      </c>
      <c r="BI67" s="62">
        <f ca="1">AVERAGE(OFFSET($BH$3,0,0,'Données projet'!$E$11+1,1))-AVERAGE(OFFSET($H$3,0,0,'Données projet'!$E$11+1,1))</f>
        <v>83.354474428753292</v>
      </c>
      <c r="BJ67" s="62">
        <f t="shared" si="38"/>
        <v>97.75861379589162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11.874634661795431</v>
      </c>
      <c r="BQ67" s="23">
        <f>EXP(-LN(2)/25)*BQ66+(1-EXP(-LN(2)/25))/(LN(2)/25)*Calculateur!BL67*Calculateur!BN67*VLOOKUP('Données projet'!$B$11,Paramètres!$A$1:$I$88,3,0)*0.475*44/12</f>
        <v>10.436045076234093</v>
      </c>
      <c r="BR67" s="23">
        <f>EXP(-LN(2)/2)*BR66+(1-EXP(-LN(2)/2))/(LN(2)/2)*BL67*BO67*VLOOKUP('Données projet'!$B$11,Paramètres!$A$1:$I$88,3,0)*0.475*44/12</f>
        <v>0</v>
      </c>
      <c r="BS67" s="24">
        <f t="shared" si="9"/>
        <v>22.310679738029524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projet'!$B$12,Paramètres!$A$1:$I$88,3,0)*0.475*44/12</f>
        <v>#N/A</v>
      </c>
      <c r="CL67" s="23" t="e">
        <f>EXP(-LN(2)/25)*CL66+(1-EXP(-LN(2)/25))/(LN(2)/25)*Calculateur!CG67*Calculateur!CI67*VLOOKUP('Données projet'!$B$12,Paramètres!$A$1:$I$88,3,0)*0.475*44/12</f>
        <v>#N/A</v>
      </c>
      <c r="CM67" s="23" t="e">
        <f>EXP(-LN(2)/2)*CM66+(1-EXP(-LN(2)/2))/(LN(2)/2)*CG67*CJ67*VLOOKUP('Données projet'!$B$12,Paramètres!$A$1:$I$88,3,0)*0.475*44/12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47.657999999999923</v>
      </c>
      <c r="D68" s="12">
        <f t="shared" si="32"/>
        <v>14.007249652087188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476.01245345470755</v>
      </c>
      <c r="H68" s="70">
        <f t="shared" ref="H68:H131" si="56">(B68+E68+F68)*44/12+(C68+D68)*0.475*44/12</f>
        <v>400.73364314405171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345.79999999999984</v>
      </c>
      <c r="O68" s="14">
        <f>N68*VLOOKUP('Données projet'!$B$9,Paramètres!$A$1:$I$88,3,0)*VLOOKUP('Données projet'!$B$9,Paramètres!$A$1:$I$88,5,0)</f>
        <v>193.30219999999991</v>
      </c>
      <c r="P68" s="14">
        <f t="shared" si="33"/>
        <v>48.269288641650597</v>
      </c>
      <c r="Q68" s="22">
        <f t="shared" si="54"/>
        <v>420.73700938420797</v>
      </c>
      <c r="R68" s="62">
        <f t="shared" si="55"/>
        <v>714.07034271754128</v>
      </c>
      <c r="S68" s="62">
        <f ca="1">AVERAGE(OFFSET($R$3,0,0,'Données projet'!$E$9+1,1))-AVERAGE(OFFSET($H$3,0,0,'Données projet'!$E$9+1,1))</f>
        <v>222.18341301864729</v>
      </c>
      <c r="T68" s="62">
        <f t="shared" si="34"/>
        <v>172.63628480089358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39.513029194431617</v>
      </c>
      <c r="AA68" s="23">
        <f>EXP(-LN(2)/25)*AA67+(1-EXP(-LN(2)/25))/(LN(2)/25)*Calculateur!V68*Calculateur!X68*VLOOKUP('Données projet'!$B$9,Paramètres!$A$1:$I$88,3,0)*0.475*44/12</f>
        <v>23.90807596064597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7">SUM(Z68:AB68)</f>
        <v>63.421105155077584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projet'!$B$10,Paramètres!$A$1:$I$88,3,0)*VLOOKUP('Données projet'!$B$10,Paramètres!$A$1:$I$88,5,0)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82.840015321739202</v>
      </c>
      <c r="AO68" s="62">
        <f t="shared" si="36"/>
        <v>101.40622074610098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69.05669245847605</v>
      </c>
      <c r="AV68" s="23">
        <f>EXP(-LN(2)/25)*AV67+(1-EXP(-LN(2)/25))/(LN(2)/25)*Calculateur!AQ68*Calculateur!AS68*VLOOKUP('Données projet'!$B$10,Paramètres!$A$1:$I$88,3,0)*0.475*44/12</f>
        <v>34.310339160328432</v>
      </c>
      <c r="AW68" s="23">
        <f>EXP(-LN(2)/2)*AW67+(1-EXP(-LN(2)/2))/(LN(2)/2)*AQ68*AT68*VLOOKUP('Données projet'!$B$10,Paramètres!$A$1:$I$88,3,0)*0.475*44/12</f>
        <v>0</v>
      </c>
      <c r="AX68" s="23">
        <f t="shared" ref="AX68:AX131" si="60">SUM(AU68:AW68)</f>
        <v>103.36703161880448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169.99999999999983</v>
      </c>
      <c r="BE68" s="14">
        <f>BD68*VLOOKUP('Données projet'!$B$11,Paramètres!$A$1:$I$88,3,0)*VLOOKUP('Données projet'!$B$11,Paramètres!$A$1:$I$88,5,0)</f>
        <v>101.65999999999991</v>
      </c>
      <c r="BF68" s="14">
        <f t="shared" si="37"/>
        <v>27.357089923704745</v>
      </c>
      <c r="BG68" s="22">
        <f t="shared" ref="BG68:BG131" si="61">(BE68+BF68)*0.475*44/12</f>
        <v>224.70476495045224</v>
      </c>
      <c r="BH68" s="62">
        <f t="shared" ref="BH68:BH131" si="62">BG68+(AY68+AZ68)*44/12</f>
        <v>518.03809828378553</v>
      </c>
      <c r="BI68" s="62">
        <f ca="1">AVERAGE(OFFSET($BH$3,0,0,'Données projet'!$E$11+1,1))-AVERAGE(OFFSET($H$3,0,0,'Données projet'!$E$11+1,1))</f>
        <v>83.354474428753292</v>
      </c>
      <c r="BJ68" s="62">
        <f t="shared" si="38"/>
        <v>97.75861379589162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11.641780318889598</v>
      </c>
      <c r="BQ68" s="23">
        <f>EXP(-LN(2)/25)*BQ67+(1-EXP(-LN(2)/25))/(LN(2)/25)*Calculateur!BL68*Calculateur!BN68*VLOOKUP('Données projet'!$B$11,Paramètres!$A$1:$I$88,3,0)*0.475*44/12</f>
        <v>10.150670874816713</v>
      </c>
      <c r="BR68" s="23">
        <f>EXP(-LN(2)/2)*BR67+(1-EXP(-LN(2)/2))/(LN(2)/2)*BL68*BO68*VLOOKUP('Données projet'!$B$11,Paramètres!$A$1:$I$88,3,0)*0.475*44/12</f>
        <v>0</v>
      </c>
      <c r="BS68" s="24">
        <f t="shared" ref="BS68:BS131" si="63">SUM(BP68:BR68)</f>
        <v>21.792451193706313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projet'!$B$12,Paramètres!$A$1:$I$88,3,0)*0.475*44/12</f>
        <v>#N/A</v>
      </c>
      <c r="CL68" s="23" t="e">
        <f>EXP(-LN(2)/25)*CL67+(1-EXP(-LN(2)/25))/(LN(2)/25)*Calculateur!CG68*Calculateur!CI68*VLOOKUP('Données projet'!$B$12,Paramètres!$A$1:$I$88,3,0)*0.475*44/12</f>
        <v>#N/A</v>
      </c>
      <c r="CM68" s="23" t="e">
        <f>EXP(-LN(2)/2)*CM67+(1-EXP(-LN(2)/2))/(LN(2)/2)*CG68*CJ68*VLOOKUP('Données projet'!$B$12,Paramètres!$A$1:$I$88,3,0)*0.475*44/12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48.39119999999992</v>
      </c>
      <c r="D69" s="12">
        <f t="shared" ref="D69:D132" si="86">IFERROR(EXP(-1.0587+0.8836*LN(C69)+0.284),0)</f>
        <v>14.197492524785963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483.14078440185591</v>
      </c>
      <c r="H69" s="70">
        <f t="shared" si="56"/>
        <v>402.34197281400208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8.8000000000000007</v>
      </c>
      <c r="N69" s="14">
        <f>IF('Données projet'!$A$36&gt;35,N68+M69-V68,IF(A69&lt;'Données projet'!$A$36,$K$205^A69,IF(A69='Données projet'!$A$36,'Données projet'!$B$36,N68+M69-V68)))</f>
        <v>354.59999999999985</v>
      </c>
      <c r="O69" s="14">
        <f>N69*VLOOKUP('Données projet'!$B$9,Paramètres!$A$1:$I$88,3,0)*VLOOKUP('Données projet'!$B$9,Paramètres!$A$1:$I$88,5,0)</f>
        <v>198.2213999999999</v>
      </c>
      <c r="P69" s="14">
        <f t="shared" ref="P69:P132" si="87">EXP(-1.0587+0.8836*LN(O69)+0.284)</f>
        <v>49.353082295516799</v>
      </c>
      <c r="Q69" s="22">
        <f t="shared" si="54"/>
        <v>431.19222333135826</v>
      </c>
      <c r="R69" s="62">
        <f t="shared" si="55"/>
        <v>724.52555666469152</v>
      </c>
      <c r="S69" s="62">
        <f ca="1">AVERAGE(OFFSET($R$3,0,0,'Données projet'!$E$9+1,1))-AVERAGE(OFFSET($H$3,0,0,'Données projet'!$E$9+1,1))</f>
        <v>222.18341301864729</v>
      </c>
      <c r="T69" s="62">
        <f t="shared" ref="T69:T132" si="88">$T$3</f>
        <v>172.63628480089358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38.738202792496885</v>
      </c>
      <c r="AA69" s="23">
        <f>EXP(-LN(2)/25)*AA68+(1-EXP(-LN(2)/25))/(LN(2)/25)*Calculateur!V69*Calculateur!X69*VLOOKUP('Données projet'!$B$9,Paramètres!$A$1:$I$88,3,0)*0.475*44/12</f>
        <v>23.254308366231033</v>
      </c>
      <c r="AB69" s="23">
        <f>EXP(-LN(2)/2)*AB68+(1-EXP(-LN(2)/2))/(LN(2)/2)*V69*Y69*VLOOKUP('Données projet'!$B$9,Paramètres!$A$1:$I$88,3,0)*0.475*44/12</f>
        <v>0</v>
      </c>
      <c r="AC69" s="24">
        <f t="shared" si="57"/>
        <v>61.992511158727922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projet'!$B$10,Paramètres!$A$1:$I$88,3,0)*VLOOKUP('Données projet'!$B$10,Paramètres!$A$1:$I$88,5,0)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82.840015321739202</v>
      </c>
      <c r="AO69" s="62">
        <f t="shared" ref="AO69:AO132" si="90">$AO$3</f>
        <v>101.40622074610098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67.702532839788688</v>
      </c>
      <c r="AV69" s="23">
        <f>EXP(-LN(2)/25)*AV68+(1-EXP(-LN(2)/25))/(LN(2)/25)*Calculateur!AQ69*Calculateur!AS69*VLOOKUP('Données projet'!$B$10,Paramètres!$A$1:$I$88,3,0)*0.475*44/12</f>
        <v>33.372121131686932</v>
      </c>
      <c r="AW69" s="23">
        <f>EXP(-LN(2)/2)*AW68+(1-EXP(-LN(2)/2))/(LN(2)/2)*AQ69*AT69*VLOOKUP('Données projet'!$B$10,Paramètres!$A$1:$I$88,3,0)*0.475*44/12</f>
        <v>0</v>
      </c>
      <c r="AX69" s="23">
        <f t="shared" si="60"/>
        <v>101.07465397147561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169.99999999999983</v>
      </c>
      <c r="BE69" s="14">
        <f>BD69*VLOOKUP('Données projet'!$B$11,Paramètres!$A$1:$I$88,3,0)*VLOOKUP('Données projet'!$B$11,Paramètres!$A$1:$I$88,5,0)</f>
        <v>101.65999999999991</v>
      </c>
      <c r="BF69" s="14">
        <f t="shared" ref="BF69:BF132" si="91">EXP(-1.0587+0.8836*LN(BE69)+0.284)</f>
        <v>27.357089923704745</v>
      </c>
      <c r="BG69" s="22">
        <f t="shared" si="61"/>
        <v>224.70476495045224</v>
      </c>
      <c r="BH69" s="62">
        <f t="shared" si="62"/>
        <v>518.03809828378553</v>
      </c>
      <c r="BI69" s="62">
        <f ca="1">AVERAGE(OFFSET($BH$3,0,0,'Données projet'!$E$11+1,1))-AVERAGE(OFFSET($H$3,0,0,'Données projet'!$E$11+1,1))</f>
        <v>83.354474428753292</v>
      </c>
      <c r="BJ69" s="62">
        <f t="shared" ref="BJ69:BJ132" si="92">$BJ$3</f>
        <v>97.75861379589162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11.413492107621023</v>
      </c>
      <c r="BQ69" s="23">
        <f>EXP(-LN(2)/25)*BQ68+(1-EXP(-LN(2)/25))/(LN(2)/25)*Calculateur!BL69*Calculateur!BN69*VLOOKUP('Données projet'!$B$11,Paramètres!$A$1:$I$88,3,0)*0.475*44/12</f>
        <v>9.8731002459442685</v>
      </c>
      <c r="BR69" s="23">
        <f>EXP(-LN(2)/2)*BR68+(1-EXP(-LN(2)/2))/(LN(2)/2)*BL69*BO69*VLOOKUP('Données projet'!$B$11,Paramètres!$A$1:$I$88,3,0)*0.475*44/12</f>
        <v>0</v>
      </c>
      <c r="BS69" s="24">
        <f t="shared" si="63"/>
        <v>21.28659235356529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projet'!$B$12,Paramètres!$A$1:$I$88,3,0)*0.475*44/12</f>
        <v>#N/A</v>
      </c>
      <c r="CL69" s="23" t="e">
        <f>EXP(-LN(2)/25)*CL68+(1-EXP(-LN(2)/25))/(LN(2)/25)*Calculateur!CG69*Calculateur!CI69*VLOOKUP('Données projet'!$B$12,Paramètres!$A$1:$I$88,3,0)*0.475*44/12</f>
        <v>#N/A</v>
      </c>
      <c r="CM69" s="23" t="e">
        <f>EXP(-LN(2)/2)*CM68+(1-EXP(-LN(2)/2))/(LN(2)/2)*CG69*CJ69*VLOOKUP('Données projet'!$B$12,Paramètres!$A$1:$I$88,3,0)*0.475*44/12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49.124399999999916</v>
      </c>
      <c r="D70" s="12">
        <f t="shared" si="86"/>
        <v>14.387400160367701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490.26652755371492</v>
      </c>
      <c r="H70" s="70">
        <f t="shared" si="56"/>
        <v>403.94971861264025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8.8000000000000007</v>
      </c>
      <c r="N70" s="14">
        <f>IF('Données projet'!$A$36&gt;35,N69+M70-V69,IF(A70&lt;'Données projet'!$A$36,$K$205^A70,IF(A70='Données projet'!$A$36,'Données projet'!$B$36,N69+M70-V69)))</f>
        <v>363.39999999999986</v>
      </c>
      <c r="O70" s="14">
        <f>N70*VLOOKUP('Données projet'!$B$9,Paramètres!$A$1:$I$88,3,0)*VLOOKUP('Données projet'!$B$9,Paramètres!$A$1:$I$88,5,0)</f>
        <v>203.14059999999992</v>
      </c>
      <c r="P70" s="14">
        <f t="shared" si="87"/>
        <v>50.433749412728375</v>
      </c>
      <c r="Q70" s="22">
        <f t="shared" si="54"/>
        <v>441.64199189383504</v>
      </c>
      <c r="R70" s="62">
        <f t="shared" si="55"/>
        <v>734.97532522716836</v>
      </c>
      <c r="S70" s="62">
        <f ca="1">AVERAGE(OFFSET($R$3,0,0,'Données projet'!$E$9+1,1))-AVERAGE(OFFSET($H$3,0,0,'Données projet'!$E$9+1,1))</f>
        <v>222.18341301864729</v>
      </c>
      <c r="T70" s="62">
        <f t="shared" si="88"/>
        <v>172.63628480089358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37.978570263706658</v>
      </c>
      <c r="AA70" s="23">
        <f>EXP(-LN(2)/25)*AA69+(1-EXP(-LN(2)/25))/(LN(2)/25)*Calculateur!V70*Calculateur!X70*VLOOKUP('Données projet'!$B$9,Paramètres!$A$1:$I$88,3,0)*0.475*44/12</f>
        <v>22.618418081065517</v>
      </c>
      <c r="AB70" s="23">
        <f>EXP(-LN(2)/2)*AB69+(1-EXP(-LN(2)/2))/(LN(2)/2)*V70*Y70*VLOOKUP('Données projet'!$B$9,Paramètres!$A$1:$I$88,3,0)*0.475*44/12</f>
        <v>0</v>
      </c>
      <c r="AC70" s="24">
        <f t="shared" si="57"/>
        <v>60.596988344772171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projet'!$B$10,Paramètres!$A$1:$I$88,3,0)*VLOOKUP('Données projet'!$B$10,Paramètres!$A$1:$I$88,5,0)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82.840015321739202</v>
      </c>
      <c r="AO70" s="62">
        <f t="shared" si="90"/>
        <v>101.40622074610098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66.374927465267973</v>
      </c>
      <c r="AV70" s="23">
        <f>EXP(-LN(2)/25)*AV69+(1-EXP(-LN(2)/25))/(LN(2)/25)*Calculateur!AQ70*Calculateur!AS70*VLOOKUP('Données projet'!$B$10,Paramètres!$A$1:$I$88,3,0)*0.475*44/12</f>
        <v>32.459558724377374</v>
      </c>
      <c r="AW70" s="23">
        <f>EXP(-LN(2)/2)*AW69+(1-EXP(-LN(2)/2))/(LN(2)/2)*AQ70*AT70*VLOOKUP('Données projet'!$B$10,Paramètres!$A$1:$I$88,3,0)*0.475*44/12</f>
        <v>0</v>
      </c>
      <c r="AX70" s="23">
        <f t="shared" si="60"/>
        <v>98.834486189645347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169.99999999999983</v>
      </c>
      <c r="BE70" s="14">
        <f>BD70*VLOOKUP('Données projet'!$B$11,Paramètres!$A$1:$I$88,3,0)*VLOOKUP('Données projet'!$B$11,Paramètres!$A$1:$I$88,5,0)</f>
        <v>101.65999999999991</v>
      </c>
      <c r="BF70" s="14">
        <f t="shared" si="91"/>
        <v>27.357089923704745</v>
      </c>
      <c r="BG70" s="22">
        <f t="shared" si="61"/>
        <v>224.70476495045224</v>
      </c>
      <c r="BH70" s="62">
        <f t="shared" si="62"/>
        <v>518.03809828378553</v>
      </c>
      <c r="BI70" s="62">
        <f ca="1">AVERAGE(OFFSET($BH$3,0,0,'Données projet'!$E$11+1,1))-AVERAGE(OFFSET($H$3,0,0,'Données projet'!$E$11+1,1))</f>
        <v>83.354474428753292</v>
      </c>
      <c r="BJ70" s="62">
        <f t="shared" si="92"/>
        <v>97.75861379589162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11.189680488933366</v>
      </c>
      <c r="BQ70" s="23">
        <f>EXP(-LN(2)/25)*BQ69+(1-EXP(-LN(2)/25))/(LN(2)/25)*Calculateur!BL70*Calculateur!BN70*VLOOKUP('Données projet'!$B$11,Paramètres!$A$1:$I$88,3,0)*0.475*44/12</f>
        <v>9.6031198005151452</v>
      </c>
      <c r="BR70" s="23">
        <f>EXP(-LN(2)/2)*BR69+(1-EXP(-LN(2)/2))/(LN(2)/2)*BL70*BO70*VLOOKUP('Données projet'!$B$11,Paramètres!$A$1:$I$88,3,0)*0.475*44/12</f>
        <v>0</v>
      </c>
      <c r="BS70" s="24">
        <f t="shared" si="63"/>
        <v>20.792800289448511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projet'!$B$12,Paramètres!$A$1:$I$88,3,0)*0.475*44/12</f>
        <v>#N/A</v>
      </c>
      <c r="CL70" s="23" t="e">
        <f>EXP(-LN(2)/25)*CL69+(1-EXP(-LN(2)/25))/(LN(2)/25)*Calculateur!CG70*Calculateur!CI70*VLOOKUP('Données projet'!$B$12,Paramètres!$A$1:$I$88,3,0)*0.475*44/12</f>
        <v>#N/A</v>
      </c>
      <c r="CM70" s="23" t="e">
        <f>EXP(-LN(2)/2)*CM69+(1-EXP(-LN(2)/2))/(LN(2)/2)*CG70*CJ70*VLOOKUP('Données projet'!$B$12,Paramètres!$A$1:$I$88,3,0)*0.475*44/12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49.857599999999913</v>
      </c>
      <c r="D71" s="12">
        <f t="shared" si="86"/>
        <v>14.576978140351192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497.38972599569274</v>
      </c>
      <c r="H71" s="70">
        <f t="shared" si="56"/>
        <v>405.5568902611115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8.8000000000000007</v>
      </c>
      <c r="N71" s="14">
        <f>IF('Données projet'!$A$36&gt;35,N70+M71-V70,IF(A71&lt;'Données projet'!$A$36,$K$205^A71,IF(A71='Données projet'!$A$36,'Données projet'!$B$36,N70+M71-V70)))</f>
        <v>372.19999999999987</v>
      </c>
      <c r="O71" s="14">
        <f>N71*VLOOKUP('Données projet'!$B$9,Paramètres!$A$1:$I$88,3,0)*VLOOKUP('Données projet'!$B$9,Paramètres!$A$1:$I$88,5,0)</f>
        <v>208.05979999999991</v>
      </c>
      <c r="P71" s="14">
        <f t="shared" si="87"/>
        <v>51.511374415164347</v>
      </c>
      <c r="Q71" s="22">
        <f t="shared" si="54"/>
        <v>452.08646210641103</v>
      </c>
      <c r="R71" s="62">
        <f t="shared" si="55"/>
        <v>745.41979543974435</v>
      </c>
      <c r="S71" s="62">
        <f ca="1">AVERAGE(OFFSET($R$3,0,0,'Données projet'!$E$9+1,1))-AVERAGE(OFFSET($H$3,0,0,'Données projet'!$E$9+1,1))</f>
        <v>222.18341301864729</v>
      </c>
      <c r="T71" s="62">
        <f t="shared" si="88"/>
        <v>172.63628480089358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37.233833665475913</v>
      </c>
      <c r="AA71" s="23">
        <f>EXP(-LN(2)/25)*AA70+(1-EXP(-LN(2)/25))/(LN(2)/25)*Calculateur!V71*Calculateur!X71*VLOOKUP('Données projet'!$B$9,Paramètres!$A$1:$I$88,3,0)*0.475*44/12</f>
        <v>21.999916249187869</v>
      </c>
      <c r="AB71" s="23">
        <f>EXP(-LN(2)/2)*AB70+(1-EXP(-LN(2)/2))/(LN(2)/2)*V71*Y71*VLOOKUP('Données projet'!$B$9,Paramètres!$A$1:$I$88,3,0)*0.475*44/12</f>
        <v>0</v>
      </c>
      <c r="AC71" s="24">
        <f t="shared" si="57"/>
        <v>59.233749914663782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projet'!$B$10,Paramètres!$A$1:$I$88,3,0)*VLOOKUP('Données projet'!$B$10,Paramètres!$A$1:$I$88,5,0)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82.840015321739202</v>
      </c>
      <c r="AO71" s="62">
        <f t="shared" si="90"/>
        <v>101.40622074610098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65.073355622382294</v>
      </c>
      <c r="AV71" s="23">
        <f>EXP(-LN(2)/25)*AV70+(1-EXP(-LN(2)/25))/(LN(2)/25)*Calculateur!AQ71*Calculateur!AS71*VLOOKUP('Données projet'!$B$10,Paramètres!$A$1:$I$88,3,0)*0.475*44/12</f>
        <v>31.57195038408527</v>
      </c>
      <c r="AW71" s="23">
        <f>EXP(-LN(2)/2)*AW70+(1-EXP(-LN(2)/2))/(LN(2)/2)*AQ71*AT71*VLOOKUP('Données projet'!$B$10,Paramètres!$A$1:$I$88,3,0)*0.475*44/12</f>
        <v>0</v>
      </c>
      <c r="AX71" s="23">
        <f t="shared" si="60"/>
        <v>96.645306006467564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169.99999999999983</v>
      </c>
      <c r="BE71" s="14">
        <f>BD71*VLOOKUP('Données projet'!$B$11,Paramètres!$A$1:$I$88,3,0)*VLOOKUP('Données projet'!$B$11,Paramètres!$A$1:$I$88,5,0)</f>
        <v>101.65999999999991</v>
      </c>
      <c r="BF71" s="14">
        <f t="shared" si="91"/>
        <v>27.357089923704745</v>
      </c>
      <c r="BG71" s="22">
        <f t="shared" si="61"/>
        <v>224.70476495045224</v>
      </c>
      <c r="BH71" s="62">
        <f t="shared" si="62"/>
        <v>518.03809828378553</v>
      </c>
      <c r="BI71" s="62">
        <f ca="1">AVERAGE(OFFSET($BH$3,0,0,'Données projet'!$E$11+1,1))-AVERAGE(OFFSET($H$3,0,0,'Données projet'!$E$11+1,1))</f>
        <v>83.354474428753292</v>
      </c>
      <c r="BJ71" s="62">
        <f t="shared" si="92"/>
        <v>97.75861379589162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10.970257679576566</v>
      </c>
      <c r="BQ71" s="23">
        <f>EXP(-LN(2)/25)*BQ70+(1-EXP(-LN(2)/25))/(LN(2)/25)*Calculateur!BL71*Calculateur!BN71*VLOOKUP('Données projet'!$B$11,Paramètres!$A$1:$I$88,3,0)*0.475*44/12</f>
        <v>9.3405219845639369</v>
      </c>
      <c r="BR71" s="23">
        <f>EXP(-LN(2)/2)*BR70+(1-EXP(-LN(2)/2))/(LN(2)/2)*BL71*BO71*VLOOKUP('Données projet'!$B$11,Paramètres!$A$1:$I$88,3,0)*0.475*44/12</f>
        <v>0</v>
      </c>
      <c r="BS71" s="24">
        <f t="shared" si="63"/>
        <v>20.310779664140505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projet'!$B$12,Paramètres!$A$1:$I$88,3,0)*0.475*44/12</f>
        <v>#N/A</v>
      </c>
      <c r="CL71" s="23" t="e">
        <f>EXP(-LN(2)/25)*CL70+(1-EXP(-LN(2)/25))/(LN(2)/25)*Calculateur!CG71*Calculateur!CI71*VLOOKUP('Données projet'!$B$12,Paramètres!$A$1:$I$88,3,0)*0.475*44/12</f>
        <v>#N/A</v>
      </c>
      <c r="CM71" s="23" t="e">
        <f>EXP(-LN(2)/2)*CM70+(1-EXP(-LN(2)/2))/(LN(2)/2)*CG71*CJ71*VLOOKUP('Données projet'!$B$12,Paramètres!$A$1:$I$88,3,0)*0.475*44/12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50.590799999999909</v>
      </c>
      <c r="D72" s="12">
        <f t="shared" si="86"/>
        <v>14.766231872668596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504.51042147323056</v>
      </c>
      <c r="H72" s="70">
        <f t="shared" si="56"/>
        <v>407.16349717823095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8.8000000000000007</v>
      </c>
      <c r="N72" s="14">
        <f>IF('Données projet'!$A$36&gt;35,N71+M72-V71,IF(A72&lt;'Données projet'!$A$36,$K$205^A72,IF(A72='Données projet'!$A$36,'Données projet'!$B$36,N71+M72-V71)))</f>
        <v>380.99999999999989</v>
      </c>
      <c r="O72" s="14">
        <f>N72*VLOOKUP('Données projet'!$B$9,Paramètres!$A$1:$I$88,3,0)*VLOOKUP('Données projet'!$B$9,Paramètres!$A$1:$I$88,5,0)</f>
        <v>212.97899999999996</v>
      </c>
      <c r="P72" s="14">
        <f t="shared" si="87"/>
        <v>52.586037504985583</v>
      </c>
      <c r="Q72" s="22">
        <f t="shared" si="54"/>
        <v>462.5257736545164</v>
      </c>
      <c r="R72" s="62">
        <f t="shared" si="55"/>
        <v>755.85910698784971</v>
      </c>
      <c r="S72" s="62">
        <f ca="1">AVERAGE(OFFSET($R$3,0,0,'Données projet'!$E$9+1,1))-AVERAGE(OFFSET($H$3,0,0,'Données projet'!$E$9+1,1))</f>
        <v>222.18341301864729</v>
      </c>
      <c r="T72" s="62">
        <f t="shared" si="88"/>
        <v>172.63628480089358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36.503700897691999</v>
      </c>
      <c r="AA72" s="23">
        <f>EXP(-LN(2)/25)*AA71+(1-EXP(-LN(2)/25))/(LN(2)/25)*Calculateur!V72*Calculateur!X72*VLOOKUP('Données projet'!$B$9,Paramètres!$A$1:$I$88,3,0)*0.475*44/12</f>
        <v>21.398327382428512</v>
      </c>
      <c r="AB72" s="23">
        <f>EXP(-LN(2)/2)*AB71+(1-EXP(-LN(2)/2))/(LN(2)/2)*V72*Y72*VLOOKUP('Données projet'!$B$9,Paramètres!$A$1:$I$88,3,0)*0.475*44/12</f>
        <v>0</v>
      </c>
      <c r="AC72" s="24">
        <f t="shared" si="57"/>
        <v>57.902028280120511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projet'!$B$10,Paramètres!$A$1:$I$88,3,0)*VLOOKUP('Données projet'!$B$10,Paramètres!$A$1:$I$88,5,0)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82.840015321739202</v>
      </c>
      <c r="AO72" s="62">
        <f t="shared" si="90"/>
        <v>101.40622074610098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63.797306809455165</v>
      </c>
      <c r="AV72" s="23">
        <f>EXP(-LN(2)/25)*AV71+(1-EXP(-LN(2)/25))/(LN(2)/25)*Calculateur!AQ72*Calculateur!AS72*VLOOKUP('Données projet'!$B$10,Paramètres!$A$1:$I$88,3,0)*0.475*44/12</f>
        <v>30.708613740535746</v>
      </c>
      <c r="AW72" s="23">
        <f>EXP(-LN(2)/2)*AW71+(1-EXP(-LN(2)/2))/(LN(2)/2)*AQ72*AT72*VLOOKUP('Données projet'!$B$10,Paramètres!$A$1:$I$88,3,0)*0.475*44/12</f>
        <v>0</v>
      </c>
      <c r="AX72" s="23">
        <f t="shared" si="60"/>
        <v>94.505920549990918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169.99999999999983</v>
      </c>
      <c r="BE72" s="14">
        <f>BD72*VLOOKUP('Données projet'!$B$11,Paramètres!$A$1:$I$88,3,0)*VLOOKUP('Données projet'!$B$11,Paramètres!$A$1:$I$88,5,0)</f>
        <v>101.65999999999991</v>
      </c>
      <c r="BF72" s="14">
        <f t="shared" si="91"/>
        <v>27.357089923704745</v>
      </c>
      <c r="BG72" s="22">
        <f t="shared" si="61"/>
        <v>224.70476495045224</v>
      </c>
      <c r="BH72" s="62">
        <f t="shared" si="62"/>
        <v>518.03809828378553</v>
      </c>
      <c r="BI72" s="62">
        <f ca="1">AVERAGE(OFFSET($BH$3,0,0,'Données projet'!$E$11+1,1))-AVERAGE(OFFSET($H$3,0,0,'Données projet'!$E$11+1,1))</f>
        <v>83.354474428753292</v>
      </c>
      <c r="BJ72" s="62">
        <f t="shared" si="92"/>
        <v>97.75861379589162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10.755137617676553</v>
      </c>
      <c r="BQ72" s="23">
        <f>EXP(-LN(2)/25)*BQ71+(1-EXP(-LN(2)/25))/(LN(2)/25)*Calculateur!BL72*Calculateur!BN72*VLOOKUP('Données projet'!$B$11,Paramètres!$A$1:$I$88,3,0)*0.475*44/12</f>
        <v>9.085104919699333</v>
      </c>
      <c r="BR72" s="23">
        <f>EXP(-LN(2)/2)*BR71+(1-EXP(-LN(2)/2))/(LN(2)/2)*BL72*BO72*VLOOKUP('Données projet'!$B$11,Paramètres!$A$1:$I$88,3,0)*0.475*44/12</f>
        <v>0</v>
      </c>
      <c r="BS72" s="24">
        <f t="shared" si="63"/>
        <v>19.840242537375886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projet'!$B$12,Paramètres!$A$1:$I$88,3,0)*0.475*44/12</f>
        <v>#N/A</v>
      </c>
      <c r="CL72" s="23" t="e">
        <f>EXP(-LN(2)/25)*CL71+(1-EXP(-LN(2)/25))/(LN(2)/25)*Calculateur!CG72*Calculateur!CI72*VLOOKUP('Données projet'!$B$12,Paramètres!$A$1:$I$88,3,0)*0.475*44/12</f>
        <v>#N/A</v>
      </c>
      <c r="CM72" s="23" t="e">
        <f>EXP(-LN(2)/2)*CM71+(1-EXP(-LN(2)/2))/(LN(2)/2)*CG72*CJ72*VLOOKUP('Données projet'!$B$12,Paramètres!$A$1:$I$88,3,0)*0.475*44/12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51.323999999999906</v>
      </c>
      <c r="D73" s="12">
        <f t="shared" si="86"/>
        <v>14.955166599500004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511.62865445228005</v>
      </c>
      <c r="H73" s="70">
        <f t="shared" si="56"/>
        <v>408.76954849412897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8.8000000000000007</v>
      </c>
      <c r="N73" s="14">
        <f>IF('Données projet'!$A$36&gt;35,N72+M73-V72,IF(A73&lt;'Données projet'!$A$36,$K$205^A73,IF(A73='Données projet'!$A$36,'Données projet'!$B$36,N72+M73-V72)))</f>
        <v>389.7999999999999</v>
      </c>
      <c r="O73" s="14">
        <f>N73*VLOOKUP('Données projet'!$B$9,Paramètres!$A$1:$I$88,3,0)*VLOOKUP('Données projet'!$B$9,Paramètres!$A$1:$I$88,5,0)</f>
        <v>217.89819999999995</v>
      </c>
      <c r="P73" s="14">
        <f t="shared" si="87"/>
        <v>53.657814968070035</v>
      </c>
      <c r="Q73" s="22">
        <f t="shared" si="54"/>
        <v>472.96005940272192</v>
      </c>
      <c r="R73" s="62">
        <f t="shared" si="55"/>
        <v>766.29339273605524</v>
      </c>
      <c r="S73" s="62">
        <f ca="1">AVERAGE(OFFSET($R$3,0,0,'Données projet'!$E$9+1,1))-AVERAGE(OFFSET($H$3,0,0,'Données projet'!$E$9+1,1))</f>
        <v>222.18341301864729</v>
      </c>
      <c r="T73" s="62">
        <f t="shared" si="88"/>
        <v>172.63628480089358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35.787885588147311</v>
      </c>
      <c r="AA73" s="23">
        <f>EXP(-LN(2)/25)*AA72+(1-EXP(-LN(2)/25))/(LN(2)/25)*Calculateur!V73*Calculateur!X73*VLOOKUP('Données projet'!$B$9,Paramètres!$A$1:$I$88,3,0)*0.475*44/12</f>
        <v>20.813188994866874</v>
      </c>
      <c r="AB73" s="23">
        <f>EXP(-LN(2)/2)*AB72+(1-EXP(-LN(2)/2))/(LN(2)/2)*V73*Y73*VLOOKUP('Données projet'!$B$9,Paramètres!$A$1:$I$88,3,0)*0.475*44/12</f>
        <v>0</v>
      </c>
      <c r="AC73" s="24">
        <f t="shared" si="57"/>
        <v>56.601074583014181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projet'!$B$10,Paramètres!$A$1:$I$88,3,0)*VLOOKUP('Données projet'!$B$10,Paramètres!$A$1:$I$88,5,0)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82.840015321739202</v>
      </c>
      <c r="AO73" s="62">
        <f t="shared" si="90"/>
        <v>101.40622074610098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62.546280535436608</v>
      </c>
      <c r="AV73" s="23">
        <f>EXP(-LN(2)/25)*AV72+(1-EXP(-LN(2)/25))/(LN(2)/25)*Calculateur!AQ73*Calculateur!AS73*VLOOKUP('Données projet'!$B$10,Paramètres!$A$1:$I$88,3,0)*0.475*44/12</f>
        <v>29.868885082904985</v>
      </c>
      <c r="AW73" s="23">
        <f>EXP(-LN(2)/2)*AW72+(1-EXP(-LN(2)/2))/(LN(2)/2)*AQ73*AT73*VLOOKUP('Données projet'!$B$10,Paramètres!$A$1:$I$88,3,0)*0.475*44/12</f>
        <v>0</v>
      </c>
      <c r="AX73" s="23">
        <f t="shared" si="60"/>
        <v>92.415165618341589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169.99999999999983</v>
      </c>
      <c r="BE73" s="14">
        <f>BD73*VLOOKUP('Données projet'!$B$11,Paramètres!$A$1:$I$88,3,0)*VLOOKUP('Données projet'!$B$11,Paramètres!$A$1:$I$88,5,0)</f>
        <v>101.65999999999991</v>
      </c>
      <c r="BF73" s="14">
        <f t="shared" si="91"/>
        <v>27.357089923704745</v>
      </c>
      <c r="BG73" s="22">
        <f t="shared" si="61"/>
        <v>224.70476495045224</v>
      </c>
      <c r="BH73" s="62">
        <f t="shared" si="62"/>
        <v>518.03809828378553</v>
      </c>
      <c r="BI73" s="62">
        <f ca="1">AVERAGE(OFFSET($BH$3,0,0,'Données projet'!$E$11+1,1))-AVERAGE(OFFSET($H$3,0,0,'Données projet'!$E$11+1,1))</f>
        <v>83.354474428753292</v>
      </c>
      <c r="BJ73" s="62">
        <f t="shared" si="92"/>
        <v>97.75861379589162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10.544235928980118</v>
      </c>
      <c r="BQ73" s="23">
        <f>EXP(-LN(2)/25)*BQ72+(1-EXP(-LN(2)/25))/(LN(2)/25)*Calculateur!BL73*Calculateur!BN73*VLOOKUP('Données projet'!$B$11,Paramètres!$A$1:$I$88,3,0)*0.475*44/12</f>
        <v>8.836672247905252</v>
      </c>
      <c r="BR73" s="23">
        <f>EXP(-LN(2)/2)*BR72+(1-EXP(-LN(2)/2))/(LN(2)/2)*BL73*BO73*VLOOKUP('Données projet'!$B$11,Paramètres!$A$1:$I$88,3,0)*0.475*44/12</f>
        <v>0</v>
      </c>
      <c r="BS73" s="24">
        <f t="shared" si="63"/>
        <v>19.38090817688537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projet'!$B$12,Paramètres!$A$1:$I$88,3,0)*0.475*44/12</f>
        <v>#N/A</v>
      </c>
      <c r="CL73" s="23" t="e">
        <f>EXP(-LN(2)/25)*CL72+(1-EXP(-LN(2)/25))/(LN(2)/25)*Calculateur!CG73*Calculateur!CI73*VLOOKUP('Données projet'!$B$12,Paramètres!$A$1:$I$88,3,0)*0.475*44/12</f>
        <v>#N/A</v>
      </c>
      <c r="CM73" s="23" t="e">
        <f>EXP(-LN(2)/2)*CM72+(1-EXP(-LN(2)/2))/(LN(2)/2)*CG73*CJ73*VLOOKUP('Données projet'!$B$12,Paramètres!$A$1:$I$88,3,0)*0.475*44/12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52.057199999999902</v>
      </c>
      <c r="D74" s="12">
        <f t="shared" si="86"/>
        <v>15.14378740464756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518.74446417622607</v>
      </c>
      <c r="H74" s="70">
        <f t="shared" si="56"/>
        <v>410.3750530630943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8.8000000000000007</v>
      </c>
      <c r="N74" s="14">
        <f>IF('Données projet'!$A$36&gt;35,N73+M74-V73,IF(A74&lt;'Données projet'!$A$36,$K$205^A74,IF(A74='Données projet'!$A$36,'Données projet'!$B$36,N73+M74-V73)))</f>
        <v>398.59999999999991</v>
      </c>
      <c r="O74" s="14">
        <f>N74*VLOOKUP('Données projet'!$B$9,Paramètres!$A$1:$I$88,3,0)*VLOOKUP('Données projet'!$B$9,Paramètres!$A$1:$I$88,5,0)</f>
        <v>222.81739999999996</v>
      </c>
      <c r="P74" s="14">
        <f t="shared" si="87"/>
        <v>54.726779449274694</v>
      </c>
      <c r="Q74" s="22">
        <f t="shared" si="54"/>
        <v>483.38944587415341</v>
      </c>
      <c r="R74" s="62">
        <f t="shared" si="55"/>
        <v>776.72277920748672</v>
      </c>
      <c r="S74" s="62">
        <f ca="1">AVERAGE(OFFSET($R$3,0,0,'Données projet'!$E$9+1,1))-AVERAGE(OFFSET($H$3,0,0,'Données projet'!$E$9+1,1))</f>
        <v>222.18341301864729</v>
      </c>
      <c r="T74" s="62">
        <f t="shared" si="88"/>
        <v>172.63628480089358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35.086106980218574</v>
      </c>
      <c r="AA74" s="23">
        <f>EXP(-LN(2)/25)*AA73+(1-EXP(-LN(2)/25))/(LN(2)/25)*Calculateur!V74*Calculateur!X74*VLOOKUP('Données projet'!$B$9,Paramètres!$A$1:$I$88,3,0)*0.475*44/12</f>
        <v>20.244051247284197</v>
      </c>
      <c r="AB74" s="23">
        <f>EXP(-LN(2)/2)*AB73+(1-EXP(-LN(2)/2))/(LN(2)/2)*V74*Y74*VLOOKUP('Données projet'!$B$9,Paramètres!$A$1:$I$88,3,0)*0.475*44/12</f>
        <v>0</v>
      </c>
      <c r="AC74" s="24">
        <f t="shared" si="57"/>
        <v>55.330158227502771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projet'!$B$10,Paramètres!$A$1:$I$88,3,0)*VLOOKUP('Données projet'!$B$10,Paramètres!$A$1:$I$88,5,0)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82.840015321739202</v>
      </c>
      <c r="AO74" s="62">
        <f t="shared" si="90"/>
        <v>101.40622074610098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61.319786123600878</v>
      </c>
      <c r="AV74" s="23">
        <f>EXP(-LN(2)/25)*AV73+(1-EXP(-LN(2)/25))/(LN(2)/25)*Calculateur!AQ74*Calculateur!AS74*VLOOKUP('Données projet'!$B$10,Paramètres!$A$1:$I$88,3,0)*0.475*44/12</f>
        <v>29.052118849576548</v>
      </c>
      <c r="AW74" s="23">
        <f>EXP(-LN(2)/2)*AW73+(1-EXP(-LN(2)/2))/(LN(2)/2)*AQ74*AT74*VLOOKUP('Données projet'!$B$10,Paramètres!$A$1:$I$88,3,0)*0.475*44/12</f>
        <v>0</v>
      </c>
      <c r="AX74" s="23">
        <f t="shared" si="60"/>
        <v>90.371904973177422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169.99999999999983</v>
      </c>
      <c r="BE74" s="14">
        <f>BD74*VLOOKUP('Données projet'!$B$11,Paramètres!$A$1:$I$88,3,0)*VLOOKUP('Données projet'!$B$11,Paramètres!$A$1:$I$88,5,0)</f>
        <v>101.65999999999991</v>
      </c>
      <c r="BF74" s="14">
        <f t="shared" si="91"/>
        <v>27.357089923704745</v>
      </c>
      <c r="BG74" s="22">
        <f t="shared" si="61"/>
        <v>224.70476495045224</v>
      </c>
      <c r="BH74" s="62">
        <f t="shared" si="62"/>
        <v>518.03809828378553</v>
      </c>
      <c r="BI74" s="62">
        <f ca="1">AVERAGE(OFFSET($BH$3,0,0,'Données projet'!$E$11+1,1))-AVERAGE(OFFSET($H$3,0,0,'Données projet'!$E$11+1,1))</f>
        <v>83.354474428753292</v>
      </c>
      <c r="BJ74" s="62">
        <f t="shared" si="92"/>
        <v>97.75861379589162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10.337469893761693</v>
      </c>
      <c r="BQ74" s="23">
        <f>EXP(-LN(2)/25)*BQ73+(1-EXP(-LN(2)/25))/(LN(2)/25)*Calculateur!BL74*Calculateur!BN74*VLOOKUP('Données projet'!$B$11,Paramètres!$A$1:$I$88,3,0)*0.475*44/12</f>
        <v>8.5950329805858861</v>
      </c>
      <c r="BR74" s="23">
        <f>EXP(-LN(2)/2)*BR73+(1-EXP(-LN(2)/2))/(LN(2)/2)*BL74*BO74*VLOOKUP('Données projet'!$B$11,Paramètres!$A$1:$I$88,3,0)*0.475*44/12</f>
        <v>0</v>
      </c>
      <c r="BS74" s="24">
        <f t="shared" si="63"/>
        <v>18.932502874347577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projet'!$B$12,Paramètres!$A$1:$I$88,3,0)*0.475*44/12</f>
        <v>#N/A</v>
      </c>
      <c r="CL74" s="23" t="e">
        <f>EXP(-LN(2)/25)*CL73+(1-EXP(-LN(2)/25))/(LN(2)/25)*Calculateur!CG74*Calculateur!CI74*VLOOKUP('Données projet'!$B$12,Paramètres!$A$1:$I$88,3,0)*0.475*44/12</f>
        <v>#N/A</v>
      </c>
      <c r="CM74" s="23" t="e">
        <f>EXP(-LN(2)/2)*CM73+(1-EXP(-LN(2)/2))/(LN(2)/2)*CG74*CJ74*VLOOKUP('Données projet'!$B$12,Paramètres!$A$1:$I$88,3,0)*0.475*44/12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52.790399999999899</v>
      </c>
      <c r="D75" s="12">
        <f t="shared" si="86"/>
        <v>15.332099220482363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525.85788871951229</v>
      </c>
      <c r="H75" s="70">
        <f t="shared" si="56"/>
        <v>411.98001947567326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8.8000000000000007</v>
      </c>
      <c r="N75" s="14">
        <f>IF('Données projet'!$A$36&gt;35,N74+M75-V74,IF(A75&lt;'Données projet'!$A$36,$K$205^A75,IF(A75='Données projet'!$A$36,'Données projet'!$B$36,N74+M75-V74)))</f>
        <v>407.39999999999992</v>
      </c>
      <c r="O75" s="14">
        <f>N75*VLOOKUP('Données projet'!$B$9,Paramètres!$A$1:$I$88,3,0)*VLOOKUP('Données projet'!$B$9,Paramètres!$A$1:$I$88,5,0)</f>
        <v>227.73659999999995</v>
      </c>
      <c r="P75" s="14">
        <f t="shared" si="87"/>
        <v>55.79300020270346</v>
      </c>
      <c r="Q75" s="22">
        <f t="shared" si="54"/>
        <v>493.81405368637508</v>
      </c>
      <c r="R75" s="62">
        <f t="shared" si="55"/>
        <v>787.14738701970839</v>
      </c>
      <c r="S75" s="62">
        <f ca="1">AVERAGE(OFFSET($R$3,0,0,'Données projet'!$E$9+1,1))-AVERAGE(OFFSET($H$3,0,0,'Données projet'!$E$9+1,1))</f>
        <v>222.18341301864729</v>
      </c>
      <c r="T75" s="62">
        <f t="shared" si="88"/>
        <v>172.63628480089358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34.398089822748631</v>
      </c>
      <c r="AA75" s="23">
        <f>EXP(-LN(2)/25)*AA74+(1-EXP(-LN(2)/25))/(LN(2)/25)*Calculateur!V75*Calculateur!X75*VLOOKUP('Données projet'!$B$9,Paramètres!$A$1:$I$88,3,0)*0.475*44/12</f>
        <v>19.690476601338823</v>
      </c>
      <c r="AB75" s="23">
        <f>EXP(-LN(2)/2)*AB74+(1-EXP(-LN(2)/2))/(LN(2)/2)*V75*Y75*VLOOKUP('Données projet'!$B$9,Paramètres!$A$1:$I$88,3,0)*0.475*44/12</f>
        <v>0</v>
      </c>
      <c r="AC75" s="24">
        <f t="shared" si="57"/>
        <v>54.088566424087453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projet'!$B$10,Paramètres!$A$1:$I$88,3,0)*VLOOKUP('Données projet'!$B$10,Paramètres!$A$1:$I$88,5,0)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82.840015321739202</v>
      </c>
      <c r="AO75" s="62">
        <f t="shared" si="90"/>
        <v>101.40622074610098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60.117342519093519</v>
      </c>
      <c r="AV75" s="23">
        <f>EXP(-LN(2)/25)*AV74+(1-EXP(-LN(2)/25))/(LN(2)/25)*Calculateur!AQ75*Calculateur!AS75*VLOOKUP('Données projet'!$B$10,Paramètres!$A$1:$I$88,3,0)*0.475*44/12</f>
        <v>28.257687131850346</v>
      </c>
      <c r="AW75" s="23">
        <f>EXP(-LN(2)/2)*AW74+(1-EXP(-LN(2)/2))/(LN(2)/2)*AQ75*AT75*VLOOKUP('Données projet'!$B$10,Paramètres!$A$1:$I$88,3,0)*0.475*44/12</f>
        <v>0</v>
      </c>
      <c r="AX75" s="23">
        <f t="shared" si="60"/>
        <v>88.375029650943873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169.99999999999983</v>
      </c>
      <c r="BE75" s="14">
        <f>BD75*VLOOKUP('Données projet'!$B$11,Paramètres!$A$1:$I$88,3,0)*VLOOKUP('Données projet'!$B$11,Paramètres!$A$1:$I$88,5,0)</f>
        <v>101.65999999999991</v>
      </c>
      <c r="BF75" s="14">
        <f t="shared" si="91"/>
        <v>27.357089923704745</v>
      </c>
      <c r="BG75" s="22">
        <f t="shared" si="61"/>
        <v>224.70476495045224</v>
      </c>
      <c r="BH75" s="62">
        <f t="shared" si="62"/>
        <v>518.03809828378553</v>
      </c>
      <c r="BI75" s="62">
        <f ca="1">AVERAGE(OFFSET($BH$3,0,0,'Données projet'!$E$11+1,1))-AVERAGE(OFFSET($H$3,0,0,'Données projet'!$E$11+1,1))</f>
        <v>83.354474428753292</v>
      </c>
      <c r="BJ75" s="62">
        <f t="shared" si="92"/>
        <v>97.75861379589162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10.134758414379071</v>
      </c>
      <c r="BQ75" s="23">
        <f>EXP(-LN(2)/25)*BQ74+(1-EXP(-LN(2)/25))/(LN(2)/25)*Calculateur!BL75*Calculateur!BN75*VLOOKUP('Données projet'!$B$11,Paramètres!$A$1:$I$88,3,0)*0.475*44/12</f>
        <v>8.3600013517386245</v>
      </c>
      <c r="BR75" s="23">
        <f>EXP(-LN(2)/2)*BR74+(1-EXP(-LN(2)/2))/(LN(2)/2)*BL75*BO75*VLOOKUP('Données projet'!$B$11,Paramètres!$A$1:$I$88,3,0)*0.475*44/12</f>
        <v>0</v>
      </c>
      <c r="BS75" s="24">
        <f t="shared" si="63"/>
        <v>18.494759766117696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projet'!$B$12,Paramètres!$A$1:$I$88,3,0)*0.475*44/12</f>
        <v>#N/A</v>
      </c>
      <c r="CL75" s="23" t="e">
        <f>EXP(-LN(2)/25)*CL74+(1-EXP(-LN(2)/25))/(LN(2)/25)*Calculateur!CG75*Calculateur!CI75*VLOOKUP('Données projet'!$B$12,Paramètres!$A$1:$I$88,3,0)*0.475*44/12</f>
        <v>#N/A</v>
      </c>
      <c r="CM75" s="23" t="e">
        <f>EXP(-LN(2)/2)*CM74+(1-EXP(-LN(2)/2))/(LN(2)/2)*CG75*CJ75*VLOOKUP('Données projet'!$B$12,Paramètres!$A$1:$I$88,3,0)*0.475*44/12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53.523599999999895</v>
      </c>
      <c r="D76" s="12">
        <f t="shared" si="86"/>
        <v>15.520106834494458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532.9689650382021</v>
      </c>
      <c r="H76" s="70">
        <f t="shared" si="56"/>
        <v>413.58445607007764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8.8000000000000007</v>
      </c>
      <c r="N76" s="14">
        <f>IF('Données projet'!$A$36&gt;35,N75+M76-V75,IF(A76&lt;'Données projet'!$A$36,$K$205^A76,IF(A76='Données projet'!$A$36,'Données projet'!$B$36,N75+M76-V75)))</f>
        <v>416.19999999999993</v>
      </c>
      <c r="O76" s="14">
        <f>N76*VLOOKUP('Données projet'!$B$9,Paramètres!$A$1:$I$88,3,0)*VLOOKUP('Données projet'!$B$9,Paramètres!$A$1:$I$88,5,0)</f>
        <v>232.65579999999997</v>
      </c>
      <c r="P76" s="14">
        <f t="shared" si="87"/>
        <v>56.856543319741832</v>
      </c>
      <c r="Q76" s="22">
        <f t="shared" si="54"/>
        <v>504.23399794855032</v>
      </c>
      <c r="R76" s="62">
        <f t="shared" si="55"/>
        <v>797.56733128188364</v>
      </c>
      <c r="S76" s="62">
        <f ca="1">AVERAGE(OFFSET($R$3,0,0,'Données projet'!$E$9+1,1))-AVERAGE(OFFSET($H$3,0,0,'Données projet'!$E$9+1,1))</f>
        <v>222.18341301864729</v>
      </c>
      <c r="T76" s="62">
        <f t="shared" si="88"/>
        <v>172.63628480089358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33.723564262087642</v>
      </c>
      <c r="AA76" s="23">
        <f>EXP(-LN(2)/25)*AA75+(1-EXP(-LN(2)/25))/(LN(2)/25)*Calculateur!V76*Calculateur!X76*VLOOKUP('Données projet'!$B$9,Paramètres!$A$1:$I$88,3,0)*0.475*44/12</f>
        <v>19.152039483198052</v>
      </c>
      <c r="AB76" s="23">
        <f>EXP(-LN(2)/2)*AB75+(1-EXP(-LN(2)/2))/(LN(2)/2)*V76*Y76*VLOOKUP('Données projet'!$B$9,Paramètres!$A$1:$I$88,3,0)*0.475*44/12</f>
        <v>0</v>
      </c>
      <c r="AC76" s="24">
        <f t="shared" si="57"/>
        <v>52.875603745285694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projet'!$B$10,Paramètres!$A$1:$I$88,3,0)*VLOOKUP('Données projet'!$B$10,Paramètres!$A$1:$I$88,5,0)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82.840015321739202</v>
      </c>
      <c r="AO76" s="62">
        <f t="shared" si="90"/>
        <v>101.40622074610098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58.938478100252375</v>
      </c>
      <c r="AV76" s="23">
        <f>EXP(-LN(2)/25)*AV75+(1-EXP(-LN(2)/25))/(LN(2)/25)*Calculateur!AQ76*Calculateur!AS76*VLOOKUP('Données projet'!$B$10,Paramètres!$A$1:$I$88,3,0)*0.475*44/12</f>
        <v>27.484979191222717</v>
      </c>
      <c r="AW76" s="23">
        <f>EXP(-LN(2)/2)*AW75+(1-EXP(-LN(2)/2))/(LN(2)/2)*AQ76*AT76*VLOOKUP('Données projet'!$B$10,Paramètres!$A$1:$I$88,3,0)*0.475*44/12</f>
        <v>0</v>
      </c>
      <c r="AX76" s="23">
        <f t="shared" si="60"/>
        <v>86.423457291475088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169.99999999999983</v>
      </c>
      <c r="BE76" s="14">
        <f>BD76*VLOOKUP('Données projet'!$B$11,Paramètres!$A$1:$I$88,3,0)*VLOOKUP('Données projet'!$B$11,Paramètres!$A$1:$I$88,5,0)</f>
        <v>101.65999999999991</v>
      </c>
      <c r="BF76" s="14">
        <f t="shared" si="91"/>
        <v>27.357089923704745</v>
      </c>
      <c r="BG76" s="22">
        <f t="shared" si="61"/>
        <v>224.70476495045224</v>
      </c>
      <c r="BH76" s="62">
        <f t="shared" si="62"/>
        <v>518.03809828378553</v>
      </c>
      <c r="BI76" s="62">
        <f ca="1">AVERAGE(OFFSET($BH$3,0,0,'Données projet'!$E$11+1,1))-AVERAGE(OFFSET($H$3,0,0,'Données projet'!$E$11+1,1))</f>
        <v>83.354474428753292</v>
      </c>
      <c r="BJ76" s="62">
        <f t="shared" si="92"/>
        <v>97.75861379589162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9.9360219834653485</v>
      </c>
      <c r="BQ76" s="23">
        <f>EXP(-LN(2)/25)*BQ75+(1-EXP(-LN(2)/25))/(LN(2)/25)*Calculateur!BL76*Calculateur!BN76*VLOOKUP('Données projet'!$B$11,Paramètres!$A$1:$I$88,3,0)*0.475*44/12</f>
        <v>8.1313966751419677</v>
      </c>
      <c r="BR76" s="23">
        <f>EXP(-LN(2)/2)*BR75+(1-EXP(-LN(2)/2))/(LN(2)/2)*BL76*BO76*VLOOKUP('Données projet'!$B$11,Paramètres!$A$1:$I$88,3,0)*0.475*44/12</f>
        <v>0</v>
      </c>
      <c r="BS76" s="24">
        <f t="shared" si="63"/>
        <v>18.067418658607316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projet'!$B$12,Paramètres!$A$1:$I$88,3,0)*0.475*44/12</f>
        <v>#N/A</v>
      </c>
      <c r="CL76" s="23" t="e">
        <f>EXP(-LN(2)/25)*CL75+(1-EXP(-LN(2)/25))/(LN(2)/25)*Calculateur!CG76*Calculateur!CI76*VLOOKUP('Données projet'!$B$12,Paramètres!$A$1:$I$88,3,0)*0.475*44/12</f>
        <v>#N/A</v>
      </c>
      <c r="CM76" s="23" t="e">
        <f>EXP(-LN(2)/2)*CM75+(1-EXP(-LN(2)/2))/(LN(2)/2)*CG76*CJ76*VLOOKUP('Données projet'!$B$12,Paramètres!$A$1:$I$88,3,0)*0.475*44/12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54.256799999999892</v>
      </c>
      <c r="D77" s="12">
        <f t="shared" si="86"/>
        <v>15.707814895473696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540.07772901769079</v>
      </c>
      <c r="H77" s="70">
        <f t="shared" si="56"/>
        <v>415.1883709429498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>
        <f>VLOOKUP(A77,'Données projet'!$A$35:$I$55,2,0)</f>
        <v>425</v>
      </c>
      <c r="L77" s="13">
        <f>VLOOKUP(A77,'Données projet'!$A$35:$I$55,9,0)</f>
        <v>8.8000000000000007</v>
      </c>
      <c r="M77" s="13">
        <f t="array" ref="M77">INDEX(L:L,MIN(IF(ISNUMBER(L77:L273),ROW(L77:L273),"")))</f>
        <v>8.8000000000000007</v>
      </c>
      <c r="N77" s="14">
        <f>IF('Données projet'!$A$36&gt;35,N76+M77-V76,IF(A77&lt;'Données projet'!$A$36,$K$205^A77,IF(A77='Données projet'!$A$36,'Données projet'!$B$36,N76+M77-V76)))</f>
        <v>424.99999999999994</v>
      </c>
      <c r="O77" s="14">
        <f>N77*VLOOKUP('Données projet'!$B$9,Paramètres!$A$1:$I$88,3,0)*VLOOKUP('Données projet'!$B$9,Paramètres!$A$1:$I$88,5,0)</f>
        <v>237.57499999999996</v>
      </c>
      <c r="P77" s="14">
        <f t="shared" si="87"/>
        <v>57.917471937261162</v>
      </c>
      <c r="Q77" s="22">
        <f t="shared" si="54"/>
        <v>514.64938862406314</v>
      </c>
      <c r="R77" s="62">
        <f t="shared" si="55"/>
        <v>807.98272195739651</v>
      </c>
      <c r="S77" s="62">
        <f ca="1">AVERAGE(OFFSET($R$3,0,0,'Données projet'!$E$9+1,1))-AVERAGE(OFFSET($H$3,0,0,'Données projet'!$E$9+1,1))</f>
        <v>222.18341301864729</v>
      </c>
      <c r="T77" s="62">
        <f t="shared" si="88"/>
        <v>172.63628480089358</v>
      </c>
      <c r="U77" s="16">
        <f>IF(ISNA(VLOOKUP(A77,'Données projet'!$A$35:$I$55,3,0)),0,VLOOKUP(A77,'Données projet'!$A$35:$I$55,3,0))</f>
        <v>6</v>
      </c>
      <c r="V77" s="16">
        <f>IF(ISNA(VLOOKUP(A77,'Données projet'!$A$35:$I$55,4,0)),0,VLOOKUP(A77,'Données projet'!$A$35:$I$55,4,0))</f>
        <v>63</v>
      </c>
      <c r="W77" s="17">
        <f>IF(ISNA(VLOOKUP(A77,'Données projet'!$A$35:$I$55,5,0)),0%,VLOOKUP(A77,'Données projet'!$A$35:$I$55,5,0)*VLOOKUP('Données projet'!$B$9,Paramètres!$A$1:$I$88,7,0))</f>
        <v>0.38500000000000001</v>
      </c>
      <c r="X77" s="17">
        <f>IF(ISNA(VLOOKUP(A77,'Données projet'!$A$35:$I$55,6,0)),0%,VLOOKUP(A77,'Données projet'!$A$35:$I$55,6,0)*VLOOKUP('Données projet'!$B$9,Paramètres!$A$1:$I$88,7,0))</f>
        <v>0.16500000000000001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51.048549600728748</v>
      </c>
      <c r="AA77" s="23">
        <f>EXP(-LN(2)/25)*AA76+(1-EXP(-LN(2)/25))/(LN(2)/25)*Calculateur!V77*Calculateur!X77*VLOOKUP('Données projet'!$B$9,Paramètres!$A$1:$I$88,3,0)*0.475*44/12</f>
        <v>26.306382389907277</v>
      </c>
      <c r="AB77" s="23">
        <f>EXP(-LN(2)/2)*AB76+(1-EXP(-LN(2)/2))/(LN(2)/2)*V77*Y77*VLOOKUP('Données projet'!$B$9,Paramètres!$A$1:$I$88,3,0)*0.475*44/12</f>
        <v>0</v>
      </c>
      <c r="AC77" s="24">
        <f t="shared" si="57"/>
        <v>77.354931990636032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projet'!$B$10,Paramètres!$A$1:$I$88,3,0)*VLOOKUP('Données projet'!$B$10,Paramètres!$A$1:$I$88,5,0)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82.840015321739202</v>
      </c>
      <c r="AO77" s="62">
        <f t="shared" si="90"/>
        <v>101.40622074610098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57.782730493628407</v>
      </c>
      <c r="AV77" s="23">
        <f>EXP(-LN(2)/25)*AV76+(1-EXP(-LN(2)/25))/(LN(2)/25)*Calculateur!AQ77*Calculateur!AS77*VLOOKUP('Données projet'!$B$10,Paramètres!$A$1:$I$88,3,0)*0.475*44/12</f>
        <v>26.733400989866492</v>
      </c>
      <c r="AW77" s="23">
        <f>EXP(-LN(2)/2)*AW76+(1-EXP(-LN(2)/2))/(LN(2)/2)*AQ77*AT77*VLOOKUP('Données projet'!$B$10,Paramètres!$A$1:$I$88,3,0)*0.475*44/12</f>
        <v>0</v>
      </c>
      <c r="AX77" s="23">
        <f t="shared" si="60"/>
        <v>84.516131483494902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169.99999999999983</v>
      </c>
      <c r="BE77" s="14">
        <f>BD77*VLOOKUP('Données projet'!$B$11,Paramètres!$A$1:$I$88,3,0)*VLOOKUP('Données projet'!$B$11,Paramètres!$A$1:$I$88,5,0)</f>
        <v>101.65999999999991</v>
      </c>
      <c r="BF77" s="14">
        <f t="shared" si="91"/>
        <v>27.357089923704745</v>
      </c>
      <c r="BG77" s="22">
        <f t="shared" si="61"/>
        <v>224.70476495045224</v>
      </c>
      <c r="BH77" s="62">
        <f t="shared" si="62"/>
        <v>518.03809828378553</v>
      </c>
      <c r="BI77" s="62">
        <f ca="1">AVERAGE(OFFSET($BH$3,0,0,'Données projet'!$E$11+1,1))-AVERAGE(OFFSET($H$3,0,0,'Données projet'!$E$11+1,1))</f>
        <v>83.354474428753292</v>
      </c>
      <c r="BJ77" s="62">
        <f t="shared" si="92"/>
        <v>97.75861379589162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9.7411826527445911</v>
      </c>
      <c r="BQ77" s="23">
        <f>EXP(-LN(2)/25)*BQ76+(1-EXP(-LN(2)/25))/(LN(2)/25)*Calculateur!BL77*Calculateur!BN77*VLOOKUP('Données projet'!$B$11,Paramètres!$A$1:$I$88,3,0)*0.475*44/12</f>
        <v>7.9090432054486444</v>
      </c>
      <c r="BR77" s="23">
        <f>EXP(-LN(2)/2)*BR76+(1-EXP(-LN(2)/2))/(LN(2)/2)*BL77*BO77*VLOOKUP('Données projet'!$B$11,Paramètres!$A$1:$I$88,3,0)*0.475*44/12</f>
        <v>0</v>
      </c>
      <c r="BS77" s="24">
        <f t="shared" si="63"/>
        <v>17.650225858193235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projet'!$B$12,Paramètres!$A$1:$I$88,3,0)*0.475*44/12</f>
        <v>#N/A</v>
      </c>
      <c r="CL77" s="23" t="e">
        <f>EXP(-LN(2)/25)*CL76+(1-EXP(-LN(2)/25))/(LN(2)/25)*Calculateur!CG77*Calculateur!CI77*VLOOKUP('Données projet'!$B$12,Paramètres!$A$1:$I$88,3,0)*0.475*44/12</f>
        <v>#N/A</v>
      </c>
      <c r="CM77" s="23" t="e">
        <f>EXP(-LN(2)/2)*CM76+(1-EXP(-LN(2)/2))/(LN(2)/2)*CG77*CJ77*VLOOKUP('Données projet'!$B$12,Paramètres!$A$1:$I$88,3,0)*0.475*44/12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54.989999999999888</v>
      </c>
      <c r="D78" s="12">
        <f t="shared" si="86"/>
        <v>15.895227919346986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547.18421551776544</v>
      </c>
      <c r="H78" s="70">
        <f t="shared" si="56"/>
        <v>416.79177195952911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7.3</v>
      </c>
      <c r="N78" s="14">
        <f>IF('Données projet'!$A$36&gt;35,N77+M78-V77,IF(A78&lt;'Données projet'!$A$36,$K$205^A78,IF(A78='Données projet'!$A$36,'Données projet'!$B$36,N77+M78-V77)))</f>
        <v>369.29999999999995</v>
      </c>
      <c r="O78" s="14">
        <f>N78*VLOOKUP('Données projet'!$B$9,Paramètres!$A$1:$I$88,3,0)*VLOOKUP('Données projet'!$B$9,Paramètres!$A$1:$I$88,5,0)</f>
        <v>206.43869999999998</v>
      </c>
      <c r="P78" s="14">
        <f t="shared" si="87"/>
        <v>51.15657904798293</v>
      </c>
      <c r="Q78" s="22">
        <f t="shared" si="54"/>
        <v>448.64511100857021</v>
      </c>
      <c r="R78" s="62">
        <f t="shared" si="55"/>
        <v>741.97844434190347</v>
      </c>
      <c r="S78" s="62">
        <f ca="1">AVERAGE(OFFSET($R$3,0,0,'Données projet'!$E$9+1,1))-AVERAGE(OFFSET($H$3,0,0,'Données projet'!$E$9+1,1))</f>
        <v>222.18341301864729</v>
      </c>
      <c r="T78" s="62">
        <f t="shared" si="88"/>
        <v>172.63628480089358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50.047518679599236</v>
      </c>
      <c r="AA78" s="23">
        <f>EXP(-LN(2)/25)*AA77+(1-EXP(-LN(2)/25))/(LN(2)/25)*Calculateur!V78*Calculateur!X78*VLOOKUP('Données projet'!$B$9,Paramètres!$A$1:$I$88,3,0)*0.475*44/12</f>
        <v>25.587032980062737</v>
      </c>
      <c r="AB78" s="23">
        <f>EXP(-LN(2)/2)*AB77+(1-EXP(-LN(2)/2))/(LN(2)/2)*V78*Y78*VLOOKUP('Données projet'!$B$9,Paramètres!$A$1:$I$88,3,0)*0.475*44/12</f>
        <v>0</v>
      </c>
      <c r="AC78" s="24">
        <f t="shared" si="57"/>
        <v>75.63455165966198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projet'!$B$10,Paramètres!$A$1:$I$88,3,0)*VLOOKUP('Données projet'!$B$10,Paramètres!$A$1:$I$88,5,0)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82.840015321739202</v>
      </c>
      <c r="AO78" s="62">
        <f t="shared" si="90"/>
        <v>101.40622074610098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56.649646392633898</v>
      </c>
      <c r="AV78" s="23">
        <f>EXP(-LN(2)/25)*AV77+(1-EXP(-LN(2)/25))/(LN(2)/25)*Calculateur!AQ78*Calculateur!AS78*VLOOKUP('Données projet'!$B$10,Paramètres!$A$1:$I$88,3,0)*0.475*44/12</f>
        <v>26.002374733950134</v>
      </c>
      <c r="AW78" s="23">
        <f>EXP(-LN(2)/2)*AW77+(1-EXP(-LN(2)/2))/(LN(2)/2)*AQ78*AT78*VLOOKUP('Données projet'!$B$10,Paramètres!$A$1:$I$88,3,0)*0.475*44/12</f>
        <v>0</v>
      </c>
      <c r="AX78" s="23">
        <f t="shared" si="60"/>
        <v>82.652021126584032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169.99999999999983</v>
      </c>
      <c r="BE78" s="14">
        <f>BD78*VLOOKUP('Données projet'!$B$11,Paramètres!$A$1:$I$88,3,0)*VLOOKUP('Données projet'!$B$11,Paramètres!$A$1:$I$88,5,0)</f>
        <v>101.65999999999991</v>
      </c>
      <c r="BF78" s="14">
        <f t="shared" si="91"/>
        <v>27.357089923704745</v>
      </c>
      <c r="BG78" s="22">
        <f t="shared" si="61"/>
        <v>224.70476495045224</v>
      </c>
      <c r="BH78" s="62">
        <f t="shared" si="62"/>
        <v>518.03809828378553</v>
      </c>
      <c r="BI78" s="62">
        <f ca="1">AVERAGE(OFFSET($BH$3,0,0,'Données projet'!$E$11+1,1))-AVERAGE(OFFSET($H$3,0,0,'Données projet'!$E$11+1,1))</f>
        <v>83.354474428753292</v>
      </c>
      <c r="BJ78" s="62">
        <f t="shared" si="92"/>
        <v>97.75861379589162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9.5501640024590095</v>
      </c>
      <c r="BQ78" s="23">
        <f>EXP(-LN(2)/25)*BQ77+(1-EXP(-LN(2)/25))/(LN(2)/25)*Calculateur!BL78*Calculateur!BN78*VLOOKUP('Données projet'!$B$11,Paramètres!$A$1:$I$88,3,0)*0.475*44/12</f>
        <v>7.6927700030771451</v>
      </c>
      <c r="BR78" s="23">
        <f>EXP(-LN(2)/2)*BR77+(1-EXP(-LN(2)/2))/(LN(2)/2)*BL78*BO78*VLOOKUP('Données projet'!$B$11,Paramètres!$A$1:$I$88,3,0)*0.475*44/12</f>
        <v>0</v>
      </c>
      <c r="BS78" s="24">
        <f t="shared" si="63"/>
        <v>17.242934005536156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projet'!$B$12,Paramètres!$A$1:$I$88,3,0)*0.475*44/12</f>
        <v>#N/A</v>
      </c>
      <c r="CL78" s="23" t="e">
        <f>EXP(-LN(2)/25)*CL77+(1-EXP(-LN(2)/25))/(LN(2)/25)*Calculateur!CG78*Calculateur!CI78*VLOOKUP('Données projet'!$B$12,Paramètres!$A$1:$I$88,3,0)*0.475*44/12</f>
        <v>#N/A</v>
      </c>
      <c r="CM78" s="23" t="e">
        <f>EXP(-LN(2)/2)*CM77+(1-EXP(-LN(2)/2))/(LN(2)/2)*CG78*CJ78*VLOOKUP('Données projet'!$B$12,Paramètres!$A$1:$I$88,3,0)*0.475*44/12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55.723199999999885</v>
      </c>
      <c r="D79" s="12">
        <f t="shared" si="86"/>
        <v>16.08235029469542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554.28845841519194</v>
      </c>
      <c r="H79" s="70">
        <f t="shared" si="56"/>
        <v>418.394666763261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7.3</v>
      </c>
      <c r="N79" s="14">
        <f>IF('Données projet'!$A$36&gt;35,N78+M79-V78,IF(A79&lt;'Données projet'!$A$36,$K$205^A79,IF(A79='Données projet'!$A$36,'Données projet'!$B$36,N78+M79-V78)))</f>
        <v>376.59999999999997</v>
      </c>
      <c r="O79" s="14">
        <f>N79*VLOOKUP('Données projet'!$B$9,Paramètres!$A$1:$I$88,3,0)*VLOOKUP('Données projet'!$B$9,Paramètres!$A$1:$I$88,5,0)</f>
        <v>210.51939999999999</v>
      </c>
      <c r="P79" s="14">
        <f t="shared" si="87"/>
        <v>52.049071342851612</v>
      </c>
      <c r="Q79" s="22">
        <f t="shared" si="54"/>
        <v>457.3067542554665</v>
      </c>
      <c r="R79" s="62">
        <f t="shared" si="55"/>
        <v>750.64008758879982</v>
      </c>
      <c r="S79" s="62">
        <f ca="1">AVERAGE(OFFSET($R$3,0,0,'Données projet'!$E$9+1,1))-AVERAGE(OFFSET($H$3,0,0,'Données projet'!$E$9+1,1))</f>
        <v>222.18341301864729</v>
      </c>
      <c r="T79" s="62">
        <f t="shared" si="88"/>
        <v>172.63628480089358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49.0661173642645</v>
      </c>
      <c r="AA79" s="23">
        <f>EXP(-LN(2)/25)*AA78+(1-EXP(-LN(2)/25))/(LN(2)/25)*Calculateur!V79*Calculateur!X79*VLOOKUP('Données projet'!$B$9,Paramètres!$A$1:$I$88,3,0)*0.475*44/12</f>
        <v>24.887354217659336</v>
      </c>
      <c r="AB79" s="23">
        <f>EXP(-LN(2)/2)*AB78+(1-EXP(-LN(2)/2))/(LN(2)/2)*V79*Y79*VLOOKUP('Données projet'!$B$9,Paramètres!$A$1:$I$88,3,0)*0.475*44/12</f>
        <v>0</v>
      </c>
      <c r="AC79" s="24">
        <f t="shared" si="57"/>
        <v>73.953471581923836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projet'!$B$10,Paramètres!$A$1:$I$88,3,0)*VLOOKUP('Données projet'!$B$10,Paramètres!$A$1:$I$88,5,0)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82.840015321739202</v>
      </c>
      <c r="AO79" s="62">
        <f t="shared" si="90"/>
        <v>101.40622074610098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55.538781379746837</v>
      </c>
      <c r="AV79" s="23">
        <f>EXP(-LN(2)/25)*AV78+(1-EXP(-LN(2)/25))/(LN(2)/25)*Calculateur!AQ79*Calculateur!AS79*VLOOKUP('Données projet'!$B$10,Paramètres!$A$1:$I$88,3,0)*0.475*44/12</f>
        <v>25.29133842944481</v>
      </c>
      <c r="AW79" s="23">
        <f>EXP(-LN(2)/2)*AW78+(1-EXP(-LN(2)/2))/(LN(2)/2)*AQ79*AT79*VLOOKUP('Données projet'!$B$10,Paramètres!$A$1:$I$88,3,0)*0.475*44/12</f>
        <v>0</v>
      </c>
      <c r="AX79" s="23">
        <f t="shared" si="60"/>
        <v>80.830119809191643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169.99999999999983</v>
      </c>
      <c r="BE79" s="14">
        <f>BD79*VLOOKUP('Données projet'!$B$11,Paramètres!$A$1:$I$88,3,0)*VLOOKUP('Données projet'!$B$11,Paramètres!$A$1:$I$88,5,0)</f>
        <v>101.65999999999991</v>
      </c>
      <c r="BF79" s="14">
        <f t="shared" si="91"/>
        <v>27.357089923704745</v>
      </c>
      <c r="BG79" s="22">
        <f t="shared" si="61"/>
        <v>224.70476495045224</v>
      </c>
      <c r="BH79" s="62">
        <f t="shared" si="62"/>
        <v>518.03809828378553</v>
      </c>
      <c r="BI79" s="62">
        <f ca="1">AVERAGE(OFFSET($BH$3,0,0,'Données projet'!$E$11+1,1))-AVERAGE(OFFSET($H$3,0,0,'Données projet'!$E$11+1,1))</f>
        <v>83.354474428753292</v>
      </c>
      <c r="BJ79" s="62">
        <f t="shared" si="92"/>
        <v>97.75861379589162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9.3628911113956566</v>
      </c>
      <c r="BQ79" s="23">
        <f>EXP(-LN(2)/25)*BQ78+(1-EXP(-LN(2)/25))/(LN(2)/25)*Calculateur!BL79*Calculateur!BN79*VLOOKUP('Données projet'!$B$11,Paramètres!$A$1:$I$88,3,0)*0.475*44/12</f>
        <v>7.4824108027978085</v>
      </c>
      <c r="BR79" s="23">
        <f>EXP(-LN(2)/2)*BR78+(1-EXP(-LN(2)/2))/(LN(2)/2)*BL79*BO79*VLOOKUP('Données projet'!$B$11,Paramètres!$A$1:$I$88,3,0)*0.475*44/12</f>
        <v>0</v>
      </c>
      <c r="BS79" s="24">
        <f t="shared" si="63"/>
        <v>16.845301914193463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projet'!$B$12,Paramètres!$A$1:$I$88,3,0)*0.475*44/12</f>
        <v>#N/A</v>
      </c>
      <c r="CL79" s="23" t="e">
        <f>EXP(-LN(2)/25)*CL78+(1-EXP(-LN(2)/25))/(LN(2)/25)*Calculateur!CG79*Calculateur!CI79*VLOOKUP('Données projet'!$B$12,Paramètres!$A$1:$I$88,3,0)*0.475*44/12</f>
        <v>#N/A</v>
      </c>
      <c r="CM79" s="23" t="e">
        <f>EXP(-LN(2)/2)*CM78+(1-EXP(-LN(2)/2))/(LN(2)/2)*CG79*CJ79*VLOOKUP('Données projet'!$B$12,Paramètres!$A$1:$I$88,3,0)*0.475*44/12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56.456399999999881</v>
      </c>
      <c r="D80" s="12">
        <f t="shared" si="86"/>
        <v>16.269186287972673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561.39049064399876</v>
      </c>
      <c r="H80" s="70">
        <f t="shared" si="56"/>
        <v>419.99706278488549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7.3</v>
      </c>
      <c r="N80" s="14">
        <f>IF('Données projet'!$A$36&gt;35,N79+M80-V79,IF(A80&lt;'Données projet'!$A$36,$K$205^A80,IF(A80='Données projet'!$A$36,'Données projet'!$B$36,N79+M80-V79)))</f>
        <v>383.9</v>
      </c>
      <c r="O80" s="14">
        <f>N80*VLOOKUP('Données projet'!$B$9,Paramètres!$A$1:$I$88,3,0)*VLOOKUP('Données projet'!$B$9,Paramètres!$A$1:$I$88,5,0)</f>
        <v>214.6001</v>
      </c>
      <c r="P80" s="14">
        <f t="shared" si="87"/>
        <v>52.939552050373152</v>
      </c>
      <c r="Q80" s="22">
        <f t="shared" si="54"/>
        <v>465.96489398773321</v>
      </c>
      <c r="R80" s="62">
        <f t="shared" si="55"/>
        <v>759.29822732106652</v>
      </c>
      <c r="S80" s="62">
        <f ca="1">AVERAGE(OFFSET($R$3,0,0,'Données projet'!$E$9+1,1))-AVERAGE(OFFSET($H$3,0,0,'Données projet'!$E$9+1,1))</f>
        <v>222.18341301864729</v>
      </c>
      <c r="T80" s="62">
        <f t="shared" si="88"/>
        <v>172.63628480089358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48.103960730127781</v>
      </c>
      <c r="AA80" s="23">
        <f>EXP(-LN(2)/25)*AA79+(1-EXP(-LN(2)/25))/(LN(2)/25)*Calculateur!V80*Calculateur!X80*VLOOKUP('Données projet'!$B$9,Paramètres!$A$1:$I$88,3,0)*0.475*44/12</f>
        <v>24.206808207808365</v>
      </c>
      <c r="AB80" s="23">
        <f>EXP(-LN(2)/2)*AB79+(1-EXP(-LN(2)/2))/(LN(2)/2)*V80*Y80*VLOOKUP('Données projet'!$B$9,Paramètres!$A$1:$I$88,3,0)*0.475*44/12</f>
        <v>0</v>
      </c>
      <c r="AC80" s="24">
        <f t="shared" si="57"/>
        <v>72.310768937936146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projet'!$B$10,Paramètres!$A$1:$I$88,3,0)*VLOOKUP('Données projet'!$B$10,Paramètres!$A$1:$I$88,5,0)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82.840015321739202</v>
      </c>
      <c r="AO80" s="62">
        <f t="shared" si="90"/>
        <v>101.40622074610098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54.449699752201731</v>
      </c>
      <c r="AV80" s="23">
        <f>EXP(-LN(2)/25)*AV79+(1-EXP(-LN(2)/25))/(LN(2)/25)*Calculateur!AQ80*Calculateur!AS80*VLOOKUP('Données projet'!$B$10,Paramètres!$A$1:$I$88,3,0)*0.475*44/12</f>
        <v>24.599745450077958</v>
      </c>
      <c r="AW80" s="23">
        <f>EXP(-LN(2)/2)*AW79+(1-EXP(-LN(2)/2))/(LN(2)/2)*AQ80*AT80*VLOOKUP('Données projet'!$B$10,Paramètres!$A$1:$I$88,3,0)*0.475*44/12</f>
        <v>0</v>
      </c>
      <c r="AX80" s="23">
        <f t="shared" si="60"/>
        <v>79.049445202279685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169.99999999999983</v>
      </c>
      <c r="BE80" s="14">
        <f>BD80*VLOOKUP('Données projet'!$B$11,Paramètres!$A$1:$I$88,3,0)*VLOOKUP('Données projet'!$B$11,Paramètres!$A$1:$I$88,5,0)</f>
        <v>101.65999999999991</v>
      </c>
      <c r="BF80" s="14">
        <f t="shared" si="91"/>
        <v>27.357089923704745</v>
      </c>
      <c r="BG80" s="22">
        <f t="shared" si="61"/>
        <v>224.70476495045224</v>
      </c>
      <c r="BH80" s="62">
        <f t="shared" si="62"/>
        <v>518.03809828378553</v>
      </c>
      <c r="BI80" s="62">
        <f ca="1">AVERAGE(OFFSET($BH$3,0,0,'Données projet'!$E$11+1,1))-AVERAGE(OFFSET($H$3,0,0,'Données projet'!$E$11+1,1))</f>
        <v>83.354474428753292</v>
      </c>
      <c r="BJ80" s="62">
        <f t="shared" si="92"/>
        <v>97.75861379589162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9.1792905275008714</v>
      </c>
      <c r="BQ80" s="23">
        <f>EXP(-LN(2)/25)*BQ79+(1-EXP(-LN(2)/25))/(LN(2)/25)*Calculateur!BL80*Calculateur!BN80*VLOOKUP('Données projet'!$B$11,Paramètres!$A$1:$I$88,3,0)*0.475*44/12</f>
        <v>7.2778038859124194</v>
      </c>
      <c r="BR80" s="23">
        <f>EXP(-LN(2)/2)*BR79+(1-EXP(-LN(2)/2))/(LN(2)/2)*BL80*BO80*VLOOKUP('Données projet'!$B$11,Paramètres!$A$1:$I$88,3,0)*0.475*44/12</f>
        <v>0</v>
      </c>
      <c r="BS80" s="24">
        <f t="shared" si="63"/>
        <v>16.457094413413291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projet'!$B$12,Paramètres!$A$1:$I$88,3,0)*0.475*44/12</f>
        <v>#N/A</v>
      </c>
      <c r="CL80" s="23" t="e">
        <f>EXP(-LN(2)/25)*CL79+(1-EXP(-LN(2)/25))/(LN(2)/25)*Calculateur!CG80*Calculateur!CI80*VLOOKUP('Données projet'!$B$12,Paramètres!$A$1:$I$88,3,0)*0.475*44/12</f>
        <v>#N/A</v>
      </c>
      <c r="CM80" s="23" t="e">
        <f>EXP(-LN(2)/2)*CM79+(1-EXP(-LN(2)/2))/(LN(2)/2)*CG80*CJ80*VLOOKUP('Données projet'!$B$12,Paramètres!$A$1:$I$88,3,0)*0.475*44/12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57.189599999999878</v>
      </c>
      <c r="D81" s="12">
        <f t="shared" si="86"/>
        <v>16.455740048444692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568.49034423360729</v>
      </c>
      <c r="H81" s="70">
        <f t="shared" si="56"/>
        <v>421.5989672510409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7.3</v>
      </c>
      <c r="N81" s="14">
        <f>IF('Données projet'!$A$36&gt;35,N80+M81-V80,IF(A81&lt;'Données projet'!$A$36,$K$205^A81,IF(A81='Données projet'!$A$36,'Données projet'!$B$36,N80+M81-V80)))</f>
        <v>391.2</v>
      </c>
      <c r="O81" s="14">
        <f>N81*VLOOKUP('Données projet'!$B$9,Paramètres!$A$1:$I$88,3,0)*VLOOKUP('Données projet'!$B$9,Paramètres!$A$1:$I$88,5,0)</f>
        <v>218.68079999999998</v>
      </c>
      <c r="P81" s="14">
        <f t="shared" si="87"/>
        <v>53.828063832009079</v>
      </c>
      <c r="Q81" s="22">
        <f t="shared" si="54"/>
        <v>474.61960450741572</v>
      </c>
      <c r="R81" s="62">
        <f t="shared" si="55"/>
        <v>767.95293784074897</v>
      </c>
      <c r="S81" s="62">
        <f ca="1">AVERAGE(OFFSET($R$3,0,0,'Données projet'!$E$9+1,1))-AVERAGE(OFFSET($H$3,0,0,'Données projet'!$E$9+1,1))</f>
        <v>222.18341301864729</v>
      </c>
      <c r="T81" s="62">
        <f t="shared" si="88"/>
        <v>172.63628480089358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47.160671400728887</v>
      </c>
      <c r="AA81" s="23">
        <f>EXP(-LN(2)/25)*AA80+(1-EXP(-LN(2)/25))/(LN(2)/25)*Calculateur!V81*Calculateur!X81*VLOOKUP('Données projet'!$B$9,Paramètres!$A$1:$I$88,3,0)*0.475*44/12</f>
        <v>23.544871764385128</v>
      </c>
      <c r="AB81" s="23">
        <f>EXP(-LN(2)/2)*AB80+(1-EXP(-LN(2)/2))/(LN(2)/2)*V81*Y81*VLOOKUP('Données projet'!$B$9,Paramètres!$A$1:$I$88,3,0)*0.475*44/12</f>
        <v>0</v>
      </c>
      <c r="AC81" s="24">
        <f t="shared" si="57"/>
        <v>70.705543165114022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projet'!$B$10,Paramètres!$A$1:$I$88,3,0)*VLOOKUP('Données projet'!$B$10,Paramètres!$A$1:$I$88,5,0)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82.840015321739202</v>
      </c>
      <c r="AO81" s="62">
        <f t="shared" si="90"/>
        <v>101.40622074610098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53.381974351098584</v>
      </c>
      <c r="AV81" s="23">
        <f>EXP(-LN(2)/25)*AV80+(1-EXP(-LN(2)/25))/(LN(2)/25)*Calculateur!AQ81*Calculateur!AS81*VLOOKUP('Données projet'!$B$10,Paramètres!$A$1:$I$88,3,0)*0.475*44/12</f>
        <v>23.927064117101185</v>
      </c>
      <c r="AW81" s="23">
        <f>EXP(-LN(2)/2)*AW80+(1-EXP(-LN(2)/2))/(LN(2)/2)*AQ81*AT81*VLOOKUP('Données projet'!$B$10,Paramètres!$A$1:$I$88,3,0)*0.475*44/12</f>
        <v>0</v>
      </c>
      <c r="AX81" s="23">
        <f t="shared" si="60"/>
        <v>77.309038468199773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169.99999999999983</v>
      </c>
      <c r="BE81" s="14">
        <f>BD81*VLOOKUP('Données projet'!$B$11,Paramètres!$A$1:$I$88,3,0)*VLOOKUP('Données projet'!$B$11,Paramètres!$A$1:$I$88,5,0)</f>
        <v>101.65999999999991</v>
      </c>
      <c r="BF81" s="14">
        <f t="shared" si="91"/>
        <v>27.357089923704745</v>
      </c>
      <c r="BG81" s="22">
        <f t="shared" si="61"/>
        <v>224.70476495045224</v>
      </c>
      <c r="BH81" s="62">
        <f t="shared" si="62"/>
        <v>518.03809828378553</v>
      </c>
      <c r="BI81" s="62">
        <f ca="1">AVERAGE(OFFSET($BH$3,0,0,'Données projet'!$E$11+1,1))-AVERAGE(OFFSET($H$3,0,0,'Données projet'!$E$11+1,1))</f>
        <v>83.354474428753292</v>
      </c>
      <c r="BJ81" s="62">
        <f t="shared" si="92"/>
        <v>97.75861379589162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8.9992902390709641</v>
      </c>
      <c r="BQ81" s="23">
        <f>EXP(-LN(2)/25)*BQ80+(1-EXP(-LN(2)/25))/(LN(2)/25)*Calculateur!BL81*Calculateur!BN81*VLOOKUP('Données projet'!$B$11,Paramètres!$A$1:$I$88,3,0)*0.475*44/12</f>
        <v>7.0787919559290717</v>
      </c>
      <c r="BR81" s="23">
        <f>EXP(-LN(2)/2)*BR80+(1-EXP(-LN(2)/2))/(LN(2)/2)*BL81*BO81*VLOOKUP('Données projet'!$B$11,Paramètres!$A$1:$I$88,3,0)*0.475*44/12</f>
        <v>0</v>
      </c>
      <c r="BS81" s="24">
        <f t="shared" si="63"/>
        <v>16.078082195000036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projet'!$B$12,Paramètres!$A$1:$I$88,3,0)*0.475*44/12</f>
        <v>#N/A</v>
      </c>
      <c r="CL81" s="23" t="e">
        <f>EXP(-LN(2)/25)*CL80+(1-EXP(-LN(2)/25))/(LN(2)/25)*Calculateur!CG81*Calculateur!CI81*VLOOKUP('Données projet'!$B$12,Paramètres!$A$1:$I$88,3,0)*0.475*44/12</f>
        <v>#N/A</v>
      </c>
      <c r="CM81" s="23" t="e">
        <f>EXP(-LN(2)/2)*CM80+(1-EXP(-LN(2)/2))/(LN(2)/2)*CG81*CJ81*VLOOKUP('Données projet'!$B$12,Paramètres!$A$1:$I$88,3,0)*0.475*44/12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57.922799999999874</v>
      </c>
      <c r="D82" s="12">
        <f t="shared" si="86"/>
        <v>16.642015612868772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575.58805034495106</v>
      </c>
      <c r="H82" s="70">
        <f t="shared" si="56"/>
        <v>423.2003871924129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7.3</v>
      </c>
      <c r="N82" s="14">
        <f>IF('Données projet'!$A$36&gt;35,N81+M82-V81,IF(A82&lt;'Données projet'!$A$36,$K$205^A82,IF(A82='Données projet'!$A$36,'Données projet'!$B$36,N81+M82-V81)))</f>
        <v>398.5</v>
      </c>
      <c r="O82" s="14">
        <f>N82*VLOOKUP('Données projet'!$B$9,Paramètres!$A$1:$I$88,3,0)*VLOOKUP('Données projet'!$B$9,Paramètres!$A$1:$I$88,5,0)</f>
        <v>222.76149999999998</v>
      </c>
      <c r="P82" s="14">
        <f t="shared" si="87"/>
        <v>54.714647665921284</v>
      </c>
      <c r="Q82" s="22">
        <f t="shared" si="54"/>
        <v>483.27095718481286</v>
      </c>
      <c r="R82" s="62">
        <f t="shared" si="55"/>
        <v>776.60429051814617</v>
      </c>
      <c r="S82" s="62">
        <f ca="1">AVERAGE(OFFSET($R$3,0,0,'Données projet'!$E$9+1,1))-AVERAGE(OFFSET($H$3,0,0,'Données projet'!$E$9+1,1))</f>
        <v>222.18341301864729</v>
      </c>
      <c r="T82" s="62">
        <f t="shared" si="88"/>
        <v>172.63628480089358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46.235879399729825</v>
      </c>
      <c r="AA82" s="23">
        <f>EXP(-LN(2)/25)*AA81+(1-EXP(-LN(2)/25))/(LN(2)/25)*Calculateur!V82*Calculateur!X82*VLOOKUP('Données projet'!$B$9,Paramètres!$A$1:$I$88,3,0)*0.475*44/12</f>
        <v>22.901036007817023</v>
      </c>
      <c r="AB82" s="23">
        <f>EXP(-LN(2)/2)*AB81+(1-EXP(-LN(2)/2))/(LN(2)/2)*V82*Y82*VLOOKUP('Données projet'!$B$9,Paramètres!$A$1:$I$88,3,0)*0.475*44/12</f>
        <v>0</v>
      </c>
      <c r="AC82" s="24">
        <f t="shared" si="57"/>
        <v>69.136915407546851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projet'!$B$10,Paramètres!$A$1:$I$88,3,0)*VLOOKUP('Données projet'!$B$10,Paramètres!$A$1:$I$88,5,0)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82.840015321739202</v>
      </c>
      <c r="AO82" s="62">
        <f t="shared" si="90"/>
        <v>101.40622074610098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52.335186393862884</v>
      </c>
      <c r="AV82" s="23">
        <f>EXP(-LN(2)/25)*AV81+(1-EXP(-LN(2)/25))/(LN(2)/25)*Calculateur!AQ82*Calculateur!AS82*VLOOKUP('Données projet'!$B$10,Paramètres!$A$1:$I$88,3,0)*0.475*44/12</f>
        <v>23.272777290549438</v>
      </c>
      <c r="AW82" s="23">
        <f>EXP(-LN(2)/2)*AW81+(1-EXP(-LN(2)/2))/(LN(2)/2)*AQ82*AT82*VLOOKUP('Données projet'!$B$10,Paramètres!$A$1:$I$88,3,0)*0.475*44/12</f>
        <v>0</v>
      </c>
      <c r="AX82" s="23">
        <f t="shared" si="60"/>
        <v>75.607963684412326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169.99999999999983</v>
      </c>
      <c r="BE82" s="14">
        <f>BD82*VLOOKUP('Données projet'!$B$11,Paramètres!$A$1:$I$88,3,0)*VLOOKUP('Données projet'!$B$11,Paramètres!$A$1:$I$88,5,0)</f>
        <v>101.65999999999991</v>
      </c>
      <c r="BF82" s="14">
        <f t="shared" si="91"/>
        <v>27.357089923704745</v>
      </c>
      <c r="BG82" s="22">
        <f t="shared" si="61"/>
        <v>224.70476495045224</v>
      </c>
      <c r="BH82" s="62">
        <f t="shared" si="62"/>
        <v>518.03809828378553</v>
      </c>
      <c r="BI82" s="62">
        <f ca="1">AVERAGE(OFFSET($BH$3,0,0,'Données projet'!$E$11+1,1))-AVERAGE(OFFSET($H$3,0,0,'Données projet'!$E$11+1,1))</f>
        <v>83.354474428753292</v>
      </c>
      <c r="BJ82" s="62">
        <f t="shared" si="92"/>
        <v>97.75861379589162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8.822819646507833</v>
      </c>
      <c r="BQ82" s="23">
        <f>EXP(-LN(2)/25)*BQ81+(1-EXP(-LN(2)/25))/(LN(2)/25)*Calculateur!BL82*Calculateur!BN82*VLOOKUP('Données projet'!$B$11,Paramètres!$A$1:$I$88,3,0)*0.475*44/12</f>
        <v>6.8852220176367007</v>
      </c>
      <c r="BR82" s="23">
        <f>EXP(-LN(2)/2)*BR81+(1-EXP(-LN(2)/2))/(LN(2)/2)*BL82*BO82*VLOOKUP('Données projet'!$B$11,Paramètres!$A$1:$I$88,3,0)*0.475*44/12</f>
        <v>0</v>
      </c>
      <c r="BS82" s="24">
        <f t="shared" si="63"/>
        <v>15.708041664144535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projet'!$B$12,Paramètres!$A$1:$I$88,3,0)*0.475*44/12</f>
        <v>#N/A</v>
      </c>
      <c r="CL82" s="23" t="e">
        <f>EXP(-LN(2)/25)*CL81+(1-EXP(-LN(2)/25))/(LN(2)/25)*Calculateur!CG82*Calculateur!CI82*VLOOKUP('Données projet'!$B$12,Paramètres!$A$1:$I$88,3,0)*0.475*44/12</f>
        <v>#N/A</v>
      </c>
      <c r="CM82" s="23" t="e">
        <f>EXP(-LN(2)/2)*CM81+(1-EXP(-LN(2)/2))/(LN(2)/2)*CG82*CJ82*VLOOKUP('Données projet'!$B$12,Paramètres!$A$1:$I$88,3,0)*0.475*44/12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58.655999999999871</v>
      </c>
      <c r="D83" s="12">
        <f t="shared" si="86"/>
        <v>16.82801690992903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582.68363930471423</v>
      </c>
      <c r="H83" s="70">
        <f t="shared" si="56"/>
        <v>424.80132945145942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7.3</v>
      </c>
      <c r="N83" s="14">
        <f>IF('Données projet'!$A$36&gt;35,N82+M83-V82,IF(A83&lt;'Données projet'!$A$36,$K$205^A83,IF(A83='Données projet'!$A$36,'Données projet'!$B$36,N82+M83-V82)))</f>
        <v>405.8</v>
      </c>
      <c r="O83" s="14">
        <f>N83*VLOOKUP('Données projet'!$B$9,Paramètres!$A$1:$I$88,3,0)*VLOOKUP('Données projet'!$B$9,Paramètres!$A$1:$I$88,5,0)</f>
        <v>226.84220000000002</v>
      </c>
      <c r="P83" s="14">
        <f t="shared" si="87"/>
        <v>55.59934294298791</v>
      </c>
      <c r="Q83" s="22">
        <f t="shared" si="54"/>
        <v>491.91902062570398</v>
      </c>
      <c r="R83" s="62">
        <f t="shared" si="55"/>
        <v>785.25235395903724</v>
      </c>
      <c r="S83" s="62">
        <f ca="1">AVERAGE(OFFSET($R$3,0,0,'Données projet'!$E$9+1,1))-AVERAGE(OFFSET($H$3,0,0,'Données projet'!$E$9+1,1))</f>
        <v>222.18341301864729</v>
      </c>
      <c r="T83" s="62">
        <f t="shared" si="88"/>
        <v>172.63628480089358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45.329222005802933</v>
      </c>
      <c r="AA83" s="23">
        <f>EXP(-LN(2)/25)*AA82+(1-EXP(-LN(2)/25))/(LN(2)/25)*Calculateur!V83*Calculateur!X83*VLOOKUP('Données projet'!$B$9,Paramètres!$A$1:$I$88,3,0)*0.475*44/12</f>
        <v>22.274805973870123</v>
      </c>
      <c r="AB83" s="23">
        <f>EXP(-LN(2)/2)*AB82+(1-EXP(-LN(2)/2))/(LN(2)/2)*V83*Y83*VLOOKUP('Données projet'!$B$9,Paramètres!$A$1:$I$88,3,0)*0.475*44/12</f>
        <v>0</v>
      </c>
      <c r="AC83" s="24">
        <f t="shared" si="57"/>
        <v>67.604027979673049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projet'!$B$10,Paramètres!$A$1:$I$88,3,0)*VLOOKUP('Données projet'!$B$10,Paramètres!$A$1:$I$88,5,0)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82.840015321739202</v>
      </c>
      <c r="AO83" s="62">
        <f t="shared" si="90"/>
        <v>101.40622074610098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51.308925309990968</v>
      </c>
      <c r="AV83" s="23">
        <f>EXP(-LN(2)/25)*AV82+(1-EXP(-LN(2)/25))/(LN(2)/25)*Calculateur!AQ83*Calculateur!AS83*VLOOKUP('Données projet'!$B$10,Paramètres!$A$1:$I$88,3,0)*0.475*44/12</f>
        <v>22.636381971677196</v>
      </c>
      <c r="AW83" s="23">
        <f>EXP(-LN(2)/2)*AW82+(1-EXP(-LN(2)/2))/(LN(2)/2)*AQ83*AT83*VLOOKUP('Données projet'!$B$10,Paramètres!$A$1:$I$88,3,0)*0.475*44/12</f>
        <v>0</v>
      </c>
      <c r="AX83" s="23">
        <f t="shared" si="60"/>
        <v>73.945307281668164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169.99999999999983</v>
      </c>
      <c r="BE83" s="14">
        <f>BD83*VLOOKUP('Données projet'!$B$11,Paramètres!$A$1:$I$88,3,0)*VLOOKUP('Données projet'!$B$11,Paramètres!$A$1:$I$88,5,0)</f>
        <v>101.65999999999991</v>
      </c>
      <c r="BF83" s="14">
        <f t="shared" si="91"/>
        <v>27.357089923704745</v>
      </c>
      <c r="BG83" s="22">
        <f t="shared" si="61"/>
        <v>224.70476495045224</v>
      </c>
      <c r="BH83" s="62">
        <f t="shared" si="62"/>
        <v>518.03809828378553</v>
      </c>
      <c r="BI83" s="62">
        <f ca="1">AVERAGE(OFFSET($BH$3,0,0,'Données projet'!$E$11+1,1))-AVERAGE(OFFSET($H$3,0,0,'Données projet'!$E$11+1,1))</f>
        <v>83.354474428753292</v>
      </c>
      <c r="BJ83" s="62">
        <f t="shared" si="92"/>
        <v>97.75861379589162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8.6498095346284316</v>
      </c>
      <c r="BQ83" s="23">
        <f>EXP(-LN(2)/25)*BQ82+(1-EXP(-LN(2)/25))/(LN(2)/25)*Calculateur!BL83*Calculateur!BN83*VLOOKUP('Données projet'!$B$11,Paramètres!$A$1:$I$88,3,0)*0.475*44/12</f>
        <v>6.6969452594863359</v>
      </c>
      <c r="BR83" s="23">
        <f>EXP(-LN(2)/2)*BR82+(1-EXP(-LN(2)/2))/(LN(2)/2)*BL83*BO83*VLOOKUP('Données projet'!$B$11,Paramètres!$A$1:$I$88,3,0)*0.475*44/12</f>
        <v>0</v>
      </c>
      <c r="BS83" s="24">
        <f t="shared" si="63"/>
        <v>15.346754794114768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projet'!$B$12,Paramètres!$A$1:$I$88,3,0)*0.475*44/12</f>
        <v>#N/A</v>
      </c>
      <c r="CL83" s="23" t="e">
        <f>EXP(-LN(2)/25)*CL82+(1-EXP(-LN(2)/25))/(LN(2)/25)*Calculateur!CG83*Calculateur!CI83*VLOOKUP('Données projet'!$B$12,Paramètres!$A$1:$I$88,3,0)*0.475*44/12</f>
        <v>#N/A</v>
      </c>
      <c r="CM83" s="23" t="e">
        <f>EXP(-LN(2)/2)*CM82+(1-EXP(-LN(2)/2))/(LN(2)/2)*CG83*CJ83*VLOOKUP('Données projet'!$B$12,Paramètres!$A$1:$I$88,3,0)*0.475*44/12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59.389199999999867</v>
      </c>
      <c r="D84" s="12">
        <f t="shared" si="86"/>
        <v>17.013747764443796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589.77714063781082</v>
      </c>
      <c r="H84" s="70">
        <f t="shared" si="56"/>
        <v>426.40180068973939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7.3</v>
      </c>
      <c r="N84" s="14">
        <f>IF('Données projet'!$A$36&gt;35,N83+M84-V83,IF(A84&lt;'Données projet'!$A$36,$K$205^A84,IF(A84='Données projet'!$A$36,'Données projet'!$B$36,N83+M84-V83)))</f>
        <v>413.1</v>
      </c>
      <c r="O84" s="14">
        <f>N84*VLOOKUP('Données projet'!$B$9,Paramètres!$A$1:$I$88,3,0)*VLOOKUP('Données projet'!$B$9,Paramètres!$A$1:$I$88,5,0)</f>
        <v>230.92290000000003</v>
      </c>
      <c r="P84" s="14">
        <f t="shared" si="87"/>
        <v>56.482187555714752</v>
      </c>
      <c r="Q84" s="22">
        <f t="shared" si="54"/>
        <v>500.56386082620321</v>
      </c>
      <c r="R84" s="62">
        <f t="shared" si="55"/>
        <v>793.89719415953653</v>
      </c>
      <c r="S84" s="62">
        <f ca="1">AVERAGE(OFFSET($R$3,0,0,'Données projet'!$E$9+1,1))-AVERAGE(OFFSET($H$3,0,0,'Données projet'!$E$9+1,1))</f>
        <v>222.18341301864729</v>
      </c>
      <c r="T84" s="62">
        <f t="shared" si="88"/>
        <v>172.63628480089358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44.440343610364536</v>
      </c>
      <c r="AA84" s="23">
        <f>EXP(-LN(2)/25)*AA83+(1-EXP(-LN(2)/25))/(LN(2)/25)*Calculateur!V84*Calculateur!X84*VLOOKUP('Données projet'!$B$9,Paramètres!$A$1:$I$88,3,0)*0.475*44/12</f>
        <v>21.665700233133506</v>
      </c>
      <c r="AB84" s="23">
        <f>EXP(-LN(2)/2)*AB83+(1-EXP(-LN(2)/2))/(LN(2)/2)*V84*Y84*VLOOKUP('Données projet'!$B$9,Paramètres!$A$1:$I$88,3,0)*0.475*44/12</f>
        <v>0</v>
      </c>
      <c r="AC84" s="24">
        <f t="shared" si="57"/>
        <v>66.106043843498043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projet'!$B$10,Paramètres!$A$1:$I$88,3,0)*VLOOKUP('Données projet'!$B$10,Paramètres!$A$1:$I$88,5,0)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82.840015321739202</v>
      </c>
      <c r="AO84" s="62">
        <f t="shared" si="90"/>
        <v>101.40622074610098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50.302788580016326</v>
      </c>
      <c r="AV84" s="23">
        <f>EXP(-LN(2)/25)*AV83+(1-EXP(-LN(2)/25))/(LN(2)/25)*Calculateur!AQ84*Calculateur!AS84*VLOOKUP('Données projet'!$B$10,Paramètres!$A$1:$I$88,3,0)*0.475*44/12</f>
        <v>22.017388916266093</v>
      </c>
      <c r="AW84" s="23">
        <f>EXP(-LN(2)/2)*AW83+(1-EXP(-LN(2)/2))/(LN(2)/2)*AQ84*AT84*VLOOKUP('Données projet'!$B$10,Paramètres!$A$1:$I$88,3,0)*0.475*44/12</f>
        <v>0</v>
      </c>
      <c r="AX84" s="23">
        <f t="shared" si="60"/>
        <v>72.320177496282412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169.99999999999983</v>
      </c>
      <c r="BE84" s="14">
        <f>BD84*VLOOKUP('Données projet'!$B$11,Paramètres!$A$1:$I$88,3,0)*VLOOKUP('Données projet'!$B$11,Paramètres!$A$1:$I$88,5,0)</f>
        <v>101.65999999999991</v>
      </c>
      <c r="BF84" s="14">
        <f t="shared" si="91"/>
        <v>27.357089923704745</v>
      </c>
      <c r="BG84" s="22">
        <f t="shared" si="61"/>
        <v>224.70476495045224</v>
      </c>
      <c r="BH84" s="62">
        <f t="shared" si="62"/>
        <v>518.03809828378553</v>
      </c>
      <c r="BI84" s="62">
        <f ca="1">AVERAGE(OFFSET($BH$3,0,0,'Données projet'!$E$11+1,1))-AVERAGE(OFFSET($H$3,0,0,'Données projet'!$E$11+1,1))</f>
        <v>83.354474428753292</v>
      </c>
      <c r="BJ84" s="62">
        <f t="shared" si="92"/>
        <v>97.75861379589162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8.4801920455172368</v>
      </c>
      <c r="BQ84" s="23">
        <f>EXP(-LN(2)/25)*BQ83+(1-EXP(-LN(2)/25))/(LN(2)/25)*Calculateur!BL84*Calculateur!BN84*VLOOKUP('Données projet'!$B$11,Paramètres!$A$1:$I$88,3,0)*0.475*44/12</f>
        <v>6.5138169391886374</v>
      </c>
      <c r="BR84" s="23">
        <f>EXP(-LN(2)/2)*BR83+(1-EXP(-LN(2)/2))/(LN(2)/2)*BL84*BO84*VLOOKUP('Données projet'!$B$11,Paramètres!$A$1:$I$88,3,0)*0.475*44/12</f>
        <v>0</v>
      </c>
      <c r="BS84" s="24">
        <f t="shared" si="63"/>
        <v>14.994008984705875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projet'!$B$12,Paramètres!$A$1:$I$88,3,0)*0.475*44/12</f>
        <v>#N/A</v>
      </c>
      <c r="CL84" s="23" t="e">
        <f>EXP(-LN(2)/25)*CL83+(1-EXP(-LN(2)/25))/(LN(2)/25)*Calculateur!CG84*Calculateur!CI84*VLOOKUP('Données projet'!$B$12,Paramètres!$A$1:$I$88,3,0)*0.475*44/12</f>
        <v>#N/A</v>
      </c>
      <c r="CM84" s="23" t="e">
        <f>EXP(-LN(2)/2)*CM83+(1-EXP(-LN(2)/2))/(LN(2)/2)*CG84*CJ84*VLOOKUP('Données projet'!$B$12,Paramètres!$A$1:$I$88,3,0)*0.475*44/12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60.122399999999864</v>
      </c>
      <c r="D85" s="12">
        <f t="shared" si="86"/>
        <v>17.199211901359213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596.86858309821048</v>
      </c>
      <c r="H85" s="70">
        <f t="shared" si="56"/>
        <v>428.001807394867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7.3</v>
      </c>
      <c r="N85" s="14">
        <f>IF('Données projet'!$A$36&gt;35,N84+M85-V84,IF(A85&lt;'Données projet'!$A$36,$K$205^A85,IF(A85='Données projet'!$A$36,'Données projet'!$B$36,N84+M85-V84)))</f>
        <v>420.40000000000003</v>
      </c>
      <c r="O85" s="14">
        <f>N85*VLOOKUP('Données projet'!$B$9,Paramètres!$A$1:$I$88,3,0)*VLOOKUP('Données projet'!$B$9,Paramètres!$A$1:$I$88,5,0)</f>
        <v>235.00360000000003</v>
      </c>
      <c r="P85" s="14">
        <f t="shared" si="87"/>
        <v>57.363217980684254</v>
      </c>
      <c r="Q85" s="22">
        <f t="shared" si="54"/>
        <v>509.20554131635839</v>
      </c>
      <c r="R85" s="62">
        <f t="shared" si="55"/>
        <v>802.53887464969171</v>
      </c>
      <c r="S85" s="62">
        <f ca="1">AVERAGE(OFFSET($R$3,0,0,'Données projet'!$E$9+1,1))-AVERAGE(OFFSET($H$3,0,0,'Données projet'!$E$9+1,1))</f>
        <v>222.18341301864729</v>
      </c>
      <c r="T85" s="62">
        <f t="shared" si="88"/>
        <v>172.63628480089358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43.568895578098399</v>
      </c>
      <c r="AA85" s="23">
        <f>EXP(-LN(2)/25)*AA84+(1-EXP(-LN(2)/25))/(LN(2)/25)*Calculateur!V85*Calculateur!X85*VLOOKUP('Données projet'!$B$9,Paramètres!$A$1:$I$88,3,0)*0.475*44/12</f>
        <v>21.073250520908815</v>
      </c>
      <c r="AB85" s="23">
        <f>EXP(-LN(2)/2)*AB84+(1-EXP(-LN(2)/2))/(LN(2)/2)*V85*Y85*VLOOKUP('Données projet'!$B$9,Paramètres!$A$1:$I$88,3,0)*0.475*44/12</f>
        <v>0</v>
      </c>
      <c r="AC85" s="24">
        <f t="shared" si="57"/>
        <v>64.642146099007221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projet'!$B$10,Paramètres!$A$1:$I$88,3,0)*VLOOKUP('Données projet'!$B$10,Paramètres!$A$1:$I$88,5,0)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82.840015321739202</v>
      </c>
      <c r="AO85" s="62">
        <f t="shared" si="90"/>
        <v>101.40622074610098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49.316381577633678</v>
      </c>
      <c r="AV85" s="23">
        <f>EXP(-LN(2)/25)*AV84+(1-EXP(-LN(2)/25))/(LN(2)/25)*Calculateur!AQ85*Calculateur!AS85*VLOOKUP('Données projet'!$B$10,Paramètres!$A$1:$I$88,3,0)*0.475*44/12</f>
        <v>21.415322258506635</v>
      </c>
      <c r="AW85" s="23">
        <f>EXP(-LN(2)/2)*AW84+(1-EXP(-LN(2)/2))/(LN(2)/2)*AQ85*AT85*VLOOKUP('Données projet'!$B$10,Paramètres!$A$1:$I$88,3,0)*0.475*44/12</f>
        <v>0</v>
      </c>
      <c r="AX85" s="23">
        <f t="shared" si="60"/>
        <v>70.731703836140312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169.99999999999983</v>
      </c>
      <c r="BE85" s="14">
        <f>BD85*VLOOKUP('Données projet'!$B$11,Paramètres!$A$1:$I$88,3,0)*VLOOKUP('Données projet'!$B$11,Paramètres!$A$1:$I$88,5,0)</f>
        <v>101.65999999999991</v>
      </c>
      <c r="BF85" s="14">
        <f t="shared" si="91"/>
        <v>27.357089923704745</v>
      </c>
      <c r="BG85" s="22">
        <f t="shared" si="61"/>
        <v>224.70476495045224</v>
      </c>
      <c r="BH85" s="62">
        <f t="shared" si="62"/>
        <v>518.03809828378553</v>
      </c>
      <c r="BI85" s="62">
        <f ca="1">AVERAGE(OFFSET($BH$3,0,0,'Données projet'!$E$11+1,1))-AVERAGE(OFFSET($H$3,0,0,'Données projet'!$E$11+1,1))</f>
        <v>83.354474428753292</v>
      </c>
      <c r="BJ85" s="62">
        <f t="shared" si="92"/>
        <v>97.75861379589162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8.3139006519110588</v>
      </c>
      <c r="BQ85" s="23">
        <f>EXP(-LN(2)/25)*BQ84+(1-EXP(-LN(2)/25))/(LN(2)/25)*Calculateur!BL85*Calculateur!BN85*VLOOKUP('Données projet'!$B$11,Paramètres!$A$1:$I$88,3,0)*0.475*44/12</f>
        <v>6.3356962724397787</v>
      </c>
      <c r="BR85" s="23">
        <f>EXP(-LN(2)/2)*BR84+(1-EXP(-LN(2)/2))/(LN(2)/2)*BL85*BO85*VLOOKUP('Données projet'!$B$11,Paramètres!$A$1:$I$88,3,0)*0.475*44/12</f>
        <v>0</v>
      </c>
      <c r="BS85" s="24">
        <f t="shared" si="63"/>
        <v>14.649596924350838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projet'!$B$12,Paramètres!$A$1:$I$88,3,0)*0.475*44/12</f>
        <v>#N/A</v>
      </c>
      <c r="CL85" s="23" t="e">
        <f>EXP(-LN(2)/25)*CL84+(1-EXP(-LN(2)/25))/(LN(2)/25)*Calculateur!CG85*Calculateur!CI85*VLOOKUP('Données projet'!$B$12,Paramètres!$A$1:$I$88,3,0)*0.475*44/12</f>
        <v>#N/A</v>
      </c>
      <c r="CM85" s="23" t="e">
        <f>EXP(-LN(2)/2)*CM84+(1-EXP(-LN(2)/2))/(LN(2)/2)*CG85*CJ85*VLOOKUP('Données projet'!$B$12,Paramètres!$A$1:$I$88,3,0)*0.475*44/12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60.85559999999986</v>
      </c>
      <c r="D86" s="12">
        <f t="shared" si="86"/>
        <v>17.384412949542618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603.95799469822259</v>
      </c>
      <c r="H86" s="70">
        <f t="shared" si="56"/>
        <v>429.60135588711978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7.3</v>
      </c>
      <c r="N86" s="14">
        <f>IF('Données projet'!$A$36&gt;35,N85+M86-V85,IF(A86&lt;'Données projet'!$A$36,$K$205^A86,IF(A86='Données projet'!$A$36,'Données projet'!$B$36,N85+M86-V85)))</f>
        <v>427.70000000000005</v>
      </c>
      <c r="O86" s="14">
        <f>N86*VLOOKUP('Données projet'!$B$9,Paramètres!$A$1:$I$88,3,0)*VLOOKUP('Données projet'!$B$9,Paramètres!$A$1:$I$88,5,0)</f>
        <v>239.08430000000004</v>
      </c>
      <c r="P86" s="14">
        <f t="shared" si="87"/>
        <v>58.242469355114906</v>
      </c>
      <c r="Q86" s="22">
        <f t="shared" si="54"/>
        <v>517.84412329349186</v>
      </c>
      <c r="R86" s="62">
        <f t="shared" si="55"/>
        <v>811.17745662682523</v>
      </c>
      <c r="S86" s="62">
        <f ca="1">AVERAGE(OFFSET($R$3,0,0,'Données projet'!$E$9+1,1))-AVERAGE(OFFSET($H$3,0,0,'Données projet'!$E$9+1,1))</f>
        <v>222.18341301864729</v>
      </c>
      <c r="T86" s="62">
        <f t="shared" si="88"/>
        <v>172.63628480089358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42.714536110214191</v>
      </c>
      <c r="AA86" s="23">
        <f>EXP(-LN(2)/25)*AA85+(1-EXP(-LN(2)/25))/(LN(2)/25)*Calculateur!V86*Calculateur!X86*VLOOKUP('Données projet'!$B$9,Paramètres!$A$1:$I$88,3,0)*0.475*44/12</f>
        <v>20.497001377220482</v>
      </c>
      <c r="AB86" s="23">
        <f>EXP(-LN(2)/2)*AB85+(1-EXP(-LN(2)/2))/(LN(2)/2)*V86*Y86*VLOOKUP('Données projet'!$B$9,Paramètres!$A$1:$I$88,3,0)*0.475*44/12</f>
        <v>0</v>
      </c>
      <c r="AC86" s="24">
        <f t="shared" si="57"/>
        <v>63.211537487434668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projet'!$B$10,Paramètres!$A$1:$I$88,3,0)*VLOOKUP('Données projet'!$B$10,Paramètres!$A$1:$I$88,5,0)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82.840015321739202</v>
      </c>
      <c r="AO86" s="62">
        <f t="shared" si="90"/>
        <v>101.40622074610098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48.349317414918886</v>
      </c>
      <c r="AV86" s="23">
        <f>EXP(-LN(2)/25)*AV85+(1-EXP(-LN(2)/25))/(LN(2)/25)*Calculateur!AQ86*Calculateur!AS86*VLOOKUP('Données projet'!$B$10,Paramètres!$A$1:$I$88,3,0)*0.475*44/12</f>
        <v>20.829719145164919</v>
      </c>
      <c r="AW86" s="23">
        <f>EXP(-LN(2)/2)*AW85+(1-EXP(-LN(2)/2))/(LN(2)/2)*AQ86*AT86*VLOOKUP('Données projet'!$B$10,Paramètres!$A$1:$I$88,3,0)*0.475*44/12</f>
        <v>0</v>
      </c>
      <c r="AX86" s="23">
        <f t="shared" si="60"/>
        <v>69.179036560083802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169.99999999999983</v>
      </c>
      <c r="BE86" s="14">
        <f>BD86*VLOOKUP('Données projet'!$B$11,Paramètres!$A$1:$I$88,3,0)*VLOOKUP('Données projet'!$B$11,Paramètres!$A$1:$I$88,5,0)</f>
        <v>101.65999999999991</v>
      </c>
      <c r="BF86" s="14">
        <f t="shared" si="91"/>
        <v>27.357089923704745</v>
      </c>
      <c r="BG86" s="22">
        <f t="shared" si="61"/>
        <v>224.70476495045224</v>
      </c>
      <c r="BH86" s="62">
        <f t="shared" si="62"/>
        <v>518.03809828378553</v>
      </c>
      <c r="BI86" s="62">
        <f ca="1">AVERAGE(OFFSET($BH$3,0,0,'Données projet'!$E$11+1,1))-AVERAGE(OFFSET($H$3,0,0,'Données projet'!$E$11+1,1))</f>
        <v>83.354474428753292</v>
      </c>
      <c r="BJ86" s="62">
        <f t="shared" si="92"/>
        <v>97.75861379589162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8.1508701311057639</v>
      </c>
      <c r="BQ86" s="23">
        <f>EXP(-LN(2)/25)*BQ85+(1-EXP(-LN(2)/25))/(LN(2)/25)*Calculateur!BL86*Calculateur!BN86*VLOOKUP('Données projet'!$B$11,Paramètres!$A$1:$I$88,3,0)*0.475*44/12</f>
        <v>6.1624463246901264</v>
      </c>
      <c r="BR86" s="23">
        <f>EXP(-LN(2)/2)*BR85+(1-EXP(-LN(2)/2))/(LN(2)/2)*BL86*BO86*VLOOKUP('Données projet'!$B$11,Paramètres!$A$1:$I$88,3,0)*0.475*44/12</f>
        <v>0</v>
      </c>
      <c r="BS86" s="24">
        <f t="shared" si="63"/>
        <v>14.31331645579589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projet'!$B$12,Paramètres!$A$1:$I$88,3,0)*0.475*44/12</f>
        <v>#N/A</v>
      </c>
      <c r="CL86" s="23" t="e">
        <f>EXP(-LN(2)/25)*CL85+(1-EXP(-LN(2)/25))/(LN(2)/25)*Calculateur!CG86*Calculateur!CI86*VLOOKUP('Données projet'!$B$12,Paramètres!$A$1:$I$88,3,0)*0.475*44/12</f>
        <v>#N/A</v>
      </c>
      <c r="CM86" s="23" t="e">
        <f>EXP(-LN(2)/2)*CM85+(1-EXP(-LN(2)/2))/(LN(2)/2)*CG86*CJ86*VLOOKUP('Données projet'!$B$12,Paramètres!$A$1:$I$88,3,0)*0.475*44/12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61.588799999999857</v>
      </c>
      <c r="D87" s="12">
        <f t="shared" si="86"/>
        <v>17.569354445387791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611.04540273632574</v>
      </c>
      <c r="H87" s="70">
        <f t="shared" si="56"/>
        <v>431.20045232571681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>
        <f>VLOOKUP(A87,'Données projet'!$A$35:$I$55,2,0)</f>
        <v>435</v>
      </c>
      <c r="L87" s="13">
        <f>VLOOKUP(A87,'Données projet'!$A$35:$I$55,9,0)</f>
        <v>7.3</v>
      </c>
      <c r="M87" s="13">
        <f t="array" ref="M87">INDEX(L:L,MIN(IF(ISNUMBER(L87:L283),ROW(L87:L283),"")))</f>
        <v>7.3</v>
      </c>
      <c r="N87" s="14">
        <f>IF('Données projet'!$A$36&gt;35,N86+M87-V86,IF(A87&lt;'Données projet'!$A$36,$K$205^A87,IF(A87='Données projet'!$A$36,'Données projet'!$B$36,N86+M87-V86)))</f>
        <v>435.00000000000006</v>
      </c>
      <c r="O87" s="14">
        <f>N87*VLOOKUP('Données projet'!$B$9,Paramètres!$A$1:$I$88,3,0)*VLOOKUP('Données projet'!$B$9,Paramètres!$A$1:$I$88,5,0)</f>
        <v>243.16500000000002</v>
      </c>
      <c r="P87" s="14">
        <f t="shared" si="87"/>
        <v>59.119975548046618</v>
      </c>
      <c r="Q87" s="22">
        <f t="shared" si="54"/>
        <v>526.47966574618124</v>
      </c>
      <c r="R87" s="62">
        <f t="shared" si="55"/>
        <v>819.81299907951461</v>
      </c>
      <c r="S87" s="62">
        <f ca="1">AVERAGE(OFFSET($R$3,0,0,'Données projet'!$E$9+1,1))-AVERAGE(OFFSET($H$3,0,0,'Données projet'!$E$9+1,1))</f>
        <v>222.18341301864729</v>
      </c>
      <c r="T87" s="62">
        <f t="shared" si="88"/>
        <v>172.63628480089358</v>
      </c>
      <c r="U87" s="16">
        <f>IF(ISNA(VLOOKUP(A87,'Données projet'!$A$35:$I$55,3,0)),0,VLOOKUP(A87,'Données projet'!$A$35:$I$55,3,0))</f>
        <v>7</v>
      </c>
      <c r="V87" s="16">
        <f>IF(ISNA(VLOOKUP(A87,'Données projet'!$A$35:$I$55,4,0)),0,VLOOKUP(A87,'Données projet'!$A$35:$I$55,4,0))</f>
        <v>58</v>
      </c>
      <c r="W87" s="17">
        <f>IF(ISNA(VLOOKUP(A87,'Données projet'!$A$35:$I$55,5,0)),0%,VLOOKUP(A87,'Données projet'!$A$35:$I$55,5,0)*VLOOKUP('Données projet'!$B$9,Paramètres!$A$1:$I$88,7,0))</f>
        <v>0.38500000000000001</v>
      </c>
      <c r="X87" s="17">
        <f>IF(ISNA(VLOOKUP(A87,'Données projet'!$A$35:$I$55,6,0)),0%,VLOOKUP(A87,'Données projet'!$A$35:$I$55,6,0)*VLOOKUP('Données projet'!$B$9,Paramètres!$A$1:$I$88,7,0))</f>
        <v>0.16500000000000001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58.435731128477769</v>
      </c>
      <c r="AA87" s="23">
        <f>EXP(-LN(2)/25)*AA86+(1-EXP(-LN(2)/25))/(LN(2)/25)*Calculateur!V87*Calculateur!X87*VLOOKUP('Données projet'!$B$9,Paramètres!$A$1:$I$88,3,0)*0.475*44/12</f>
        <v>27.00519667199179</v>
      </c>
      <c r="AB87" s="23">
        <f>EXP(-LN(2)/2)*AB86+(1-EXP(-LN(2)/2))/(LN(2)/2)*V87*Y87*VLOOKUP('Données projet'!$B$9,Paramètres!$A$1:$I$88,3,0)*0.475*44/12</f>
        <v>0</v>
      </c>
      <c r="AC87" s="24">
        <f t="shared" si="57"/>
        <v>85.440927800469552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projet'!$B$10,Paramètres!$A$1:$I$88,3,0)*VLOOKUP('Données projet'!$B$10,Paramètres!$A$1:$I$88,5,0)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82.840015321739202</v>
      </c>
      <c r="AO87" s="62">
        <f t="shared" si="90"/>
        <v>101.40622074610098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47.401216790584037</v>
      </c>
      <c r="AV87" s="23">
        <f>EXP(-LN(2)/25)*AV86+(1-EXP(-LN(2)/25))/(LN(2)/25)*Calculateur!AQ87*Calculateur!AS87*VLOOKUP('Données projet'!$B$10,Paramètres!$A$1:$I$88,3,0)*0.475*44/12</f>
        <v>20.26012937975306</v>
      </c>
      <c r="AW87" s="23">
        <f>EXP(-LN(2)/2)*AW86+(1-EXP(-LN(2)/2))/(LN(2)/2)*AQ87*AT87*VLOOKUP('Données projet'!$B$10,Paramètres!$A$1:$I$88,3,0)*0.475*44/12</f>
        <v>0</v>
      </c>
      <c r="AX87" s="23">
        <f t="shared" si="60"/>
        <v>67.661346170337097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169.99999999999983</v>
      </c>
      <c r="BE87" s="14">
        <f>BD87*VLOOKUP('Données projet'!$B$11,Paramètres!$A$1:$I$88,3,0)*VLOOKUP('Données projet'!$B$11,Paramètres!$A$1:$I$88,5,0)</f>
        <v>101.65999999999991</v>
      </c>
      <c r="BF87" s="14">
        <f t="shared" si="91"/>
        <v>27.357089923704745</v>
      </c>
      <c r="BG87" s="22">
        <f t="shared" si="61"/>
        <v>224.70476495045224</v>
      </c>
      <c r="BH87" s="62">
        <f t="shared" si="62"/>
        <v>518.03809828378553</v>
      </c>
      <c r="BI87" s="62">
        <f ca="1">AVERAGE(OFFSET($BH$3,0,0,'Données projet'!$E$11+1,1))-AVERAGE(OFFSET($H$3,0,0,'Données projet'!$E$11+1,1))</f>
        <v>83.354474428753292</v>
      </c>
      <c r="BJ87" s="62">
        <f t="shared" si="92"/>
        <v>97.75861379589162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7.9910365393746607</v>
      </c>
      <c r="BQ87" s="23">
        <f>EXP(-LN(2)/25)*BQ86+(1-EXP(-LN(2)/25))/(LN(2)/25)*Calculateur!BL87*Calculateur!BN87*VLOOKUP('Données projet'!$B$11,Paramètres!$A$1:$I$88,3,0)*0.475*44/12</f>
        <v>5.993933905872507</v>
      </c>
      <c r="BR87" s="23">
        <f>EXP(-LN(2)/2)*BR86+(1-EXP(-LN(2)/2))/(LN(2)/2)*BL87*BO87*VLOOKUP('Données projet'!$B$11,Paramètres!$A$1:$I$88,3,0)*0.475*44/12</f>
        <v>0</v>
      </c>
      <c r="BS87" s="24">
        <f t="shared" si="63"/>
        <v>13.984970445247168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projet'!$B$12,Paramètres!$A$1:$I$88,3,0)*0.475*44/12</f>
        <v>#N/A</v>
      </c>
      <c r="CL87" s="23" t="e">
        <f>EXP(-LN(2)/25)*CL86+(1-EXP(-LN(2)/25))/(LN(2)/25)*Calculateur!CG87*Calculateur!CI87*VLOOKUP('Données projet'!$B$12,Paramètres!$A$1:$I$88,3,0)*0.475*44/12</f>
        <v>#N/A</v>
      </c>
      <c r="CM87" s="23" t="e">
        <f>EXP(-LN(2)/2)*CM86+(1-EXP(-LN(2)/2))/(LN(2)/2)*CG87*CJ87*VLOOKUP('Données projet'!$B$12,Paramètres!$A$1:$I$88,3,0)*0.475*44/12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62.321999999999854</v>
      </c>
      <c r="D88" s="12">
        <f t="shared" si="86"/>
        <v>17.754039836243663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618.13083382363436</v>
      </c>
      <c r="H88" s="70">
        <f t="shared" si="56"/>
        <v>432.79910271479082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6.1</v>
      </c>
      <c r="N88" s="14">
        <f>IF('Données projet'!$A$36&gt;35,N87+M88-V87,IF(A88&lt;'Données projet'!$A$36,$K$205^A88,IF(A88='Données projet'!$A$36,'Données projet'!$B$36,N87+M88-V87)))</f>
        <v>383.10000000000008</v>
      </c>
      <c r="O88" s="14">
        <f>N88*VLOOKUP('Données projet'!$B$9,Paramètres!$A$1:$I$88,3,0)*VLOOKUP('Données projet'!$B$9,Paramètres!$A$1:$I$88,5,0)</f>
        <v>214.15290000000005</v>
      </c>
      <c r="P88" s="14">
        <f t="shared" si="87"/>
        <v>52.842061941841237</v>
      </c>
      <c r="Q88" s="22">
        <f t="shared" si="54"/>
        <v>465.01622538204015</v>
      </c>
      <c r="R88" s="62">
        <f t="shared" si="55"/>
        <v>758.3495587153734</v>
      </c>
      <c r="S88" s="62">
        <f ca="1">AVERAGE(OFFSET($R$3,0,0,'Données projet'!$E$9+1,1))-AVERAGE(OFFSET($H$3,0,0,'Données projet'!$E$9+1,1))</f>
        <v>222.18341301864729</v>
      </c>
      <c r="T88" s="62">
        <f t="shared" si="88"/>
        <v>172.63628480089358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57.289842083324928</v>
      </c>
      <c r="AA88" s="23">
        <f>EXP(-LN(2)/25)*AA87+(1-EXP(-LN(2)/25))/(LN(2)/25)*Calculateur!V88*Calculateur!X88*VLOOKUP('Données projet'!$B$9,Paramètres!$A$1:$I$88,3,0)*0.475*44/12</f>
        <v>26.266738148854603</v>
      </c>
      <c r="AB88" s="23">
        <f>EXP(-LN(2)/2)*AB87+(1-EXP(-LN(2)/2))/(LN(2)/2)*V88*Y88*VLOOKUP('Données projet'!$B$9,Paramètres!$A$1:$I$88,3,0)*0.475*44/12</f>
        <v>0</v>
      </c>
      <c r="AC88" s="24">
        <f t="shared" si="57"/>
        <v>83.556580232179527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projet'!$B$10,Paramètres!$A$1:$I$88,3,0)*VLOOKUP('Données projet'!$B$10,Paramètres!$A$1:$I$88,5,0)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82.840015321739202</v>
      </c>
      <c r="AO88" s="62">
        <f t="shared" si="90"/>
        <v>101.40622074610098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46.471707841208115</v>
      </c>
      <c r="AV88" s="23">
        <f>EXP(-LN(2)/25)*AV87+(1-EXP(-LN(2)/25))/(LN(2)/25)*Calculateur!AQ88*Calculateur!AS88*VLOOKUP('Données projet'!$B$10,Paramètres!$A$1:$I$88,3,0)*0.475*44/12</f>
        <v>19.706115076429814</v>
      </c>
      <c r="AW88" s="23">
        <f>EXP(-LN(2)/2)*AW87+(1-EXP(-LN(2)/2))/(LN(2)/2)*AQ88*AT88*VLOOKUP('Données projet'!$B$10,Paramètres!$A$1:$I$88,3,0)*0.475*44/12</f>
        <v>0</v>
      </c>
      <c r="AX88" s="23">
        <f t="shared" si="60"/>
        <v>66.177822917637926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169.99999999999983</v>
      </c>
      <c r="BE88" s="14">
        <f>BD88*VLOOKUP('Données projet'!$B$11,Paramètres!$A$1:$I$88,3,0)*VLOOKUP('Données projet'!$B$11,Paramètres!$A$1:$I$88,5,0)</f>
        <v>101.65999999999991</v>
      </c>
      <c r="BF88" s="14">
        <f t="shared" si="91"/>
        <v>27.357089923704745</v>
      </c>
      <c r="BG88" s="22">
        <f t="shared" si="61"/>
        <v>224.70476495045224</v>
      </c>
      <c r="BH88" s="62">
        <f t="shared" si="62"/>
        <v>518.03809828378553</v>
      </c>
      <c r="BI88" s="62">
        <f ca="1">AVERAGE(OFFSET($BH$3,0,0,'Données projet'!$E$11+1,1))-AVERAGE(OFFSET($H$3,0,0,'Données projet'!$E$11+1,1))</f>
        <v>83.354474428753292</v>
      </c>
      <c r="BJ88" s="62">
        <f t="shared" si="92"/>
        <v>97.75861379589162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7.8343371868885399</v>
      </c>
      <c r="BQ88" s="23">
        <f>EXP(-LN(2)/25)*BQ87+(1-EXP(-LN(2)/25))/(LN(2)/25)*Calculateur!BL88*Calculateur!BN88*VLOOKUP('Données projet'!$B$11,Paramètres!$A$1:$I$88,3,0)*0.475*44/12</f>
        <v>5.8300294680091387</v>
      </c>
      <c r="BR88" s="23">
        <f>EXP(-LN(2)/2)*BR87+(1-EXP(-LN(2)/2))/(LN(2)/2)*BL88*BO88*VLOOKUP('Données projet'!$B$11,Paramètres!$A$1:$I$88,3,0)*0.475*44/12</f>
        <v>0</v>
      </c>
      <c r="BS88" s="24">
        <f t="shared" si="63"/>
        <v>13.664366654897679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projet'!$B$12,Paramètres!$A$1:$I$88,3,0)*0.475*44/12</f>
        <v>#N/A</v>
      </c>
      <c r="CL88" s="23" t="e">
        <f>EXP(-LN(2)/25)*CL87+(1-EXP(-LN(2)/25))/(LN(2)/25)*Calculateur!CG88*Calculateur!CI88*VLOOKUP('Données projet'!$B$12,Paramètres!$A$1:$I$88,3,0)*0.475*44/12</f>
        <v>#N/A</v>
      </c>
      <c r="CM88" s="23" t="e">
        <f>EXP(-LN(2)/2)*CM87+(1-EXP(-LN(2)/2))/(LN(2)/2)*CG88*CJ88*VLOOKUP('Données projet'!$B$12,Paramètres!$A$1:$I$88,3,0)*0.475*44/12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63.05519999999985</v>
      </c>
      <c r="D89" s="12">
        <f t="shared" si="86"/>
        <v>17.93847248367711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625.21431390908526</v>
      </c>
      <c r="H89" s="70">
        <f t="shared" si="56"/>
        <v>434.39731290907071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6.1</v>
      </c>
      <c r="N89" s="14">
        <f>IF('Données projet'!$A$36&gt;35,N88+M89-V88,IF(A89&lt;'Données projet'!$A$36,$K$205^A89,IF(A89='Données projet'!$A$36,'Données projet'!$B$36,N88+M89-V88)))</f>
        <v>389.2000000000001</v>
      </c>
      <c r="O89" s="14">
        <f>N89*VLOOKUP('Données projet'!$B$9,Paramètres!$A$1:$I$88,3,0)*VLOOKUP('Données projet'!$B$9,Paramètres!$A$1:$I$88,5,0)</f>
        <v>217.56280000000007</v>
      </c>
      <c r="P89" s="14">
        <f t="shared" si="87"/>
        <v>53.584829393231026</v>
      </c>
      <c r="Q89" s="22">
        <f t="shared" si="54"/>
        <v>472.2487878598775</v>
      </c>
      <c r="R89" s="62">
        <f t="shared" si="55"/>
        <v>765.58212119321081</v>
      </c>
      <c r="S89" s="62">
        <f ca="1">AVERAGE(OFFSET($R$3,0,0,'Données projet'!$E$9+1,1))-AVERAGE(OFFSET($H$3,0,0,'Données projet'!$E$9+1,1))</f>
        <v>222.18341301864729</v>
      </c>
      <c r="T89" s="62">
        <f t="shared" si="88"/>
        <v>172.63628480089358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56.166423223424225</v>
      </c>
      <c r="AA89" s="23">
        <f>EXP(-LN(2)/25)*AA88+(1-EXP(-LN(2)/25))/(LN(2)/25)*Calculateur!V89*Calculateur!X89*VLOOKUP('Données projet'!$B$9,Paramètres!$A$1:$I$88,3,0)*0.475*44/12</f>
        <v>25.54847281286645</v>
      </c>
      <c r="AB89" s="23">
        <f>EXP(-LN(2)/2)*AB88+(1-EXP(-LN(2)/2))/(LN(2)/2)*V89*Y89*VLOOKUP('Données projet'!$B$9,Paramètres!$A$1:$I$88,3,0)*0.475*44/12</f>
        <v>0</v>
      </c>
      <c r="AC89" s="24">
        <f t="shared" si="57"/>
        <v>81.714896036290668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projet'!$B$10,Paramètres!$A$1:$I$88,3,0)*VLOOKUP('Données projet'!$B$10,Paramètres!$A$1:$I$88,5,0)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82.840015321739202</v>
      </c>
      <c r="AO89" s="62">
        <f t="shared" si="90"/>
        <v>101.40622074610098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45.560425995384975</v>
      </c>
      <c r="AV89" s="23">
        <f>EXP(-LN(2)/25)*AV88+(1-EXP(-LN(2)/25))/(LN(2)/25)*Calculateur!AQ89*Calculateur!AS89*VLOOKUP('Données projet'!$B$10,Paramètres!$A$1:$I$88,3,0)*0.475*44/12</f>
        <v>19.167250323365288</v>
      </c>
      <c r="AW89" s="23">
        <f>EXP(-LN(2)/2)*AW88+(1-EXP(-LN(2)/2))/(LN(2)/2)*AQ89*AT89*VLOOKUP('Données projet'!$B$10,Paramètres!$A$1:$I$88,3,0)*0.475*44/12</f>
        <v>0</v>
      </c>
      <c r="AX89" s="23">
        <f t="shared" si="60"/>
        <v>64.72767631875027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169.99999999999983</v>
      </c>
      <c r="BE89" s="14">
        <f>BD89*VLOOKUP('Données projet'!$B$11,Paramètres!$A$1:$I$88,3,0)*VLOOKUP('Données projet'!$B$11,Paramètres!$A$1:$I$88,5,0)</f>
        <v>101.65999999999991</v>
      </c>
      <c r="BF89" s="14">
        <f t="shared" si="91"/>
        <v>27.357089923704745</v>
      </c>
      <c r="BG89" s="22">
        <f t="shared" si="61"/>
        <v>224.70476495045224</v>
      </c>
      <c r="BH89" s="62">
        <f t="shared" si="62"/>
        <v>518.03809828378553</v>
      </c>
      <c r="BI89" s="62">
        <f ca="1">AVERAGE(OFFSET($BH$3,0,0,'Données projet'!$E$11+1,1))-AVERAGE(OFFSET($H$3,0,0,'Données projet'!$E$11+1,1))</f>
        <v>83.354474428753292</v>
      </c>
      <c r="BJ89" s="62">
        <f t="shared" si="92"/>
        <v>97.75861379589162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7.6807106131275047</v>
      </c>
      <c r="BQ89" s="23">
        <f>EXP(-LN(2)/25)*BQ88+(1-EXP(-LN(2)/25))/(LN(2)/25)*Calculateur!BL89*Calculateur!BN89*VLOOKUP('Données projet'!$B$11,Paramètres!$A$1:$I$88,3,0)*0.475*44/12</f>
        <v>5.6706070056185034</v>
      </c>
      <c r="BR89" s="23">
        <f>EXP(-LN(2)/2)*BR88+(1-EXP(-LN(2)/2))/(LN(2)/2)*BL89*BO89*VLOOKUP('Données projet'!$B$11,Paramètres!$A$1:$I$88,3,0)*0.475*44/12</f>
        <v>0</v>
      </c>
      <c r="BS89" s="24">
        <f t="shared" si="63"/>
        <v>13.351317618746009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projet'!$B$12,Paramètres!$A$1:$I$88,3,0)*0.475*44/12</f>
        <v>#N/A</v>
      </c>
      <c r="CL89" s="23" t="e">
        <f>EXP(-LN(2)/25)*CL88+(1-EXP(-LN(2)/25))/(LN(2)/25)*Calculateur!CG89*Calculateur!CI89*VLOOKUP('Données projet'!$B$12,Paramètres!$A$1:$I$88,3,0)*0.475*44/12</f>
        <v>#N/A</v>
      </c>
      <c r="CM89" s="23" t="e">
        <f>EXP(-LN(2)/2)*CM88+(1-EXP(-LN(2)/2))/(LN(2)/2)*CG89*CJ89*VLOOKUP('Données projet'!$B$12,Paramètres!$A$1:$I$88,3,0)*0.475*44/12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63.788399999999847</v>
      </c>
      <c r="D90" s="12">
        <f t="shared" si="86"/>
        <v>18.122655666579583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632.29586830342021</v>
      </c>
      <c r="H90" s="70">
        <f t="shared" si="56"/>
        <v>435.99508861929246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6.1</v>
      </c>
      <c r="N90" s="14">
        <f>IF('Données projet'!$A$36&gt;35,N89+M90-V89,IF(A90&lt;'Données projet'!$A$36,$K$205^A90,IF(A90='Données projet'!$A$36,'Données projet'!$B$36,N89+M90-V89)))</f>
        <v>395.30000000000013</v>
      </c>
      <c r="O90" s="14">
        <f>N90*VLOOKUP('Données projet'!$B$9,Paramètres!$A$1:$I$88,3,0)*VLOOKUP('Données projet'!$B$9,Paramètres!$A$1:$I$88,5,0)</f>
        <v>220.97270000000006</v>
      </c>
      <c r="P90" s="14">
        <f t="shared" si="87"/>
        <v>54.326242947845202</v>
      </c>
      <c r="Q90" s="22">
        <f t="shared" si="54"/>
        <v>479.4789923008305</v>
      </c>
      <c r="R90" s="62">
        <f t="shared" si="55"/>
        <v>772.81232563416381</v>
      </c>
      <c r="S90" s="62">
        <f ca="1">AVERAGE(OFFSET($R$3,0,0,'Données projet'!$E$9+1,1))-AVERAGE(OFFSET($H$3,0,0,'Données projet'!$E$9+1,1))</f>
        <v>222.18341301864729</v>
      </c>
      <c r="T90" s="62">
        <f t="shared" si="88"/>
        <v>172.63628480089358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55.065033922148331</v>
      </c>
      <c r="AA90" s="23">
        <f>EXP(-LN(2)/25)*AA89+(1-EXP(-LN(2)/25))/(LN(2)/25)*Calculateur!V90*Calculateur!X90*VLOOKUP('Données projet'!$B$9,Paramètres!$A$1:$I$88,3,0)*0.475*44/12</f>
        <v>24.849848480262825</v>
      </c>
      <c r="AB90" s="23">
        <f>EXP(-LN(2)/2)*AB89+(1-EXP(-LN(2)/2))/(LN(2)/2)*V90*Y90*VLOOKUP('Données projet'!$B$9,Paramètres!$A$1:$I$88,3,0)*0.475*44/12</f>
        <v>0</v>
      </c>
      <c r="AC90" s="24">
        <f t="shared" si="57"/>
        <v>79.914882402411152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projet'!$B$10,Paramètres!$A$1:$I$88,3,0)*VLOOKUP('Données projet'!$B$10,Paramètres!$A$1:$I$88,5,0)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82.840015321739202</v>
      </c>
      <c r="AO90" s="62">
        <f t="shared" si="90"/>
        <v>101.40622074610098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44.667013830731385</v>
      </c>
      <c r="AV90" s="23">
        <f>EXP(-LN(2)/25)*AV89+(1-EXP(-LN(2)/25))/(LN(2)/25)*Calculateur!AQ90*Calculateur!AS90*VLOOKUP('Données projet'!$B$10,Paramètres!$A$1:$I$88,3,0)*0.475*44/12</f>
        <v>18.643120855310976</v>
      </c>
      <c r="AW90" s="23">
        <f>EXP(-LN(2)/2)*AW89+(1-EXP(-LN(2)/2))/(LN(2)/2)*AQ90*AT90*VLOOKUP('Données projet'!$B$10,Paramètres!$A$1:$I$88,3,0)*0.475*44/12</f>
        <v>0</v>
      </c>
      <c r="AX90" s="23">
        <f t="shared" si="60"/>
        <v>63.31013468604236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169.99999999999983</v>
      </c>
      <c r="BE90" s="14">
        <f>BD90*VLOOKUP('Données projet'!$B$11,Paramètres!$A$1:$I$88,3,0)*VLOOKUP('Données projet'!$B$11,Paramètres!$A$1:$I$88,5,0)</f>
        <v>101.65999999999991</v>
      </c>
      <c r="BF90" s="14">
        <f t="shared" si="91"/>
        <v>27.357089923704745</v>
      </c>
      <c r="BG90" s="22">
        <f t="shared" si="61"/>
        <v>224.70476495045224</v>
      </c>
      <c r="BH90" s="62">
        <f t="shared" si="62"/>
        <v>518.03809828378553</v>
      </c>
      <c r="BI90" s="62">
        <f ca="1">AVERAGE(OFFSET($BH$3,0,0,'Données projet'!$E$11+1,1))-AVERAGE(OFFSET($H$3,0,0,'Données projet'!$E$11+1,1))</f>
        <v>83.354474428753292</v>
      </c>
      <c r="BJ90" s="62">
        <f t="shared" si="92"/>
        <v>97.75861379589162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7.5300965627749656</v>
      </c>
      <c r="BQ90" s="23">
        <f>EXP(-LN(2)/25)*BQ89+(1-EXP(-LN(2)/25))/(LN(2)/25)*Calculateur!BL90*Calculateur!BN90*VLOOKUP('Données projet'!$B$11,Paramètres!$A$1:$I$88,3,0)*0.475*44/12</f>
        <v>5.515543958845603</v>
      </c>
      <c r="BR90" s="23">
        <f>EXP(-LN(2)/2)*BR89+(1-EXP(-LN(2)/2))/(LN(2)/2)*BL90*BO90*VLOOKUP('Données projet'!$B$11,Paramètres!$A$1:$I$88,3,0)*0.475*44/12</f>
        <v>0</v>
      </c>
      <c r="BS90" s="24">
        <f t="shared" si="63"/>
        <v>13.04564052162057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projet'!$B$12,Paramètres!$A$1:$I$88,3,0)*0.475*44/12</f>
        <v>#N/A</v>
      </c>
      <c r="CL90" s="23" t="e">
        <f>EXP(-LN(2)/25)*CL89+(1-EXP(-LN(2)/25))/(LN(2)/25)*Calculateur!CG90*Calculateur!CI90*VLOOKUP('Données projet'!$B$12,Paramètres!$A$1:$I$88,3,0)*0.475*44/12</f>
        <v>#N/A</v>
      </c>
      <c r="CM90" s="23" t="e">
        <f>EXP(-LN(2)/2)*CM89+(1-EXP(-LN(2)/2))/(LN(2)/2)*CG90*CJ90*VLOOKUP('Données projet'!$B$12,Paramètres!$A$1:$I$88,3,0)*0.475*44/12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64.52159999999985</v>
      </c>
      <c r="D91" s="12">
        <f t="shared" si="86"/>
        <v>18.30659258412695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639.37552170203151</v>
      </c>
      <c r="H91" s="70">
        <f t="shared" si="56"/>
        <v>437.59243541735412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6.1</v>
      </c>
      <c r="N91" s="14">
        <f>IF('Données projet'!$A$36&gt;35,N90+M91-V90,IF(A91&lt;'Données projet'!$A$36,$K$205^A91,IF(A91='Données projet'!$A$36,'Données projet'!$B$36,N90+M91-V90)))</f>
        <v>401.40000000000015</v>
      </c>
      <c r="O91" s="14">
        <f>N91*VLOOKUP('Données projet'!$B$9,Paramètres!$A$1:$I$88,3,0)*VLOOKUP('Données projet'!$B$9,Paramètres!$A$1:$I$88,5,0)</f>
        <v>224.38260000000008</v>
      </c>
      <c r="P91" s="14">
        <f t="shared" si="87"/>
        <v>55.06632591089992</v>
      </c>
      <c r="Q91" s="22">
        <f t="shared" si="54"/>
        <v>486.7068792948175</v>
      </c>
      <c r="R91" s="62">
        <f t="shared" si="55"/>
        <v>780.04021262815081</v>
      </c>
      <c r="S91" s="62">
        <f ca="1">AVERAGE(OFFSET($R$3,0,0,'Données projet'!$E$9+1,1))-AVERAGE(OFFSET($H$3,0,0,'Données projet'!$E$9+1,1))</f>
        <v>222.18341301864729</v>
      </c>
      <c r="T91" s="62">
        <f t="shared" si="88"/>
        <v>172.63628480089358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53.985242193289317</v>
      </c>
      <c r="AA91" s="23">
        <f>EXP(-LN(2)/25)*AA90+(1-EXP(-LN(2)/25))/(LN(2)/25)*Calculateur!V91*Calculateur!X91*VLOOKUP('Données projet'!$B$9,Paramètres!$A$1:$I$88,3,0)*0.475*44/12</f>
        <v>24.170328066773301</v>
      </c>
      <c r="AB91" s="23">
        <f>EXP(-LN(2)/2)*AB90+(1-EXP(-LN(2)/2))/(LN(2)/2)*V91*Y91*VLOOKUP('Données projet'!$B$9,Paramètres!$A$1:$I$88,3,0)*0.475*44/12</f>
        <v>0</v>
      </c>
      <c r="AC91" s="24">
        <f t="shared" si="57"/>
        <v>78.155570260062618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projet'!$B$10,Paramètres!$A$1:$I$88,3,0)*VLOOKUP('Données projet'!$B$10,Paramètres!$A$1:$I$88,5,0)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82.840015321739202</v>
      </c>
      <c r="AO91" s="62">
        <f t="shared" si="90"/>
        <v>101.40622074610098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43.791120933699041</v>
      </c>
      <c r="AV91" s="23">
        <f>EXP(-LN(2)/25)*AV90+(1-EXP(-LN(2)/25))/(LN(2)/25)*Calculateur!AQ91*Calculateur!AS91*VLOOKUP('Données projet'!$B$10,Paramètres!$A$1:$I$88,3,0)*0.475*44/12</f>
        <v>18.13332373512338</v>
      </c>
      <c r="AW91" s="23">
        <f>EXP(-LN(2)/2)*AW90+(1-EXP(-LN(2)/2))/(LN(2)/2)*AQ91*AT91*VLOOKUP('Données projet'!$B$10,Paramètres!$A$1:$I$88,3,0)*0.475*44/12</f>
        <v>0</v>
      </c>
      <c r="AX91" s="23">
        <f t="shared" si="60"/>
        <v>61.924444668822417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169.99999999999983</v>
      </c>
      <c r="BE91" s="14">
        <f>BD91*VLOOKUP('Données projet'!$B$11,Paramètres!$A$1:$I$88,3,0)*VLOOKUP('Données projet'!$B$11,Paramètres!$A$1:$I$88,5,0)</f>
        <v>101.65999999999991</v>
      </c>
      <c r="BF91" s="14">
        <f t="shared" si="91"/>
        <v>27.357089923704745</v>
      </c>
      <c r="BG91" s="22">
        <f t="shared" si="61"/>
        <v>224.70476495045224</v>
      </c>
      <c r="BH91" s="62">
        <f t="shared" si="62"/>
        <v>518.03809828378553</v>
      </c>
      <c r="BI91" s="62">
        <f ca="1">AVERAGE(OFFSET($BH$3,0,0,'Données projet'!$E$11+1,1))-AVERAGE(OFFSET($H$3,0,0,'Données projet'!$E$11+1,1))</f>
        <v>83.354474428753292</v>
      </c>
      <c r="BJ91" s="62">
        <f t="shared" si="92"/>
        <v>97.75861379589162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7.3824359620843403</v>
      </c>
      <c r="BQ91" s="23">
        <f>EXP(-LN(2)/25)*BQ90+(1-EXP(-LN(2)/25))/(LN(2)/25)*Calculateur!BL91*Calculateur!BN91*VLOOKUP('Données projet'!$B$11,Paramètres!$A$1:$I$88,3,0)*0.475*44/12</f>
        <v>5.3647211192411195</v>
      </c>
      <c r="BR91" s="23">
        <f>EXP(-LN(2)/2)*BR90+(1-EXP(-LN(2)/2))/(LN(2)/2)*BL91*BO91*VLOOKUP('Données projet'!$B$11,Paramètres!$A$1:$I$88,3,0)*0.475*44/12</f>
        <v>0</v>
      </c>
      <c r="BS91" s="24">
        <f t="shared" si="63"/>
        <v>12.74715708132546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projet'!$B$12,Paramètres!$A$1:$I$88,3,0)*0.475*44/12</f>
        <v>#N/A</v>
      </c>
      <c r="CL91" s="23" t="e">
        <f>EXP(-LN(2)/25)*CL90+(1-EXP(-LN(2)/25))/(LN(2)/25)*Calculateur!CG91*Calculateur!CI91*VLOOKUP('Données projet'!$B$12,Paramètres!$A$1:$I$88,3,0)*0.475*44/12</f>
        <v>#N/A</v>
      </c>
      <c r="CM91" s="23" t="e">
        <f>EXP(-LN(2)/2)*CM90+(1-EXP(-LN(2)/2))/(LN(2)/2)*CG91*CJ91*VLOOKUP('Données projet'!$B$12,Paramètres!$A$1:$I$88,3,0)*0.475*44/12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65.254799999999847</v>
      </c>
      <c r="D92" s="12">
        <f t="shared" si="86"/>
        <v>18.490286358600777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646.45329820674169</v>
      </c>
      <c r="H92" s="70">
        <f t="shared" si="56"/>
        <v>439.1893587412294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6.1</v>
      </c>
      <c r="N92" s="14">
        <f>IF('Données projet'!$A$36&gt;35,N91+M92-V91,IF(A92&lt;'Données projet'!$A$36,$K$205^A92,IF(A92='Données projet'!$A$36,'Données projet'!$B$36,N91+M92-V91)))</f>
        <v>407.50000000000017</v>
      </c>
      <c r="O92" s="14">
        <f>N92*VLOOKUP('Données projet'!$B$9,Paramètres!$A$1:$I$88,3,0)*VLOOKUP('Données projet'!$B$9,Paramètres!$A$1:$I$88,5,0)</f>
        <v>227.7925000000001</v>
      </c>
      <c r="P92" s="14">
        <f t="shared" si="87"/>
        <v>55.805100838632903</v>
      </c>
      <c r="Q92" s="22">
        <f t="shared" si="54"/>
        <v>493.93248812728581</v>
      </c>
      <c r="R92" s="62">
        <f t="shared" si="55"/>
        <v>787.26582146061912</v>
      </c>
      <c r="S92" s="62">
        <f ca="1">AVERAGE(OFFSET($R$3,0,0,'Données projet'!$E$9+1,1))-AVERAGE(OFFSET($H$3,0,0,'Données projet'!$E$9+1,1))</f>
        <v>222.18341301864729</v>
      </c>
      <c r="T92" s="62">
        <f t="shared" si="88"/>
        <v>172.63628480089358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52.926624521625307</v>
      </c>
      <c r="AA92" s="23">
        <f>EXP(-LN(2)/25)*AA91+(1-EXP(-LN(2)/25))/(LN(2)/25)*Calculateur!V92*Calculateur!X92*VLOOKUP('Données projet'!$B$9,Paramètres!$A$1:$I$88,3,0)*0.475*44/12</f>
        <v>23.509389174725076</v>
      </c>
      <c r="AB92" s="23">
        <f>EXP(-LN(2)/2)*AB91+(1-EXP(-LN(2)/2))/(LN(2)/2)*V92*Y92*VLOOKUP('Données projet'!$B$9,Paramètres!$A$1:$I$88,3,0)*0.475*44/12</f>
        <v>0</v>
      </c>
      <c r="AC92" s="24">
        <f t="shared" si="57"/>
        <v>76.436013696350386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projet'!$B$10,Paramètres!$A$1:$I$88,3,0)*VLOOKUP('Données projet'!$B$10,Paramètres!$A$1:$I$88,5,0)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82.840015321739202</v>
      </c>
      <c r="AO92" s="62">
        <f t="shared" si="90"/>
        <v>101.40622074610098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42.932403762135586</v>
      </c>
      <c r="AV92" s="23">
        <f>EXP(-LN(2)/25)*AV91+(1-EXP(-LN(2)/25))/(LN(2)/25)*Calculateur!AQ92*Calculateur!AS92*VLOOKUP('Données projet'!$B$10,Paramètres!$A$1:$I$88,3,0)*0.475*44/12</f>
        <v>17.637467043996381</v>
      </c>
      <c r="AW92" s="23">
        <f>EXP(-LN(2)/2)*AW91+(1-EXP(-LN(2)/2))/(LN(2)/2)*AQ92*AT92*VLOOKUP('Données projet'!$B$10,Paramètres!$A$1:$I$88,3,0)*0.475*44/12</f>
        <v>0</v>
      </c>
      <c r="AX92" s="23">
        <f t="shared" si="60"/>
        <v>60.569870806131966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169.99999999999983</v>
      </c>
      <c r="BE92" s="14">
        <f>BD92*VLOOKUP('Données projet'!$B$11,Paramètres!$A$1:$I$88,3,0)*VLOOKUP('Données projet'!$B$11,Paramètres!$A$1:$I$88,5,0)</f>
        <v>101.65999999999991</v>
      </c>
      <c r="BF92" s="14">
        <f t="shared" si="91"/>
        <v>27.357089923704745</v>
      </c>
      <c r="BG92" s="22">
        <f t="shared" si="61"/>
        <v>224.70476495045224</v>
      </c>
      <c r="BH92" s="62">
        <f t="shared" si="62"/>
        <v>518.03809828378553</v>
      </c>
      <c r="BI92" s="62">
        <f ca="1">AVERAGE(OFFSET($BH$3,0,0,'Données projet'!$E$11+1,1))-AVERAGE(OFFSET($H$3,0,0,'Données projet'!$E$11+1,1))</f>
        <v>83.354474428753292</v>
      </c>
      <c r="BJ92" s="62">
        <f t="shared" si="92"/>
        <v>97.75861379589162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7.2376708957091846</v>
      </c>
      <c r="BQ92" s="23">
        <f>EXP(-LN(2)/25)*BQ91+(1-EXP(-LN(2)/25))/(LN(2)/25)*Calculateur!BL92*Calculateur!BN92*VLOOKUP('Données projet'!$B$11,Paramètres!$A$1:$I$88,3,0)*0.475*44/12</f>
        <v>5.2180225381170491</v>
      </c>
      <c r="BR92" s="23">
        <f>EXP(-LN(2)/2)*BR91+(1-EXP(-LN(2)/2))/(LN(2)/2)*BL92*BO92*VLOOKUP('Données projet'!$B$11,Paramètres!$A$1:$I$88,3,0)*0.475*44/12</f>
        <v>0</v>
      </c>
      <c r="BS92" s="24">
        <f t="shared" si="63"/>
        <v>12.455693433826234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projet'!$B$12,Paramètres!$A$1:$I$88,3,0)*0.475*44/12</f>
        <v>#N/A</v>
      </c>
      <c r="CL92" s="23" t="e">
        <f>EXP(-LN(2)/25)*CL91+(1-EXP(-LN(2)/25))/(LN(2)/25)*Calculateur!CG92*Calculateur!CI92*VLOOKUP('Données projet'!$B$12,Paramètres!$A$1:$I$88,3,0)*0.475*44/12</f>
        <v>#N/A</v>
      </c>
      <c r="CM92" s="23" t="e">
        <f>EXP(-LN(2)/2)*CM91+(1-EXP(-LN(2)/2))/(LN(2)/2)*CG92*CJ92*VLOOKUP('Données projet'!$B$12,Paramètres!$A$1:$I$88,3,0)*0.475*44/12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65.987999999999843</v>
      </c>
      <c r="D93" s="12">
        <f t="shared" si="86"/>
        <v>18.673740038079401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653.52922134657672</v>
      </c>
      <c r="H93" s="70">
        <f t="shared" si="56"/>
        <v>440.78586389965466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6.1</v>
      </c>
      <c r="N93" s="14">
        <f>IF('Données projet'!$A$36&gt;35,N92+M93-V92,IF(A93&lt;'Données projet'!$A$36,$K$205^A93,IF(A93='Données projet'!$A$36,'Données projet'!$B$36,N92+M93-V92)))</f>
        <v>413.60000000000019</v>
      </c>
      <c r="O93" s="14">
        <f>N93*VLOOKUP('Données projet'!$B$9,Paramètres!$A$1:$I$88,3,0)*VLOOKUP('Données projet'!$B$9,Paramètres!$A$1:$I$88,5,0)</f>
        <v>231.2024000000001</v>
      </c>
      <c r="P93" s="14">
        <f t="shared" si="87"/>
        <v>56.542589573218741</v>
      </c>
      <c r="Q93" s="22">
        <f t="shared" si="54"/>
        <v>501.15585684002275</v>
      </c>
      <c r="R93" s="62">
        <f t="shared" si="55"/>
        <v>794.48919017335606</v>
      </c>
      <c r="S93" s="62">
        <f ca="1">AVERAGE(OFFSET($R$3,0,0,'Données projet'!$E$9+1,1))-AVERAGE(OFFSET($H$3,0,0,'Données projet'!$E$9+1,1))</f>
        <v>222.18341301864729</v>
      </c>
      <c r="T93" s="62">
        <f t="shared" si="88"/>
        <v>172.63628480089358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51.888765696809607</v>
      </c>
      <c r="AA93" s="23">
        <f>EXP(-LN(2)/25)*AA92+(1-EXP(-LN(2)/25))/(LN(2)/25)*Calculateur!V93*Calculateur!X93*VLOOKUP('Données projet'!$B$9,Paramètres!$A$1:$I$88,3,0)*0.475*44/12</f>
        <v>22.866523691437173</v>
      </c>
      <c r="AB93" s="23">
        <f>EXP(-LN(2)/2)*AB92+(1-EXP(-LN(2)/2))/(LN(2)/2)*V93*Y93*VLOOKUP('Données projet'!$B$9,Paramètres!$A$1:$I$88,3,0)*0.475*44/12</f>
        <v>0</v>
      </c>
      <c r="AC93" s="24">
        <f t="shared" si="57"/>
        <v>74.75528938824678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projet'!$B$10,Paramètres!$A$1:$I$88,3,0)*VLOOKUP('Données projet'!$B$10,Paramètres!$A$1:$I$88,5,0)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82.840015321739202</v>
      </c>
      <c r="AO93" s="62">
        <f t="shared" si="90"/>
        <v>101.40622074610098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42.090525510540729</v>
      </c>
      <c r="AV93" s="23">
        <f>EXP(-LN(2)/25)*AV92+(1-EXP(-LN(2)/25))/(LN(2)/25)*Calculateur!AQ93*Calculateur!AS93*VLOOKUP('Données projet'!$B$10,Paramètres!$A$1:$I$88,3,0)*0.475*44/12</f>
        <v>17.15516958016422</v>
      </c>
      <c r="AW93" s="23">
        <f>EXP(-LN(2)/2)*AW92+(1-EXP(-LN(2)/2))/(LN(2)/2)*AQ93*AT93*VLOOKUP('Données projet'!$B$10,Paramètres!$A$1:$I$88,3,0)*0.475*44/12</f>
        <v>0</v>
      </c>
      <c r="AX93" s="23">
        <f t="shared" si="60"/>
        <v>59.245695090704949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169.99999999999983</v>
      </c>
      <c r="BE93" s="14">
        <f>BD93*VLOOKUP('Données projet'!$B$11,Paramètres!$A$1:$I$88,3,0)*VLOOKUP('Données projet'!$B$11,Paramètres!$A$1:$I$88,5,0)</f>
        <v>101.65999999999991</v>
      </c>
      <c r="BF93" s="14">
        <f t="shared" si="91"/>
        <v>27.357089923704745</v>
      </c>
      <c r="BG93" s="22">
        <f t="shared" si="61"/>
        <v>224.70476495045224</v>
      </c>
      <c r="BH93" s="62">
        <f t="shared" si="62"/>
        <v>518.03809828378553</v>
      </c>
      <c r="BI93" s="62">
        <f ca="1">AVERAGE(OFFSET($BH$3,0,0,'Données projet'!$E$11+1,1))-AVERAGE(OFFSET($H$3,0,0,'Données projet'!$E$11+1,1))</f>
        <v>83.354474428753292</v>
      </c>
      <c r="BJ93" s="62">
        <f t="shared" si="92"/>
        <v>97.75861379589162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7.095744583987674</v>
      </c>
      <c r="BQ93" s="23">
        <f>EXP(-LN(2)/25)*BQ92+(1-EXP(-LN(2)/25))/(LN(2)/25)*Calculateur!BL93*Calculateur!BN93*VLOOKUP('Données projet'!$B$11,Paramètres!$A$1:$I$88,3,0)*0.475*44/12</f>
        <v>5.0753354374083592</v>
      </c>
      <c r="BR93" s="23">
        <f>EXP(-LN(2)/2)*BR92+(1-EXP(-LN(2)/2))/(LN(2)/2)*BL93*BO93*VLOOKUP('Données projet'!$B$11,Paramètres!$A$1:$I$88,3,0)*0.475*44/12</f>
        <v>0</v>
      </c>
      <c r="BS93" s="24">
        <f t="shared" si="63"/>
        <v>12.171080021396033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projet'!$B$12,Paramètres!$A$1:$I$88,3,0)*0.475*44/12</f>
        <v>#N/A</v>
      </c>
      <c r="CL93" s="23" t="e">
        <f>EXP(-LN(2)/25)*CL92+(1-EXP(-LN(2)/25))/(LN(2)/25)*Calculateur!CG93*Calculateur!CI93*VLOOKUP('Données projet'!$B$12,Paramètres!$A$1:$I$88,3,0)*0.475*44/12</f>
        <v>#N/A</v>
      </c>
      <c r="CM93" s="23" t="e">
        <f>EXP(-LN(2)/2)*CM92+(1-EXP(-LN(2)/2))/(LN(2)/2)*CG93*CJ93*VLOOKUP('Données projet'!$B$12,Paramètres!$A$1:$I$88,3,0)*0.475*44/12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66.72119999999984</v>
      </c>
      <c r="D94" s="12">
        <f t="shared" si="86"/>
        <v>18.85695659900588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660.60331409758817</v>
      </c>
      <c r="H94" s="70">
        <f t="shared" si="56"/>
        <v>442.38195607660163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6.1</v>
      </c>
      <c r="N94" s="14">
        <f>IF('Données projet'!$A$36&gt;35,N93+M94-V93,IF(A94&lt;'Données projet'!$A$36,$K$205^A94,IF(A94='Données projet'!$A$36,'Données projet'!$B$36,N93+M94-V93)))</f>
        <v>419.70000000000022</v>
      </c>
      <c r="O94" s="14">
        <f>N94*VLOOKUP('Données projet'!$B$9,Paramètres!$A$1:$I$88,3,0)*VLOOKUP('Données projet'!$B$9,Paramètres!$A$1:$I$88,5,0)</f>
        <v>234.61230000000012</v>
      </c>
      <c r="P94" s="14">
        <f t="shared" si="87"/>
        <v>57.278813275565213</v>
      </c>
      <c r="Q94" s="22">
        <f t="shared" si="54"/>
        <v>508.37702228827624</v>
      </c>
      <c r="R94" s="62">
        <f t="shared" si="55"/>
        <v>801.71035562160955</v>
      </c>
      <c r="S94" s="62">
        <f ca="1">AVERAGE(OFFSET($R$3,0,0,'Données projet'!$E$9+1,1))-AVERAGE(OFFSET($H$3,0,0,'Données projet'!$E$9+1,1))</f>
        <v>222.18341301864729</v>
      </c>
      <c r="T94" s="62">
        <f t="shared" si="88"/>
        <v>172.63628480089358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50.871258650517163</v>
      </c>
      <c r="AA94" s="23">
        <f>EXP(-LN(2)/25)*AA93+(1-EXP(-LN(2)/25))/(LN(2)/25)*Calculateur!V94*Calculateur!X94*VLOOKUP('Données projet'!$B$9,Paramètres!$A$1:$I$88,3,0)*0.475*44/12</f>
        <v>22.241237398596606</v>
      </c>
      <c r="AB94" s="23">
        <f>EXP(-LN(2)/2)*AB93+(1-EXP(-LN(2)/2))/(LN(2)/2)*V94*Y94*VLOOKUP('Données projet'!$B$9,Paramètres!$A$1:$I$88,3,0)*0.475*44/12</f>
        <v>0</v>
      </c>
      <c r="AC94" s="24">
        <f t="shared" si="57"/>
        <v>73.112496049113773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projet'!$B$10,Paramètres!$A$1:$I$88,3,0)*VLOOKUP('Données projet'!$B$10,Paramètres!$A$1:$I$88,5,0)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82.840015321739202</v>
      </c>
      <c r="AO94" s="62">
        <f t="shared" si="90"/>
        <v>101.40622074610098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41.265155977964618</v>
      </c>
      <c r="AV94" s="23">
        <f>EXP(-LN(2)/25)*AV93+(1-EXP(-LN(2)/25))/(LN(2)/25)*Calculateur!AQ94*Calculateur!AS94*VLOOKUP('Données projet'!$B$10,Paramètres!$A$1:$I$88,3,0)*0.475*44/12</f>
        <v>16.686060565843469</v>
      </c>
      <c r="AW94" s="23">
        <f>EXP(-LN(2)/2)*AW93+(1-EXP(-LN(2)/2))/(LN(2)/2)*AQ94*AT94*VLOOKUP('Données projet'!$B$10,Paramètres!$A$1:$I$88,3,0)*0.475*44/12</f>
        <v>0</v>
      </c>
      <c r="AX94" s="23">
        <f t="shared" si="60"/>
        <v>57.951216543808087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169.99999999999983</v>
      </c>
      <c r="BE94" s="14">
        <f>BD94*VLOOKUP('Données projet'!$B$11,Paramètres!$A$1:$I$88,3,0)*VLOOKUP('Données projet'!$B$11,Paramètres!$A$1:$I$88,5,0)</f>
        <v>101.65999999999991</v>
      </c>
      <c r="BF94" s="14">
        <f t="shared" si="91"/>
        <v>27.357089923704745</v>
      </c>
      <c r="BG94" s="22">
        <f t="shared" si="61"/>
        <v>224.70476495045224</v>
      </c>
      <c r="BH94" s="62">
        <f t="shared" si="62"/>
        <v>518.03809828378553</v>
      </c>
      <c r="BI94" s="62">
        <f ca="1">AVERAGE(OFFSET($BH$3,0,0,'Données projet'!$E$11+1,1))-AVERAGE(OFFSET($H$3,0,0,'Données projet'!$E$11+1,1))</f>
        <v>83.354474428753292</v>
      </c>
      <c r="BJ94" s="62">
        <f t="shared" si="92"/>
        <v>97.75861379589162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6.9566013606725194</v>
      </c>
      <c r="BQ94" s="23">
        <f>EXP(-LN(2)/25)*BQ93+(1-EXP(-LN(2)/25))/(LN(2)/25)*Calculateur!BL94*Calculateur!BN94*VLOOKUP('Données projet'!$B$11,Paramètres!$A$1:$I$88,3,0)*0.475*44/12</f>
        <v>4.9365501229721369</v>
      </c>
      <c r="BR94" s="23">
        <f>EXP(-LN(2)/2)*BR93+(1-EXP(-LN(2)/2))/(LN(2)/2)*BL94*BO94*VLOOKUP('Données projet'!$B$11,Paramètres!$A$1:$I$88,3,0)*0.475*44/12</f>
        <v>0</v>
      </c>
      <c r="BS94" s="24">
        <f t="shared" si="63"/>
        <v>11.893151483644656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projet'!$B$12,Paramètres!$A$1:$I$88,3,0)*0.475*44/12</f>
        <v>#N/A</v>
      </c>
      <c r="CL94" s="23" t="e">
        <f>EXP(-LN(2)/25)*CL93+(1-EXP(-LN(2)/25))/(LN(2)/25)*Calculateur!CG94*Calculateur!CI94*VLOOKUP('Données projet'!$B$12,Paramètres!$A$1:$I$88,3,0)*0.475*44/12</f>
        <v>#N/A</v>
      </c>
      <c r="CM94" s="23" t="e">
        <f>EXP(-LN(2)/2)*CM93+(1-EXP(-LN(2)/2))/(LN(2)/2)*CG94*CJ94*VLOOKUP('Données projet'!$B$12,Paramètres!$A$1:$I$88,3,0)*0.475*44/12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67.454399999999836</v>
      </c>
      <c r="D95" s="12">
        <f t="shared" si="86"/>
        <v>19.03993894863974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667.67559890177927</v>
      </c>
      <c r="H95" s="70">
        <f t="shared" si="56"/>
        <v>443.97764033554722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6.1</v>
      </c>
      <c r="N95" s="14">
        <f>IF('Données projet'!$A$36&gt;35,N94+M95-V94,IF(A95&lt;'Données projet'!$A$36,$K$205^A95,IF(A95='Données projet'!$A$36,'Données projet'!$B$36,N94+M95-V94)))</f>
        <v>425.80000000000024</v>
      </c>
      <c r="O95" s="14">
        <f>N95*VLOOKUP('Données projet'!$B$9,Paramètres!$A$1:$I$88,3,0)*VLOOKUP('Données projet'!$B$9,Paramètres!$A$1:$I$88,5,0)</f>
        <v>238.02220000000014</v>
      </c>
      <c r="P95" s="14">
        <f t="shared" si="87"/>
        <v>58.013792456149027</v>
      </c>
      <c r="Q95" s="22">
        <f t="shared" si="54"/>
        <v>515.59602019445981</v>
      </c>
      <c r="R95" s="62">
        <f t="shared" si="55"/>
        <v>808.92935352779318</v>
      </c>
      <c r="S95" s="62">
        <f ca="1">AVERAGE(OFFSET($R$3,0,0,'Données projet'!$E$9+1,1))-AVERAGE(OFFSET($H$3,0,0,'Données projet'!$E$9+1,1))</f>
        <v>222.18341301864729</v>
      </c>
      <c r="T95" s="62">
        <f t="shared" si="88"/>
        <v>172.63628480089358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49.873704296784496</v>
      </c>
      <c r="AA95" s="23">
        <f>EXP(-LN(2)/25)*AA94+(1-EXP(-LN(2)/25))/(LN(2)/25)*Calculateur!V95*Calculateur!X95*VLOOKUP('Données projet'!$B$9,Paramètres!$A$1:$I$88,3,0)*0.475*44/12</f>
        <v>21.633049592316141</v>
      </c>
      <c r="AB95" s="23">
        <f>EXP(-LN(2)/2)*AB94+(1-EXP(-LN(2)/2))/(LN(2)/2)*V95*Y95*VLOOKUP('Données projet'!$B$9,Paramètres!$A$1:$I$88,3,0)*0.475*44/12</f>
        <v>0</v>
      </c>
      <c r="AC95" s="24">
        <f t="shared" si="57"/>
        <v>71.506753889100636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projet'!$B$10,Paramètres!$A$1:$I$88,3,0)*VLOOKUP('Données projet'!$B$10,Paramètres!$A$1:$I$88,5,0)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82.840015321739202</v>
      </c>
      <c r="AO95" s="62">
        <f t="shared" si="90"/>
        <v>101.40622074610098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40.455971438496618</v>
      </c>
      <c r="AV95" s="23">
        <f>EXP(-LN(2)/25)*AV94+(1-EXP(-LN(2)/25))/(LN(2)/25)*Calculateur!AQ95*Calculateur!AS95*VLOOKUP('Données projet'!$B$10,Paramètres!$A$1:$I$88,3,0)*0.475*44/12</f>
        <v>16.22977936218869</v>
      </c>
      <c r="AW95" s="23">
        <f>EXP(-LN(2)/2)*AW94+(1-EXP(-LN(2)/2))/(LN(2)/2)*AQ95*AT95*VLOOKUP('Données projet'!$B$10,Paramètres!$A$1:$I$88,3,0)*0.475*44/12</f>
        <v>0</v>
      </c>
      <c r="AX95" s="23">
        <f t="shared" si="60"/>
        <v>56.685750800685312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169.99999999999983</v>
      </c>
      <c r="BE95" s="14">
        <f>BD95*VLOOKUP('Données projet'!$B$11,Paramètres!$A$1:$I$88,3,0)*VLOOKUP('Données projet'!$B$11,Paramètres!$A$1:$I$88,5,0)</f>
        <v>101.65999999999991</v>
      </c>
      <c r="BF95" s="14">
        <f t="shared" si="91"/>
        <v>27.357089923704745</v>
      </c>
      <c r="BG95" s="22">
        <f t="shared" si="61"/>
        <v>224.70476495045224</v>
      </c>
      <c r="BH95" s="62">
        <f t="shared" si="62"/>
        <v>518.03809828378553</v>
      </c>
      <c r="BI95" s="62">
        <f ca="1">AVERAGE(OFFSET($BH$3,0,0,'Données projet'!$E$11+1,1))-AVERAGE(OFFSET($H$3,0,0,'Données projet'!$E$11+1,1))</f>
        <v>83.354474428753292</v>
      </c>
      <c r="BJ95" s="62">
        <f t="shared" si="92"/>
        <v>97.75861379589162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6.8201866510975888</v>
      </c>
      <c r="BQ95" s="23">
        <f>EXP(-LN(2)/25)*BQ94+(1-EXP(-LN(2)/25))/(LN(2)/25)*Calculateur!BL95*Calculateur!BN95*VLOOKUP('Données projet'!$B$11,Paramètres!$A$1:$I$88,3,0)*0.475*44/12</f>
        <v>4.8015599002575753</v>
      </c>
      <c r="BR95" s="23">
        <f>EXP(-LN(2)/2)*BR94+(1-EXP(-LN(2)/2))/(LN(2)/2)*BL95*BO95*VLOOKUP('Données projet'!$B$11,Paramètres!$A$1:$I$88,3,0)*0.475*44/12</f>
        <v>0</v>
      </c>
      <c r="BS95" s="24">
        <f t="shared" si="63"/>
        <v>11.621746551355164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projet'!$B$12,Paramètres!$A$1:$I$88,3,0)*0.475*44/12</f>
        <v>#N/A</v>
      </c>
      <c r="CL95" s="23" t="e">
        <f>EXP(-LN(2)/25)*CL94+(1-EXP(-LN(2)/25))/(LN(2)/25)*Calculateur!CG95*Calculateur!CI95*VLOOKUP('Données projet'!$B$12,Paramètres!$A$1:$I$88,3,0)*0.475*44/12</f>
        <v>#N/A</v>
      </c>
      <c r="CM95" s="23" t="e">
        <f>EXP(-LN(2)/2)*CM94+(1-EXP(-LN(2)/2))/(LN(2)/2)*CG95*CJ95*VLOOKUP('Données projet'!$B$12,Paramètres!$A$1:$I$88,3,0)*0.475*44/12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68.187599999999833</v>
      </c>
      <c r="D96" s="12">
        <f t="shared" si="86"/>
        <v>19.222689927399379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674.74609768518701</v>
      </c>
      <c r="H96" s="70">
        <f t="shared" si="56"/>
        <v>445.57292162355361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6.1</v>
      </c>
      <c r="N96" s="14">
        <f>IF('Données projet'!$A$36&gt;35,N95+M96-V95,IF(A96&lt;'Données projet'!$A$36,$K$205^A96,IF(A96='Données projet'!$A$36,'Données projet'!$B$36,N95+M96-V95)))</f>
        <v>431.90000000000026</v>
      </c>
      <c r="O96" s="14">
        <f>N96*VLOOKUP('Données projet'!$B$9,Paramètres!$A$1:$I$88,3,0)*VLOOKUP('Données projet'!$B$9,Paramètres!$A$1:$I$88,5,0)</f>
        <v>241.43210000000013</v>
      </c>
      <c r="P96" s="14">
        <f t="shared" si="87"/>
        <v>58.747547004034544</v>
      </c>
      <c r="Q96" s="22">
        <f t="shared" si="54"/>
        <v>522.81288519869372</v>
      </c>
      <c r="R96" s="62">
        <f t="shared" si="55"/>
        <v>816.14621853202698</v>
      </c>
      <c r="S96" s="62">
        <f ca="1">AVERAGE(OFFSET($R$3,0,0,'Données projet'!$E$9+1,1))-AVERAGE(OFFSET($H$3,0,0,'Données projet'!$E$9+1,1))</f>
        <v>222.18341301864729</v>
      </c>
      <c r="T96" s="62">
        <f t="shared" si="88"/>
        <v>172.63628480089358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48.895711375480452</v>
      </c>
      <c r="AA96" s="23">
        <f>EXP(-LN(2)/25)*AA95+(1-EXP(-LN(2)/25))/(LN(2)/25)*Calculateur!V96*Calculateur!X96*VLOOKUP('Données projet'!$B$9,Paramètres!$A$1:$I$88,3,0)*0.475*44/12</f>
        <v>21.041492713581622</v>
      </c>
      <c r="AB96" s="23">
        <f>EXP(-LN(2)/2)*AB95+(1-EXP(-LN(2)/2))/(LN(2)/2)*V96*Y96*VLOOKUP('Données projet'!$B$9,Paramètres!$A$1:$I$88,3,0)*0.475*44/12</f>
        <v>0</v>
      </c>
      <c r="AC96" s="24">
        <f t="shared" si="57"/>
        <v>69.937204089062078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projet'!$B$10,Paramètres!$A$1:$I$88,3,0)*VLOOKUP('Données projet'!$B$10,Paramètres!$A$1:$I$88,5,0)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82.840015321739202</v>
      </c>
      <c r="AO96" s="62">
        <f t="shared" si="90"/>
        <v>101.40622074610098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39.662654514293756</v>
      </c>
      <c r="AV96" s="23">
        <f>EXP(-LN(2)/25)*AV95+(1-EXP(-LN(2)/25))/(LN(2)/25)*Calculateur!AQ96*Calculateur!AS96*VLOOKUP('Données projet'!$B$10,Paramètres!$A$1:$I$88,3,0)*0.475*44/12</f>
        <v>15.785975192042638</v>
      </c>
      <c r="AW96" s="23">
        <f>EXP(-LN(2)/2)*AW95+(1-EXP(-LN(2)/2))/(LN(2)/2)*AQ96*AT96*VLOOKUP('Données projet'!$B$10,Paramètres!$A$1:$I$88,3,0)*0.475*44/12</f>
        <v>0</v>
      </c>
      <c r="AX96" s="23">
        <f t="shared" si="60"/>
        <v>55.448629706336391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169.99999999999983</v>
      </c>
      <c r="BE96" s="14">
        <f>BD96*VLOOKUP('Données projet'!$B$11,Paramètres!$A$1:$I$88,3,0)*VLOOKUP('Données projet'!$B$11,Paramètres!$A$1:$I$88,5,0)</f>
        <v>101.65999999999991</v>
      </c>
      <c r="BF96" s="14">
        <f t="shared" si="91"/>
        <v>27.357089923704745</v>
      </c>
      <c r="BG96" s="22">
        <f t="shared" si="61"/>
        <v>224.70476495045224</v>
      </c>
      <c r="BH96" s="62">
        <f t="shared" si="62"/>
        <v>518.03809828378553</v>
      </c>
      <c r="BI96" s="62">
        <f ca="1">AVERAGE(OFFSET($BH$3,0,0,'Données projet'!$E$11+1,1))-AVERAGE(OFFSET($H$3,0,0,'Données projet'!$E$11+1,1))</f>
        <v>83.354474428753292</v>
      </c>
      <c r="BJ96" s="62">
        <f t="shared" si="92"/>
        <v>97.75861379589162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6.686446950772666</v>
      </c>
      <c r="BQ96" s="23">
        <f>EXP(-LN(2)/25)*BQ95+(1-EXP(-LN(2)/25))/(LN(2)/25)*Calculateur!BL96*Calculateur!BN96*VLOOKUP('Données projet'!$B$11,Paramètres!$A$1:$I$88,3,0)*0.475*44/12</f>
        <v>4.6702609922819711</v>
      </c>
      <c r="BR96" s="23">
        <f>EXP(-LN(2)/2)*BR95+(1-EXP(-LN(2)/2))/(LN(2)/2)*BL96*BO96*VLOOKUP('Données projet'!$B$11,Paramètres!$A$1:$I$88,3,0)*0.475*44/12</f>
        <v>0</v>
      </c>
      <c r="BS96" s="24">
        <f t="shared" si="63"/>
        <v>11.356707943054637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projet'!$B$12,Paramètres!$A$1:$I$88,3,0)*0.475*44/12</f>
        <v>#N/A</v>
      </c>
      <c r="CL96" s="23" t="e">
        <f>EXP(-LN(2)/25)*CL95+(1-EXP(-LN(2)/25))/(LN(2)/25)*Calculateur!CG96*Calculateur!CI96*VLOOKUP('Données projet'!$B$12,Paramètres!$A$1:$I$88,3,0)*0.475*44/12</f>
        <v>#N/A</v>
      </c>
      <c r="CM96" s="23" t="e">
        <f>EXP(-LN(2)/2)*CM95+(1-EXP(-LN(2)/2))/(LN(2)/2)*CG96*CJ96*VLOOKUP('Données projet'!$B$12,Paramètres!$A$1:$I$88,3,0)*0.475*44/12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68.920799999999829</v>
      </c>
      <c r="D97" s="12">
        <f t="shared" si="86"/>
        <v>19.405212311100474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681.81483187516017</v>
      </c>
      <c r="H97" s="70">
        <f t="shared" si="56"/>
        <v>447.16780477516636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>
        <f>VLOOKUP(A97,'Données projet'!$A$35:$I$55,2,0)</f>
        <v>438</v>
      </c>
      <c r="L97" s="13">
        <f>VLOOKUP(A97,'Données projet'!$A$35:$I$55,9,0)</f>
        <v>6.1</v>
      </c>
      <c r="M97" s="13">
        <f t="array" ref="M97">INDEX(L:L,MIN(IF(ISNUMBER(L97:L293),ROW(L97:L293),"")))</f>
        <v>6.1</v>
      </c>
      <c r="N97" s="14">
        <f>IF('Données projet'!$A$36&gt;35,N96+M97-V96,IF(A97&lt;'Données projet'!$A$36,$K$205^A97,IF(A97='Données projet'!$A$36,'Données projet'!$B$36,N96+M97-V96)))</f>
        <v>438.00000000000028</v>
      </c>
      <c r="O97" s="14">
        <f>N97*VLOOKUP('Données projet'!$B$9,Paramètres!$A$1:$I$88,3,0)*VLOOKUP('Données projet'!$B$9,Paramètres!$A$1:$I$88,5,0)</f>
        <v>244.84200000000016</v>
      </c>
      <c r="P97" s="14">
        <f t="shared" si="87"/>
        <v>59.480096214206306</v>
      </c>
      <c r="Q97" s="22">
        <f t="shared" si="54"/>
        <v>530.02765090640958</v>
      </c>
      <c r="R97" s="62">
        <f t="shared" si="55"/>
        <v>823.36098423974295</v>
      </c>
      <c r="S97" s="62">
        <f ca="1">AVERAGE(OFFSET($R$3,0,0,'Données projet'!$E$9+1,1))-AVERAGE(OFFSET($H$3,0,0,'Données projet'!$E$9+1,1))</f>
        <v>222.18341301864729</v>
      </c>
      <c r="T97" s="62">
        <f t="shared" si="88"/>
        <v>172.63628480089358</v>
      </c>
      <c r="U97" s="16">
        <f>IF(ISNA(VLOOKUP(A97,'Données projet'!$A$35:$I$55,3,0)),0,VLOOKUP(A97,'Données projet'!$A$35:$I$55,3,0))</f>
        <v>8</v>
      </c>
      <c r="V97" s="16">
        <f>IF(ISNA(VLOOKUP(A97,'Données projet'!$A$35:$I$55,4,0)),0,VLOOKUP(A97,'Données projet'!$A$35:$I$55,4,0))</f>
        <v>438</v>
      </c>
      <c r="W97" s="17">
        <f>IF(ISNA(VLOOKUP(A97,'Données projet'!$A$35:$I$55,5,0)),0%,VLOOKUP(A97,'Données projet'!$A$35:$I$55,5,0)*VLOOKUP('Données projet'!$B$9,Paramètres!$A$1:$I$88,7,0))</f>
        <v>0.38500000000000001</v>
      </c>
      <c r="X97" s="17">
        <f>IF(ISNA(VLOOKUP(A97,'Données projet'!$A$35:$I$55,6,0)),0%,VLOOKUP(A97,'Données projet'!$A$35:$I$55,6,0)*VLOOKUP('Données projet'!$B$9,Paramètres!$A$1:$I$88,7,0))</f>
        <v>0.16500000000000001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172.98439364235665</v>
      </c>
      <c r="AA97" s="23">
        <f>EXP(-LN(2)/25)*AA96+(1-EXP(-LN(2)/25))/(LN(2)/25)*Calculateur!V97*Calculateur!X97*VLOOKUP('Données projet'!$B$9,Paramètres!$A$1:$I$88,3,0)*0.475*44/12</f>
        <v>73.846885288649105</v>
      </c>
      <c r="AB97" s="23">
        <f>EXP(-LN(2)/2)*AB96+(1-EXP(-LN(2)/2))/(LN(2)/2)*V97*Y97*VLOOKUP('Données projet'!$B$9,Paramètres!$A$1:$I$88,3,0)*0.475*44/12</f>
        <v>0</v>
      </c>
      <c r="AC97" s="24">
        <f t="shared" si="57"/>
        <v>246.83127893100576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projet'!$B$10,Paramètres!$A$1:$I$88,3,0)*VLOOKUP('Données projet'!$B$10,Paramètres!$A$1:$I$88,5,0)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82.840015321739202</v>
      </c>
      <c r="AO97" s="62">
        <f t="shared" si="90"/>
        <v>101.40622074610098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38.884894051098961</v>
      </c>
      <c r="AV97" s="23">
        <f>EXP(-LN(2)/25)*AV96+(1-EXP(-LN(2)/25))/(LN(2)/25)*Calculateur!AQ97*Calculateur!AS97*VLOOKUP('Données projet'!$B$10,Paramètres!$A$1:$I$88,3,0)*0.475*44/12</f>
        <v>15.354306870267877</v>
      </c>
      <c r="AW97" s="23">
        <f>EXP(-LN(2)/2)*AW96+(1-EXP(-LN(2)/2))/(LN(2)/2)*AQ97*AT97*VLOOKUP('Données projet'!$B$10,Paramètres!$A$1:$I$88,3,0)*0.475*44/12</f>
        <v>0</v>
      </c>
      <c r="AX97" s="23">
        <f t="shared" si="60"/>
        <v>54.239200921366837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169.99999999999983</v>
      </c>
      <c r="BE97" s="14">
        <f>BD97*VLOOKUP('Données projet'!$B$11,Paramètres!$A$1:$I$88,3,0)*VLOOKUP('Données projet'!$B$11,Paramètres!$A$1:$I$88,5,0)</f>
        <v>101.65999999999991</v>
      </c>
      <c r="BF97" s="14">
        <f t="shared" si="91"/>
        <v>27.357089923704745</v>
      </c>
      <c r="BG97" s="22">
        <f t="shared" si="61"/>
        <v>224.70476495045224</v>
      </c>
      <c r="BH97" s="62">
        <f t="shared" si="62"/>
        <v>518.03809828378553</v>
      </c>
      <c r="BI97" s="62">
        <f ca="1">AVERAGE(OFFSET($BH$3,0,0,'Données projet'!$E$11+1,1))-AVERAGE(OFFSET($H$3,0,0,'Données projet'!$E$11+1,1))</f>
        <v>83.354474428753292</v>
      </c>
      <c r="BJ97" s="62">
        <f t="shared" si="92"/>
        <v>97.75861379589162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6.5553298043979522</v>
      </c>
      <c r="BQ97" s="23">
        <f>EXP(-LN(2)/25)*BQ96+(1-EXP(-LN(2)/25))/(LN(2)/25)*Calculateur!BL97*Calculateur!BN97*VLOOKUP('Données projet'!$B$11,Paramètres!$A$1:$I$88,3,0)*0.475*44/12</f>
        <v>4.5425524598496692</v>
      </c>
      <c r="BR97" s="23">
        <f>EXP(-LN(2)/2)*BR96+(1-EXP(-LN(2)/2))/(LN(2)/2)*BL97*BO97*VLOOKUP('Données projet'!$B$11,Paramètres!$A$1:$I$88,3,0)*0.475*44/12</f>
        <v>0</v>
      </c>
      <c r="BS97" s="24">
        <f t="shared" si="63"/>
        <v>11.097882264247621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projet'!$B$12,Paramètres!$A$1:$I$88,3,0)*0.475*44/12</f>
        <v>#N/A</v>
      </c>
      <c r="CL97" s="23" t="e">
        <f>EXP(-LN(2)/25)*CL96+(1-EXP(-LN(2)/25))/(LN(2)/25)*Calculateur!CG97*Calculateur!CI97*VLOOKUP('Données projet'!$B$12,Paramètres!$A$1:$I$88,3,0)*0.475*44/12</f>
        <v>#N/A</v>
      </c>
      <c r="CM97" s="23" t="e">
        <f>EXP(-LN(2)/2)*CM96+(1-EXP(-LN(2)/2))/(LN(2)/2)*CG97*CJ97*VLOOKUP('Données projet'!$B$12,Paramètres!$A$1:$I$88,3,0)*0.475*44/12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69.653999999999826</v>
      </c>
      <c r="D98" s="12">
        <f t="shared" si="86"/>
        <v>19.58750881309674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688.88182241688583</v>
      </c>
      <c r="H98" s="70">
        <f t="shared" si="56"/>
        <v>448.76229451614319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2.8421709430404007E-13</v>
      </c>
      <c r="O98" s="14">
        <f>N98*VLOOKUP('Données projet'!$B$9,Paramètres!$A$1:$I$88,3,0)*VLOOKUP('Données projet'!$B$9,Paramètres!$A$1:$I$88,5,0)</f>
        <v>1.588773557159584E-13</v>
      </c>
      <c r="P98" s="14">
        <f t="shared" si="87"/>
        <v>2.2615721672198623E-12</v>
      </c>
      <c r="Q98" s="22">
        <f t="shared" si="54"/>
        <v>4.2156162524465543E-12</v>
      </c>
      <c r="R98" s="62">
        <f t="shared" si="55"/>
        <v>293.33333333333752</v>
      </c>
      <c r="S98" s="62">
        <f ca="1">AVERAGE(OFFSET($R$3,0,0,'Données projet'!$E$9+1,1))-AVERAGE(OFFSET($H$3,0,0,'Données projet'!$E$9+1,1))</f>
        <v>222.18341301864729</v>
      </c>
      <c r="T98" s="62">
        <f t="shared" si="88"/>
        <v>172.63628480089358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169.59227519309189</v>
      </c>
      <c r="AA98" s="23">
        <f>EXP(-LN(2)/25)*AA97+(1-EXP(-LN(2)/25))/(LN(2)/25)*Calculateur!V98*Calculateur!X98*VLOOKUP('Données projet'!$B$9,Paramètres!$A$1:$I$88,3,0)*0.475*44/12</f>
        <v>71.827538326992084</v>
      </c>
      <c r="AB98" s="23">
        <f>EXP(-LN(2)/2)*AB97+(1-EXP(-LN(2)/2))/(LN(2)/2)*V98*Y98*VLOOKUP('Données projet'!$B$9,Paramètres!$A$1:$I$88,3,0)*0.475*44/12</f>
        <v>0</v>
      </c>
      <c r="AC98" s="24">
        <f t="shared" si="57"/>
        <v>241.41981352008398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projet'!$B$10,Paramètres!$A$1:$I$88,3,0)*VLOOKUP('Données projet'!$B$10,Paramètres!$A$1:$I$88,5,0)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82.840015321739202</v>
      </c>
      <c r="AO98" s="62">
        <f t="shared" si="90"/>
        <v>101.40622074610098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38.122384996200381</v>
      </c>
      <c r="AV98" s="23">
        <f>EXP(-LN(2)/25)*AV97+(1-EXP(-LN(2)/25))/(LN(2)/25)*Calculateur!AQ98*Calculateur!AS98*VLOOKUP('Données projet'!$B$10,Paramètres!$A$1:$I$88,3,0)*0.475*44/12</f>
        <v>14.934442541452496</v>
      </c>
      <c r="AW98" s="23">
        <f>EXP(-LN(2)/2)*AW97+(1-EXP(-LN(2)/2))/(LN(2)/2)*AQ98*AT98*VLOOKUP('Données projet'!$B$10,Paramètres!$A$1:$I$88,3,0)*0.475*44/12</f>
        <v>0</v>
      </c>
      <c r="AX98" s="23">
        <f t="shared" si="60"/>
        <v>53.056827537652879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169.99999999999983</v>
      </c>
      <c r="BE98" s="14">
        <f>BD98*VLOOKUP('Données projet'!$B$11,Paramètres!$A$1:$I$88,3,0)*VLOOKUP('Données projet'!$B$11,Paramètres!$A$1:$I$88,5,0)</f>
        <v>101.65999999999991</v>
      </c>
      <c r="BF98" s="14">
        <f t="shared" si="91"/>
        <v>27.357089923704745</v>
      </c>
      <c r="BG98" s="22">
        <f t="shared" si="61"/>
        <v>224.70476495045224</v>
      </c>
      <c r="BH98" s="62">
        <f t="shared" si="62"/>
        <v>518.03809828378553</v>
      </c>
      <c r="BI98" s="62">
        <f ca="1">AVERAGE(OFFSET($BH$3,0,0,'Données projet'!$E$11+1,1))-AVERAGE(OFFSET($H$3,0,0,'Données projet'!$E$11+1,1))</f>
        <v>83.354474428753292</v>
      </c>
      <c r="BJ98" s="62">
        <f t="shared" si="92"/>
        <v>97.75861379589162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6.426783785290084</v>
      </c>
      <c r="BQ98" s="23">
        <f>EXP(-LN(2)/25)*BQ97+(1-EXP(-LN(2)/25))/(LN(2)/25)*Calculateur!BL98*Calculateur!BN98*VLOOKUP('Données projet'!$B$11,Paramètres!$A$1:$I$88,3,0)*0.475*44/12</f>
        <v>4.4183361239526286</v>
      </c>
      <c r="BR98" s="23">
        <f>EXP(-LN(2)/2)*BR97+(1-EXP(-LN(2)/2))/(LN(2)/2)*BL98*BO98*VLOOKUP('Données projet'!$B$11,Paramètres!$A$1:$I$88,3,0)*0.475*44/12</f>
        <v>0</v>
      </c>
      <c r="BS98" s="24">
        <f t="shared" si="63"/>
        <v>10.845119909242712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projet'!$B$12,Paramètres!$A$1:$I$88,3,0)*0.475*44/12</f>
        <v>#N/A</v>
      </c>
      <c r="CL98" s="23" t="e">
        <f>EXP(-LN(2)/25)*CL97+(1-EXP(-LN(2)/25))/(LN(2)/25)*Calculateur!CG98*Calculateur!CI98*VLOOKUP('Données projet'!$B$12,Paramètres!$A$1:$I$88,3,0)*0.475*44/12</f>
        <v>#N/A</v>
      </c>
      <c r="CM98" s="23" t="e">
        <f>EXP(-LN(2)/2)*CM97+(1-EXP(-LN(2)/2))/(LN(2)/2)*CG98*CJ98*VLOOKUP('Données projet'!$B$12,Paramètres!$A$1:$I$88,3,0)*0.475*44/12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70.387199999999822</v>
      </c>
      <c r="D99" s="12">
        <f t="shared" si="86"/>
        <v>19.769582086327762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695.9470897891955</v>
      </c>
      <c r="H99" s="70">
        <f t="shared" si="56"/>
        <v>450.35639546702049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2.8421709430404007E-13</v>
      </c>
      <c r="O99" s="14">
        <f>N99*VLOOKUP('Données projet'!$B$9,Paramètres!$A$1:$I$88,3,0)*VLOOKUP('Données projet'!$B$9,Paramètres!$A$1:$I$88,5,0)</f>
        <v>1.588773557159584E-13</v>
      </c>
      <c r="P99" s="14">
        <f t="shared" si="87"/>
        <v>2.2615721672198623E-12</v>
      </c>
      <c r="Q99" s="22">
        <f t="shared" ref="Q99:Q130" si="107">(O99+P99)*0.475*44/12</f>
        <v>4.2156162524465543E-12</v>
      </c>
      <c r="R99" s="62">
        <f t="shared" si="55"/>
        <v>293.33333333333752</v>
      </c>
      <c r="S99" s="62">
        <f ca="1">AVERAGE(OFFSET($R$3,0,0,'Données projet'!$E$9+1,1))-AVERAGE(OFFSET($H$3,0,0,'Données projet'!$E$9+1,1))</f>
        <v>222.18341301864729</v>
      </c>
      <c r="T99" s="62">
        <f t="shared" si="88"/>
        <v>172.63628480089358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166.26667411762926</v>
      </c>
      <c r="AA99" s="23">
        <f>EXP(-LN(2)/25)*AA98+(1-EXP(-LN(2)/25))/(LN(2)/25)*Calculateur!V99*Calculateur!X99*VLOOKUP('Données projet'!$B$9,Paramètres!$A$1:$I$88,3,0)*0.475*44/12</f>
        <v>69.863410514194413</v>
      </c>
      <c r="AB99" s="23">
        <f>EXP(-LN(2)/2)*AB98+(1-EXP(-LN(2)/2))/(LN(2)/2)*V99*Y99*VLOOKUP('Données projet'!$B$9,Paramètres!$A$1:$I$88,3,0)*0.475*44/12</f>
        <v>0</v>
      </c>
      <c r="AC99" s="24">
        <f t="shared" si="57"/>
        <v>236.13008463182368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projet'!$B$10,Paramètres!$A$1:$I$88,3,0)*VLOOKUP('Données projet'!$B$10,Paramètres!$A$1:$I$88,5,0)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82.840015321739202</v>
      </c>
      <c r="AO99" s="62">
        <f t="shared" si="90"/>
        <v>101.40622074610098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37.37482827878376</v>
      </c>
      <c r="AV99" s="23">
        <f>EXP(-LN(2)/25)*AV98+(1-EXP(-LN(2)/25))/(LN(2)/25)*Calculateur!AQ99*Calculateur!AS99*VLOOKUP('Données projet'!$B$10,Paramètres!$A$1:$I$88,3,0)*0.475*44/12</f>
        <v>14.526059424788277</v>
      </c>
      <c r="AW99" s="23">
        <f>EXP(-LN(2)/2)*AW98+(1-EXP(-LN(2)/2))/(LN(2)/2)*AQ99*AT99*VLOOKUP('Données projet'!$B$10,Paramètres!$A$1:$I$88,3,0)*0.475*44/12</f>
        <v>0</v>
      </c>
      <c r="AX99" s="23">
        <f t="shared" si="60"/>
        <v>51.900887703572039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169.99999999999983</v>
      </c>
      <c r="BE99" s="14">
        <f>BD99*VLOOKUP('Données projet'!$B$11,Paramètres!$A$1:$I$88,3,0)*VLOOKUP('Données projet'!$B$11,Paramètres!$A$1:$I$88,5,0)</f>
        <v>101.65999999999991</v>
      </c>
      <c r="BF99" s="14">
        <f t="shared" si="91"/>
        <v>27.357089923704745</v>
      </c>
      <c r="BG99" s="22">
        <f t="shared" si="61"/>
        <v>224.70476495045224</v>
      </c>
      <c r="BH99" s="62">
        <f t="shared" si="62"/>
        <v>518.03809828378553</v>
      </c>
      <c r="BI99" s="62">
        <f ca="1">AVERAGE(OFFSET($BH$3,0,0,'Données projet'!$E$11+1,1))-AVERAGE(OFFSET($H$3,0,0,'Données projet'!$E$11+1,1))</f>
        <v>83.354474428753292</v>
      </c>
      <c r="BJ99" s="62">
        <f t="shared" si="92"/>
        <v>97.75861379589162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6.300758475211591</v>
      </c>
      <c r="BQ99" s="23">
        <f>EXP(-LN(2)/25)*BQ98+(1-EXP(-LN(2)/25))/(LN(2)/25)*Calculateur!BL99*Calculateur!BN99*VLOOKUP('Données projet'!$B$11,Paramètres!$A$1:$I$88,3,0)*0.475*44/12</f>
        <v>4.2975164902929457</v>
      </c>
      <c r="BR99" s="23">
        <f>EXP(-LN(2)/2)*BR98+(1-EXP(-LN(2)/2))/(LN(2)/2)*BL99*BO99*VLOOKUP('Données projet'!$B$11,Paramètres!$A$1:$I$88,3,0)*0.475*44/12</f>
        <v>0</v>
      </c>
      <c r="BS99" s="24">
        <f t="shared" si="63"/>
        <v>10.598274965504537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projet'!$B$12,Paramètres!$A$1:$I$88,3,0)*0.475*44/12</f>
        <v>#N/A</v>
      </c>
      <c r="CL99" s="23" t="e">
        <f>EXP(-LN(2)/25)*CL98+(1-EXP(-LN(2)/25))/(LN(2)/25)*Calculateur!CG99*Calculateur!CI99*VLOOKUP('Données projet'!$B$12,Paramètres!$A$1:$I$88,3,0)*0.475*44/12</f>
        <v>#N/A</v>
      </c>
      <c r="CM99" s="23" t="e">
        <f>EXP(-LN(2)/2)*CM98+(1-EXP(-LN(2)/2))/(LN(2)/2)*CG99*CJ99*VLOOKUP('Données projet'!$B$12,Paramètres!$A$1:$I$88,3,0)*0.475*44/12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71.120399999999819</v>
      </c>
      <c r="D100" s="12">
        <f t="shared" si="86"/>
        <v>19.951434725279164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703.01065401969754</v>
      </c>
      <c r="H100" s="70">
        <f t="shared" si="56"/>
        <v>451.95011214652754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2.8421709430404007E-13</v>
      </c>
      <c r="O100" s="14">
        <f>N100*VLOOKUP('Données projet'!$B$9,Paramètres!$A$1:$I$88,3,0)*VLOOKUP('Données projet'!$B$9,Paramètres!$A$1:$I$88,5,0)</f>
        <v>1.588773557159584E-13</v>
      </c>
      <c r="P100" s="14">
        <f t="shared" si="87"/>
        <v>2.2615721672198623E-12</v>
      </c>
      <c r="Q100" s="22">
        <f t="shared" si="107"/>
        <v>4.2156162524465543E-12</v>
      </c>
      <c r="R100" s="62">
        <f t="shared" si="55"/>
        <v>293.33333333333752</v>
      </c>
      <c r="S100" s="62">
        <f ca="1">AVERAGE(OFFSET($R$3,0,0,'Données projet'!$E$9+1,1))-AVERAGE(OFFSET($H$3,0,0,'Données projet'!$E$9+1,1))</f>
        <v>222.18341301864729</v>
      </c>
      <c r="T100" s="62">
        <f t="shared" si="88"/>
        <v>172.63628480089358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163.00628605084009</v>
      </c>
      <c r="AA100" s="23">
        <f>EXP(-LN(2)/25)*AA99+(1-EXP(-LN(2)/25))/(LN(2)/25)*Calculateur!V100*Calculateur!X100*VLOOKUP('Données projet'!$B$9,Paramètres!$A$1:$I$88,3,0)*0.475*44/12</f>
        <v>67.952991879726682</v>
      </c>
      <c r="AB100" s="23">
        <f>EXP(-LN(2)/2)*AB99+(1-EXP(-LN(2)/2))/(LN(2)/2)*V100*Y100*VLOOKUP('Données projet'!$B$9,Paramètres!$A$1:$I$88,3,0)*0.475*44/12</f>
        <v>0</v>
      </c>
      <c r="AC100" s="24">
        <f t="shared" si="57"/>
        <v>230.95927793056677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projet'!$B$10,Paramètres!$A$1:$I$88,3,0)*VLOOKUP('Données projet'!$B$10,Paramètres!$A$1:$I$88,5,0)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82.840015321739202</v>
      </c>
      <c r="AO100" s="62">
        <f t="shared" si="90"/>
        <v>101.40622074610098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36.641930692631107</v>
      </c>
      <c r="AV100" s="23">
        <f>EXP(-LN(2)/25)*AV99+(1-EXP(-LN(2)/25))/(LN(2)/25)*Calculateur!AQ100*Calculateur!AS100*VLOOKUP('Données projet'!$B$10,Paramètres!$A$1:$I$88,3,0)*0.475*44/12</f>
        <v>14.128843565925177</v>
      </c>
      <c r="AW100" s="23">
        <f>EXP(-LN(2)/2)*AW99+(1-EXP(-LN(2)/2))/(LN(2)/2)*AQ100*AT100*VLOOKUP('Données projet'!$B$10,Paramètres!$A$1:$I$88,3,0)*0.475*44/12</f>
        <v>0</v>
      </c>
      <c r="AX100" s="23">
        <f t="shared" si="60"/>
        <v>50.770774258556287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169.99999999999983</v>
      </c>
      <c r="BE100" s="14">
        <f>BD100*VLOOKUP('Données projet'!$B$11,Paramètres!$A$1:$I$88,3,0)*VLOOKUP('Données projet'!$B$11,Paramètres!$A$1:$I$88,5,0)</f>
        <v>101.65999999999991</v>
      </c>
      <c r="BF100" s="14">
        <f t="shared" si="91"/>
        <v>27.357089923704745</v>
      </c>
      <c r="BG100" s="22">
        <f t="shared" si="61"/>
        <v>224.70476495045224</v>
      </c>
      <c r="BH100" s="62">
        <f t="shared" si="62"/>
        <v>518.03809828378553</v>
      </c>
      <c r="BI100" s="62">
        <f ca="1">AVERAGE(OFFSET($BH$3,0,0,'Données projet'!$E$11+1,1))-AVERAGE(OFFSET($H$3,0,0,'Données projet'!$E$11+1,1))</f>
        <v>83.354474428753292</v>
      </c>
      <c r="BJ100" s="62">
        <f t="shared" si="92"/>
        <v>97.75861379589162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6.1772044445958887</v>
      </c>
      <c r="BQ100" s="23">
        <f>EXP(-LN(2)/25)*BQ99+(1-EXP(-LN(2)/25))/(LN(2)/25)*Calculateur!BL100*Calculateur!BN100*VLOOKUP('Données projet'!$B$11,Paramètres!$A$1:$I$88,3,0)*0.475*44/12</f>
        <v>4.1800006758693149</v>
      </c>
      <c r="BR100" s="23">
        <f>EXP(-LN(2)/2)*BR99+(1-EXP(-LN(2)/2))/(LN(2)/2)*BL100*BO100*VLOOKUP('Données projet'!$B$11,Paramètres!$A$1:$I$88,3,0)*0.475*44/12</f>
        <v>0</v>
      </c>
      <c r="BS100" s="24">
        <f t="shared" si="63"/>
        <v>10.357205120465203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projet'!$B$12,Paramètres!$A$1:$I$88,3,0)*0.475*44/12</f>
        <v>#N/A</v>
      </c>
      <c r="CL100" s="23" t="e">
        <f>EXP(-LN(2)/25)*CL99+(1-EXP(-LN(2)/25))/(LN(2)/25)*Calculateur!CG100*Calculateur!CI100*VLOOKUP('Données projet'!$B$12,Paramètres!$A$1:$I$88,3,0)*0.475*44/12</f>
        <v>#N/A</v>
      </c>
      <c r="CM100" s="23" t="e">
        <f>EXP(-LN(2)/2)*CM99+(1-EXP(-LN(2)/2))/(LN(2)/2)*CG100*CJ100*VLOOKUP('Données projet'!$B$12,Paramètres!$A$1:$I$88,3,0)*0.475*44/12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71.853599999999815</v>
      </c>
      <c r="D101" s="12">
        <f t="shared" si="86"/>
        <v>20.133069267859618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710.07253469926593</v>
      </c>
      <c r="H101" s="70">
        <f t="shared" si="56"/>
        <v>453.54344897485515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2.8421709430404007E-13</v>
      </c>
      <c r="O101" s="14">
        <f>N101*VLOOKUP('Données projet'!$B$9,Paramètres!$A$1:$I$88,3,0)*VLOOKUP('Données projet'!$B$9,Paramètres!$A$1:$I$88,5,0)</f>
        <v>1.588773557159584E-13</v>
      </c>
      <c r="P101" s="14">
        <f t="shared" si="87"/>
        <v>2.2615721672198623E-12</v>
      </c>
      <c r="Q101" s="22">
        <f t="shared" si="107"/>
        <v>4.2156162524465543E-12</v>
      </c>
      <c r="R101" s="62">
        <f t="shared" si="55"/>
        <v>293.33333333333752</v>
      </c>
      <c r="S101" s="62">
        <f ca="1">AVERAGE(OFFSET($R$3,0,0,'Données projet'!$E$9+1,1))-AVERAGE(OFFSET($H$3,0,0,'Données projet'!$E$9+1,1))</f>
        <v>222.18341301864729</v>
      </c>
      <c r="T101" s="62">
        <f t="shared" si="88"/>
        <v>172.63628480089358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159.80983220540031</v>
      </c>
      <c r="AA101" s="23">
        <f>EXP(-LN(2)/25)*AA100+(1-EXP(-LN(2)/25))/(LN(2)/25)*Calculateur!V101*Calculateur!X101*VLOOKUP('Données projet'!$B$9,Paramètres!$A$1:$I$88,3,0)*0.475*44/12</f>
        <v>66.094813743283026</v>
      </c>
      <c r="AB101" s="23">
        <f>EXP(-LN(2)/2)*AB100+(1-EXP(-LN(2)/2))/(LN(2)/2)*V101*Y101*VLOOKUP('Données projet'!$B$9,Paramètres!$A$1:$I$88,3,0)*0.475*44/12</f>
        <v>0</v>
      </c>
      <c r="AC101" s="24">
        <f t="shared" si="57"/>
        <v>225.90464594868334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projet'!$B$10,Paramètres!$A$1:$I$88,3,0)*VLOOKUP('Données projet'!$B$10,Paramètres!$A$1:$I$88,5,0)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82.840015321739202</v>
      </c>
      <c r="AO101" s="62">
        <f t="shared" si="90"/>
        <v>101.40622074610098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35.923404781119515</v>
      </c>
      <c r="AV101" s="23">
        <f>EXP(-LN(2)/25)*AV100+(1-EXP(-LN(2)/25))/(LN(2)/25)*Calculateur!AQ101*Calculateur!AS101*VLOOKUP('Données projet'!$B$10,Paramètres!$A$1:$I$88,3,0)*0.475*44/12</f>
        <v>13.742489595611362</v>
      </c>
      <c r="AW101" s="23">
        <f>EXP(-LN(2)/2)*AW100+(1-EXP(-LN(2)/2))/(LN(2)/2)*AQ101*AT101*VLOOKUP('Données projet'!$B$10,Paramètres!$A$1:$I$88,3,0)*0.475*44/12</f>
        <v>0</v>
      </c>
      <c r="AX101" s="23">
        <f t="shared" si="60"/>
        <v>49.665894376730876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169.99999999999983</v>
      </c>
      <c r="BE101" s="14">
        <f>BD101*VLOOKUP('Données projet'!$B$11,Paramètres!$A$1:$I$88,3,0)*VLOOKUP('Données projet'!$B$11,Paramètres!$A$1:$I$88,5,0)</f>
        <v>101.65999999999991</v>
      </c>
      <c r="BF101" s="14">
        <f t="shared" si="91"/>
        <v>27.357089923704745</v>
      </c>
      <c r="BG101" s="22">
        <f t="shared" si="61"/>
        <v>224.70476495045224</v>
      </c>
      <c r="BH101" s="62">
        <f t="shared" si="62"/>
        <v>518.03809828378553</v>
      </c>
      <c r="BI101" s="62">
        <f ca="1">AVERAGE(OFFSET($BH$3,0,0,'Données projet'!$E$11+1,1))-AVERAGE(OFFSET($H$3,0,0,'Données projet'!$E$11+1,1))</f>
        <v>83.354474428753292</v>
      </c>
      <c r="BJ101" s="62">
        <f t="shared" si="92"/>
        <v>97.75861379589162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6.0560732331600429</v>
      </c>
      <c r="BQ101" s="23">
        <f>EXP(-LN(2)/25)*BQ100+(1-EXP(-LN(2)/25))/(LN(2)/25)*Calculateur!BL101*Calculateur!BN101*VLOOKUP('Données projet'!$B$11,Paramètres!$A$1:$I$88,3,0)*0.475*44/12</f>
        <v>4.0656983375709865</v>
      </c>
      <c r="BR101" s="23">
        <f>EXP(-LN(2)/2)*BR100+(1-EXP(-LN(2)/2))/(LN(2)/2)*BL101*BO101*VLOOKUP('Données projet'!$B$11,Paramètres!$A$1:$I$88,3,0)*0.475*44/12</f>
        <v>0</v>
      </c>
      <c r="BS101" s="24">
        <f t="shared" si="63"/>
        <v>10.121771570731029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projet'!$B$12,Paramètres!$A$1:$I$88,3,0)*0.475*44/12</f>
        <v>#N/A</v>
      </c>
      <c r="CL101" s="23" t="e">
        <f>EXP(-LN(2)/25)*CL100+(1-EXP(-LN(2)/25))/(LN(2)/25)*Calculateur!CG101*Calculateur!CI101*VLOOKUP('Données projet'!$B$12,Paramètres!$A$1:$I$88,3,0)*0.475*44/12</f>
        <v>#N/A</v>
      </c>
      <c r="CM101" s="23" t="e">
        <f>EXP(-LN(2)/2)*CM100+(1-EXP(-LN(2)/2))/(LN(2)/2)*CG101*CJ101*VLOOKUP('Données projet'!$B$12,Paramètres!$A$1:$I$88,3,0)*0.475*44/12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72.586799999999812</v>
      </c>
      <c r="D102" s="12">
        <f t="shared" si="86"/>
        <v>20.314488197199012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717.13275099592067</v>
      </c>
      <c r="H102" s="70">
        <f t="shared" si="56"/>
        <v>455.13641027678796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2.8421709430404007E-13</v>
      </c>
      <c r="O102" s="14">
        <f>N102*VLOOKUP('Données projet'!$B$9,Paramètres!$A$1:$I$88,3,0)*VLOOKUP('Données projet'!$B$9,Paramètres!$A$1:$I$88,5,0)</f>
        <v>1.588773557159584E-13</v>
      </c>
      <c r="P102" s="14">
        <f t="shared" si="87"/>
        <v>2.2615721672198623E-12</v>
      </c>
      <c r="Q102" s="22">
        <f t="shared" si="107"/>
        <v>4.2156162524465543E-12</v>
      </c>
      <c r="R102" s="62">
        <f t="shared" si="55"/>
        <v>293.33333333333752</v>
      </c>
      <c r="S102" s="62">
        <f ca="1">AVERAGE(OFFSET($R$3,0,0,'Données projet'!$E$9+1,1))-AVERAGE(OFFSET($H$3,0,0,'Données projet'!$E$9+1,1))</f>
        <v>222.18341301864729</v>
      </c>
      <c r="T102" s="62">
        <f t="shared" si="88"/>
        <v>172.63628480089358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156.67605887022526</v>
      </c>
      <c r="AA102" s="23">
        <f>EXP(-LN(2)/25)*AA101+(1-EXP(-LN(2)/25))/(LN(2)/25)*Calculateur!V102*Calculateur!X102*VLOOKUP('Données projet'!$B$9,Paramètres!$A$1:$I$88,3,0)*0.475*44/12</f>
        <v>64.287447585697763</v>
      </c>
      <c r="AB102" s="23">
        <f>EXP(-LN(2)/2)*AB101+(1-EXP(-LN(2)/2))/(LN(2)/2)*V102*Y102*VLOOKUP('Données projet'!$B$9,Paramètres!$A$1:$I$88,3,0)*0.475*44/12</f>
        <v>0</v>
      </c>
      <c r="AC102" s="24">
        <f t="shared" si="57"/>
        <v>220.96350645592304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projet'!$B$10,Paramètres!$A$1:$I$88,3,0)*VLOOKUP('Données projet'!$B$10,Paramètres!$A$1:$I$88,5,0)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82.840015321739202</v>
      </c>
      <c r="AO102" s="62">
        <f t="shared" si="90"/>
        <v>101.40622074610098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35.218968724475133</v>
      </c>
      <c r="AV102" s="23">
        <f>EXP(-LN(2)/25)*AV101+(1-EXP(-LN(2)/25))/(LN(2)/25)*Calculateur!AQ102*Calculateur!AS102*VLOOKUP('Données projet'!$B$10,Paramètres!$A$1:$I$88,3,0)*0.475*44/12</f>
        <v>13.36670049493325</v>
      </c>
      <c r="AW102" s="23">
        <f>EXP(-LN(2)/2)*AW101+(1-EXP(-LN(2)/2))/(LN(2)/2)*AQ102*AT102*VLOOKUP('Données projet'!$B$10,Paramètres!$A$1:$I$88,3,0)*0.475*44/12</f>
        <v>0</v>
      </c>
      <c r="AX102" s="23">
        <f t="shared" si="60"/>
        <v>48.585669219408381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169.99999999999983</v>
      </c>
      <c r="BE102" s="14">
        <f>BD102*VLOOKUP('Données projet'!$B$11,Paramètres!$A$1:$I$88,3,0)*VLOOKUP('Données projet'!$B$11,Paramètres!$A$1:$I$88,5,0)</f>
        <v>101.65999999999991</v>
      </c>
      <c r="BF102" s="14">
        <f t="shared" si="91"/>
        <v>27.357089923704745</v>
      </c>
      <c r="BG102" s="22">
        <f t="shared" si="61"/>
        <v>224.70476495045224</v>
      </c>
      <c r="BH102" s="62">
        <f t="shared" si="62"/>
        <v>518.03809828378553</v>
      </c>
      <c r="BI102" s="62">
        <f ca="1">AVERAGE(OFFSET($BH$3,0,0,'Données projet'!$E$11+1,1))-AVERAGE(OFFSET($H$3,0,0,'Données projet'!$E$11+1,1))</f>
        <v>83.354474428753292</v>
      </c>
      <c r="BJ102" s="62">
        <f t="shared" si="92"/>
        <v>97.75861379589162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5.9373173308977103</v>
      </c>
      <c r="BQ102" s="23">
        <f>EXP(-LN(2)/25)*BQ101+(1-EXP(-LN(2)/25))/(LN(2)/25)*Calculateur!BL102*Calculateur!BN102*VLOOKUP('Données projet'!$B$11,Paramètres!$A$1:$I$88,3,0)*0.475*44/12</f>
        <v>3.9545216027243244</v>
      </c>
      <c r="BR102" s="23">
        <f>EXP(-LN(2)/2)*BR101+(1-EXP(-LN(2)/2))/(LN(2)/2)*BL102*BO102*VLOOKUP('Données projet'!$B$11,Paramètres!$A$1:$I$88,3,0)*0.475*44/12</f>
        <v>0</v>
      </c>
      <c r="BS102" s="24">
        <f t="shared" si="63"/>
        <v>9.8918389336220347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projet'!$B$12,Paramètres!$A$1:$I$88,3,0)*0.475*44/12</f>
        <v>#N/A</v>
      </c>
      <c r="CL102" s="23" t="e">
        <f>EXP(-LN(2)/25)*CL101+(1-EXP(-LN(2)/25))/(LN(2)/25)*Calculateur!CG102*Calculateur!CI102*VLOOKUP('Données projet'!$B$12,Paramètres!$A$1:$I$88,3,0)*0.475*44/12</f>
        <v>#N/A</v>
      </c>
      <c r="CM102" s="23" t="e">
        <f>EXP(-LN(2)/2)*CM101+(1-EXP(-LN(2)/2))/(LN(2)/2)*CG102*CJ102*VLOOKUP('Données projet'!$B$12,Paramètres!$A$1:$I$88,3,0)*0.475*44/12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73.319999999999808</v>
      </c>
      <c r="D103" s="12">
        <f t="shared" si="86"/>
        <v>20.495693943372022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724.19132166813336</v>
      </c>
      <c r="H103" s="70">
        <f t="shared" si="56"/>
        <v>456.72900028470588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2.8421709430404007E-13</v>
      </c>
      <c r="O103" s="14">
        <f>N103*VLOOKUP('Données projet'!$B$9,Paramètres!$A$1:$I$88,3,0)*VLOOKUP('Données projet'!$B$9,Paramètres!$A$1:$I$88,5,0)</f>
        <v>1.588773557159584E-13</v>
      </c>
      <c r="P103" s="14">
        <f t="shared" si="87"/>
        <v>2.2615721672198623E-12</v>
      </c>
      <c r="Q103" s="22">
        <f t="shared" si="107"/>
        <v>4.2156162524465543E-12</v>
      </c>
      <c r="R103" s="62">
        <f t="shared" si="55"/>
        <v>293.33333333333752</v>
      </c>
      <c r="S103" s="62">
        <f ca="1">AVERAGE(OFFSET($R$3,0,0,'Données projet'!$E$9+1,1))-AVERAGE(OFFSET($H$3,0,0,'Données projet'!$E$9+1,1))</f>
        <v>222.18341301864729</v>
      </c>
      <c r="T103" s="62">
        <f t="shared" si="88"/>
        <v>172.63628480089358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153.60373691874</v>
      </c>
      <c r="AA103" s="23">
        <f>EXP(-LN(2)/25)*AA102+(1-EXP(-LN(2)/25))/(LN(2)/25)*Calculateur!V103*Calculateur!X103*VLOOKUP('Données projet'!$B$9,Paramètres!$A$1:$I$88,3,0)*0.475*44/12</f>
        <v>62.529503950736917</v>
      </c>
      <c r="AB103" s="23">
        <f>EXP(-LN(2)/2)*AB102+(1-EXP(-LN(2)/2))/(LN(2)/2)*V103*Y103*VLOOKUP('Données projet'!$B$9,Paramètres!$A$1:$I$88,3,0)*0.475*44/12</f>
        <v>0</v>
      </c>
      <c r="AC103" s="24">
        <f t="shared" si="57"/>
        <v>216.13324086947691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projet'!$B$10,Paramètres!$A$1:$I$88,3,0)*VLOOKUP('Données projet'!$B$10,Paramètres!$A$1:$I$88,5,0)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82.840015321739202</v>
      </c>
      <c r="AO103" s="62">
        <f t="shared" si="90"/>
        <v>101.40622074610098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34.528346229237982</v>
      </c>
      <c r="AV103" s="23">
        <f>EXP(-LN(2)/25)*AV102+(1-EXP(-LN(2)/25))/(LN(2)/25)*Calculateur!AQ103*Calculateur!AS103*VLOOKUP('Données projet'!$B$10,Paramètres!$A$1:$I$88,3,0)*0.475*44/12</f>
        <v>13.001187366975071</v>
      </c>
      <c r="AW103" s="23">
        <f>EXP(-LN(2)/2)*AW102+(1-EXP(-LN(2)/2))/(LN(2)/2)*AQ103*AT103*VLOOKUP('Données projet'!$B$10,Paramètres!$A$1:$I$88,3,0)*0.475*44/12</f>
        <v>0</v>
      </c>
      <c r="AX103" s="23">
        <f t="shared" si="60"/>
        <v>47.529533596213057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169.99999999999983</v>
      </c>
      <c r="BE103" s="14">
        <f>BD103*VLOOKUP('Données projet'!$B$11,Paramètres!$A$1:$I$88,3,0)*VLOOKUP('Données projet'!$B$11,Paramètres!$A$1:$I$88,5,0)</f>
        <v>101.65999999999991</v>
      </c>
      <c r="BF103" s="14">
        <f t="shared" si="91"/>
        <v>27.357089923704745</v>
      </c>
      <c r="BG103" s="22">
        <f t="shared" si="61"/>
        <v>224.70476495045224</v>
      </c>
      <c r="BH103" s="62">
        <f t="shared" si="62"/>
        <v>518.03809828378553</v>
      </c>
      <c r="BI103" s="62">
        <f ca="1">AVERAGE(OFFSET($BH$3,0,0,'Données projet'!$E$11+1,1))-AVERAGE(OFFSET($H$3,0,0,'Données projet'!$E$11+1,1))</f>
        <v>83.354474428753292</v>
      </c>
      <c r="BJ103" s="62">
        <f t="shared" si="92"/>
        <v>97.75861379589162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5.8208901594447937</v>
      </c>
      <c r="BQ103" s="23">
        <f>EXP(-LN(2)/25)*BQ102+(1-EXP(-LN(2)/25))/(LN(2)/25)*Calculateur!BL103*Calculateur!BN103*VLOOKUP('Données projet'!$B$11,Paramètres!$A$1:$I$88,3,0)*0.475*44/12</f>
        <v>3.8463850015385748</v>
      </c>
      <c r="BR103" s="23">
        <f>EXP(-LN(2)/2)*BR102+(1-EXP(-LN(2)/2))/(LN(2)/2)*BL103*BO103*VLOOKUP('Données projet'!$B$11,Paramètres!$A$1:$I$88,3,0)*0.475*44/12</f>
        <v>0</v>
      </c>
      <c r="BS103" s="24">
        <f t="shared" si="63"/>
        <v>9.6672751609833689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projet'!$B$12,Paramètres!$A$1:$I$88,3,0)*0.475*44/12</f>
        <v>#N/A</v>
      </c>
      <c r="CL103" s="23" t="e">
        <f>EXP(-LN(2)/25)*CL102+(1-EXP(-LN(2)/25))/(LN(2)/25)*Calculateur!CG103*Calculateur!CI103*VLOOKUP('Données projet'!$B$12,Paramètres!$A$1:$I$88,3,0)*0.475*44/12</f>
        <v>#N/A</v>
      </c>
      <c r="CM103" s="23" t="e">
        <f>EXP(-LN(2)/2)*CM102+(1-EXP(-LN(2)/2))/(LN(2)/2)*CG103*CJ103*VLOOKUP('Données projet'!$B$12,Paramètres!$A$1:$I$88,3,0)*0.475*44/12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74.053199999999805</v>
      </c>
      <c r="D104" s="12">
        <f t="shared" si="86"/>
        <v>20.676688885050506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731.24826507758144</v>
      </c>
      <c r="H104" s="70">
        <f t="shared" si="56"/>
        <v>458.32122314146261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2.8421709430404007E-13</v>
      </c>
      <c r="O104" s="14">
        <f>N104*VLOOKUP('Données projet'!$B$9,Paramètres!$A$1:$I$88,3,0)*VLOOKUP('Données projet'!$B$9,Paramètres!$A$1:$I$88,5,0)</f>
        <v>1.588773557159584E-13</v>
      </c>
      <c r="P104" s="14">
        <f t="shared" si="87"/>
        <v>2.2615721672198623E-12</v>
      </c>
      <c r="Q104" s="22">
        <f t="shared" si="107"/>
        <v>4.2156162524465543E-12</v>
      </c>
      <c r="R104" s="62">
        <f t="shared" si="55"/>
        <v>293.33333333333752</v>
      </c>
      <c r="S104" s="62">
        <f ca="1">AVERAGE(OFFSET($R$3,0,0,'Données projet'!$E$9+1,1))-AVERAGE(OFFSET($H$3,0,0,'Données projet'!$E$9+1,1))</f>
        <v>222.18341301864729</v>
      </c>
      <c r="T104" s="62">
        <f t="shared" si="88"/>
        <v>172.63628480089358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150.59166132679201</v>
      </c>
      <c r="AA104" s="23">
        <f>EXP(-LN(2)/25)*AA103+(1-EXP(-LN(2)/25))/(LN(2)/25)*Calculateur!V104*Calculateur!X104*VLOOKUP('Données projet'!$B$9,Paramètres!$A$1:$I$88,3,0)*0.475*44/12</f>
        <v>60.819631376920313</v>
      </c>
      <c r="AB104" s="23">
        <f>EXP(-LN(2)/2)*AB103+(1-EXP(-LN(2)/2))/(LN(2)/2)*V104*Y104*VLOOKUP('Données projet'!$B$9,Paramètres!$A$1:$I$88,3,0)*0.475*44/12</f>
        <v>0</v>
      </c>
      <c r="AC104" s="24">
        <f t="shared" si="57"/>
        <v>211.41129270371232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projet'!$B$10,Paramètres!$A$1:$I$88,3,0)*VLOOKUP('Données projet'!$B$10,Paramètres!$A$1:$I$88,5,0)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82.840015321739202</v>
      </c>
      <c r="AO104" s="62">
        <f t="shared" si="90"/>
        <v>101.40622074610098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33.851266419894301</v>
      </c>
      <c r="AV104" s="23">
        <f>EXP(-LN(2)/25)*AV103+(1-EXP(-LN(2)/25))/(LN(2)/25)*Calculateur!AQ104*Calculateur!AS104*VLOOKUP('Données projet'!$B$10,Paramètres!$A$1:$I$88,3,0)*0.475*44/12</f>
        <v>12.645669214722409</v>
      </c>
      <c r="AW104" s="23">
        <f>EXP(-LN(2)/2)*AW103+(1-EXP(-LN(2)/2))/(LN(2)/2)*AQ104*AT104*VLOOKUP('Données projet'!$B$10,Paramètres!$A$1:$I$88,3,0)*0.475*44/12</f>
        <v>0</v>
      </c>
      <c r="AX104" s="23">
        <f t="shared" si="60"/>
        <v>46.496935634616712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169.99999999999983</v>
      </c>
      <c r="BE104" s="14">
        <f>BD104*VLOOKUP('Données projet'!$B$11,Paramètres!$A$1:$I$88,3,0)*VLOOKUP('Données projet'!$B$11,Paramètres!$A$1:$I$88,5,0)</f>
        <v>101.65999999999991</v>
      </c>
      <c r="BF104" s="14">
        <f t="shared" si="91"/>
        <v>27.357089923704745</v>
      </c>
      <c r="BG104" s="22">
        <f t="shared" si="61"/>
        <v>224.70476495045224</v>
      </c>
      <c r="BH104" s="62">
        <f t="shared" si="62"/>
        <v>518.03809828378553</v>
      </c>
      <c r="BI104" s="62">
        <f ca="1">AVERAGE(OFFSET($BH$3,0,0,'Données projet'!$E$11+1,1))-AVERAGE(OFFSET($H$3,0,0,'Données projet'!$E$11+1,1))</f>
        <v>83.354474428753292</v>
      </c>
      <c r="BJ104" s="62">
        <f t="shared" si="92"/>
        <v>97.75861379589162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5.7067460538105061</v>
      </c>
      <c r="BQ104" s="23">
        <f>EXP(-LN(2)/25)*BQ103+(1-EXP(-LN(2)/25))/(LN(2)/25)*Calculateur!BL104*Calculateur!BN104*VLOOKUP('Données projet'!$B$11,Paramètres!$A$1:$I$88,3,0)*0.475*44/12</f>
        <v>3.7412054013989064</v>
      </c>
      <c r="BR104" s="23">
        <f>EXP(-LN(2)/2)*BR103+(1-EXP(-LN(2)/2))/(LN(2)/2)*BL104*BO104*VLOOKUP('Données projet'!$B$11,Paramètres!$A$1:$I$88,3,0)*0.475*44/12</f>
        <v>0</v>
      </c>
      <c r="BS104" s="24">
        <f t="shared" si="63"/>
        <v>9.447951455209413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projet'!$B$12,Paramètres!$A$1:$I$88,3,0)*0.475*44/12</f>
        <v>#N/A</v>
      </c>
      <c r="CL104" s="23" t="e">
        <f>EXP(-LN(2)/25)*CL103+(1-EXP(-LN(2)/25))/(LN(2)/25)*Calculateur!CG104*Calculateur!CI104*VLOOKUP('Données projet'!$B$12,Paramètres!$A$1:$I$88,3,0)*0.475*44/12</f>
        <v>#N/A</v>
      </c>
      <c r="CM104" s="23" t="e">
        <f>EXP(-LN(2)/2)*CM103+(1-EXP(-LN(2)/2))/(LN(2)/2)*CG104*CJ104*VLOOKUP('Données projet'!$B$12,Paramètres!$A$1:$I$88,3,0)*0.475*44/12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74.786399999999801</v>
      </c>
      <c r="D105" s="12">
        <f t="shared" si="86"/>
        <v>20.857475351088922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738.30359920138665</v>
      </c>
      <c r="H105" s="70">
        <f t="shared" si="56"/>
        <v>459.91308290314612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2.8421709430404007E-13</v>
      </c>
      <c r="O105" s="14">
        <f>N105*VLOOKUP('Données projet'!$B$9,Paramètres!$A$1:$I$88,3,0)*VLOOKUP('Données projet'!$B$9,Paramètres!$A$1:$I$88,5,0)</f>
        <v>1.588773557159584E-13</v>
      </c>
      <c r="P105" s="14">
        <f t="shared" si="87"/>
        <v>2.2615721672198623E-12</v>
      </c>
      <c r="Q105" s="22">
        <f t="shared" si="107"/>
        <v>4.2156162524465543E-12</v>
      </c>
      <c r="R105" s="62">
        <f t="shared" si="55"/>
        <v>293.33333333333752</v>
      </c>
      <c r="S105" s="62">
        <f ca="1">AVERAGE(OFFSET($R$3,0,0,'Données projet'!$E$9+1,1))-AVERAGE(OFFSET($H$3,0,0,'Données projet'!$E$9+1,1))</f>
        <v>222.18341301864729</v>
      </c>
      <c r="T105" s="62">
        <f t="shared" si="88"/>
        <v>172.63628480089358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147.63865070001742</v>
      </c>
      <c r="AA105" s="23">
        <f>EXP(-LN(2)/25)*AA104+(1-EXP(-LN(2)/25))/(LN(2)/25)*Calculateur!V105*Calculateur!X105*VLOOKUP('Données projet'!$B$9,Paramètres!$A$1:$I$88,3,0)*0.475*44/12</f>
        <v>59.156515358553015</v>
      </c>
      <c r="AB105" s="23">
        <f>EXP(-LN(2)/2)*AB104+(1-EXP(-LN(2)/2))/(LN(2)/2)*V105*Y105*VLOOKUP('Données projet'!$B$9,Paramètres!$A$1:$I$88,3,0)*0.475*44/12</f>
        <v>0</v>
      </c>
      <c r="AC105" s="24">
        <f t="shared" si="57"/>
        <v>206.79516605857043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projet'!$B$10,Paramètres!$A$1:$I$88,3,0)*VLOOKUP('Données projet'!$B$10,Paramètres!$A$1:$I$88,5,0)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82.840015321739202</v>
      </c>
      <c r="AO105" s="62">
        <f t="shared" si="90"/>
        <v>101.40622074610098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33.187463732633944</v>
      </c>
      <c r="AV105" s="23">
        <f>EXP(-LN(2)/25)*AV104+(1-EXP(-LN(2)/25))/(LN(2)/25)*Calculateur!AQ105*Calculateur!AS105*VLOOKUP('Données projet'!$B$10,Paramètres!$A$1:$I$88,3,0)*0.475*44/12</f>
        <v>12.299872725038982</v>
      </c>
      <c r="AW105" s="23">
        <f>EXP(-LN(2)/2)*AW104+(1-EXP(-LN(2)/2))/(LN(2)/2)*AQ105*AT105*VLOOKUP('Données projet'!$B$10,Paramètres!$A$1:$I$88,3,0)*0.475*44/12</f>
        <v>0</v>
      </c>
      <c r="AX105" s="23">
        <f t="shared" si="60"/>
        <v>45.487336457672924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169.99999999999983</v>
      </c>
      <c r="BE105" s="14">
        <f>BD105*VLOOKUP('Données projet'!$B$11,Paramètres!$A$1:$I$88,3,0)*VLOOKUP('Données projet'!$B$11,Paramètres!$A$1:$I$88,5,0)</f>
        <v>101.65999999999991</v>
      </c>
      <c r="BF105" s="14">
        <f t="shared" si="91"/>
        <v>27.357089923704745</v>
      </c>
      <c r="BG105" s="22">
        <f t="shared" si="61"/>
        <v>224.70476495045224</v>
      </c>
      <c r="BH105" s="62">
        <f t="shared" si="62"/>
        <v>518.03809828378553</v>
      </c>
      <c r="BI105" s="62">
        <f ca="1">AVERAGE(OFFSET($BH$3,0,0,'Données projet'!$E$11+1,1))-AVERAGE(OFFSET($H$3,0,0,'Données projet'!$E$11+1,1))</f>
        <v>83.354474428753292</v>
      </c>
      <c r="BJ105" s="62">
        <f t="shared" si="92"/>
        <v>97.75861379589162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5.5948402444666776</v>
      </c>
      <c r="BQ105" s="23">
        <f>EXP(-LN(2)/25)*BQ104+(1-EXP(-LN(2)/25))/(LN(2)/25)*Calculateur!BL105*Calculateur!BN105*VLOOKUP('Données projet'!$B$11,Paramètres!$A$1:$I$88,3,0)*0.475*44/12</f>
        <v>3.6389019429562119</v>
      </c>
      <c r="BR105" s="23">
        <f>EXP(-LN(2)/2)*BR104+(1-EXP(-LN(2)/2))/(LN(2)/2)*BL105*BO105*VLOOKUP('Données projet'!$B$11,Paramètres!$A$1:$I$88,3,0)*0.475*44/12</f>
        <v>0</v>
      </c>
      <c r="BS105" s="24">
        <f t="shared" si="63"/>
        <v>9.2337421874228891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projet'!$B$12,Paramètres!$A$1:$I$88,3,0)*0.475*44/12</f>
        <v>#N/A</v>
      </c>
      <c r="CL105" s="23" t="e">
        <f>EXP(-LN(2)/25)*CL104+(1-EXP(-LN(2)/25))/(LN(2)/25)*Calculateur!CG105*Calculateur!CI105*VLOOKUP('Données projet'!$B$12,Paramètres!$A$1:$I$88,3,0)*0.475*44/12</f>
        <v>#N/A</v>
      </c>
      <c r="CM105" s="23" t="e">
        <f>EXP(-LN(2)/2)*CM104+(1-EXP(-LN(2)/2))/(LN(2)/2)*CG105*CJ105*VLOOKUP('Données projet'!$B$12,Paramètres!$A$1:$I$88,3,0)*0.475*44/12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75.519599999999798</v>
      </c>
      <c r="D106" s="12">
        <f t="shared" si="86"/>
        <v>21.038055622045484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745.35734164385815</v>
      </c>
      <c r="H106" s="70">
        <f t="shared" si="56"/>
        <v>461.50458354172883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2.8421709430404007E-13</v>
      </c>
      <c r="O106" s="14">
        <f>N106*VLOOKUP('Données projet'!$B$9,Paramètres!$A$1:$I$88,3,0)*VLOOKUP('Données projet'!$B$9,Paramètres!$A$1:$I$88,5,0)</f>
        <v>1.588773557159584E-13</v>
      </c>
      <c r="P106" s="14">
        <f t="shared" si="87"/>
        <v>2.2615721672198623E-12</v>
      </c>
      <c r="Q106" s="22">
        <f t="shared" si="107"/>
        <v>4.2156162524465543E-12</v>
      </c>
      <c r="R106" s="62">
        <f t="shared" si="55"/>
        <v>293.33333333333752</v>
      </c>
      <c r="S106" s="62">
        <f ca="1">AVERAGE(OFFSET($R$3,0,0,'Données projet'!$E$9+1,1))-AVERAGE(OFFSET($H$3,0,0,'Données projet'!$E$9+1,1))</f>
        <v>222.18341301864729</v>
      </c>
      <c r="T106" s="62">
        <f t="shared" si="88"/>
        <v>172.63628480089358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144.74354681047524</v>
      </c>
      <c r="AA106" s="23">
        <f>EXP(-LN(2)/25)*AA105+(1-EXP(-LN(2)/25))/(LN(2)/25)*Calculateur!V106*Calculateur!X106*VLOOKUP('Données projet'!$B$9,Paramètres!$A$1:$I$88,3,0)*0.475*44/12</f>
        <v>57.538877335167442</v>
      </c>
      <c r="AB106" s="23">
        <f>EXP(-LN(2)/2)*AB105+(1-EXP(-LN(2)/2))/(LN(2)/2)*V106*Y106*VLOOKUP('Données projet'!$B$9,Paramètres!$A$1:$I$88,3,0)*0.475*44/12</f>
        <v>0</v>
      </c>
      <c r="AC106" s="24">
        <f t="shared" si="57"/>
        <v>202.28242414564266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projet'!$B$10,Paramètres!$A$1:$I$88,3,0)*VLOOKUP('Données projet'!$B$10,Paramètres!$A$1:$I$88,5,0)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82.840015321739202</v>
      </c>
      <c r="AO106" s="62">
        <f t="shared" si="90"/>
        <v>101.40622074610098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32.536677811191105</v>
      </c>
      <c r="AV106" s="23">
        <f>EXP(-LN(2)/25)*AV105+(1-EXP(-LN(2)/25))/(LN(2)/25)*Calculateur!AQ106*Calculateur!AS106*VLOOKUP('Données projet'!$B$10,Paramètres!$A$1:$I$88,3,0)*0.475*44/12</f>
        <v>11.963532058550596</v>
      </c>
      <c r="AW106" s="23">
        <f>EXP(-LN(2)/2)*AW105+(1-EXP(-LN(2)/2))/(LN(2)/2)*AQ106*AT106*VLOOKUP('Données projet'!$B$10,Paramètres!$A$1:$I$88,3,0)*0.475*44/12</f>
        <v>0</v>
      </c>
      <c r="AX106" s="23">
        <f t="shared" si="60"/>
        <v>44.500209869741703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169.99999999999983</v>
      </c>
      <c r="BE106" s="14">
        <f>BD106*VLOOKUP('Données projet'!$B$11,Paramètres!$A$1:$I$88,3,0)*VLOOKUP('Données projet'!$B$11,Paramètres!$A$1:$I$88,5,0)</f>
        <v>101.65999999999991</v>
      </c>
      <c r="BF106" s="14">
        <f t="shared" si="91"/>
        <v>27.357089923704745</v>
      </c>
      <c r="BG106" s="22">
        <f t="shared" si="61"/>
        <v>224.70476495045224</v>
      </c>
      <c r="BH106" s="62">
        <f t="shared" si="62"/>
        <v>518.03809828378553</v>
      </c>
      <c r="BI106" s="62">
        <f ca="1">AVERAGE(OFFSET($BH$3,0,0,'Données projet'!$E$11+1,1))-AVERAGE(OFFSET($H$3,0,0,'Données projet'!$E$11+1,1))</f>
        <v>83.354474428753292</v>
      </c>
      <c r="BJ106" s="62">
        <f t="shared" si="92"/>
        <v>97.75861379589162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5.4851288397882776</v>
      </c>
      <c r="BQ106" s="23">
        <f>EXP(-LN(2)/25)*BQ105+(1-EXP(-LN(2)/25))/(LN(2)/25)*Calculateur!BL106*Calculateur!BN106*VLOOKUP('Données projet'!$B$11,Paramètres!$A$1:$I$88,3,0)*0.475*44/12</f>
        <v>3.5393959779645381</v>
      </c>
      <c r="BR106" s="23">
        <f>EXP(-LN(2)/2)*BR105+(1-EXP(-LN(2)/2))/(LN(2)/2)*BL106*BO106*VLOOKUP('Données projet'!$B$11,Paramètres!$A$1:$I$88,3,0)*0.475*44/12</f>
        <v>0</v>
      </c>
      <c r="BS106" s="24">
        <f t="shared" si="63"/>
        <v>9.0245248177528161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projet'!$B$12,Paramètres!$A$1:$I$88,3,0)*0.475*44/12</f>
        <v>#N/A</v>
      </c>
      <c r="CL106" s="23" t="e">
        <f>EXP(-LN(2)/25)*CL105+(1-EXP(-LN(2)/25))/(LN(2)/25)*Calculateur!CG106*Calculateur!CI106*VLOOKUP('Données projet'!$B$12,Paramètres!$A$1:$I$88,3,0)*0.475*44/12</f>
        <v>#N/A</v>
      </c>
      <c r="CM106" s="23" t="e">
        <f>EXP(-LN(2)/2)*CM105+(1-EXP(-LN(2)/2))/(LN(2)/2)*CG106*CJ106*VLOOKUP('Données projet'!$B$12,Paramètres!$A$1:$I$88,3,0)*0.475*44/12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76.252799999999795</v>
      </c>
      <c r="D107" s="12">
        <f t="shared" si="86"/>
        <v>21.21843193164279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752.40950964776732</v>
      </c>
      <c r="H107" s="70">
        <f t="shared" si="56"/>
        <v>463.09572894761084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2.8421709430404007E-13</v>
      </c>
      <c r="O107" s="14">
        <f>N107*VLOOKUP('Données projet'!$B$9,Paramètres!$A$1:$I$88,3,0)*VLOOKUP('Données projet'!$B$9,Paramètres!$A$1:$I$88,5,0)</f>
        <v>1.588773557159584E-13</v>
      </c>
      <c r="P107" s="14">
        <f t="shared" si="87"/>
        <v>2.2615721672198623E-12</v>
      </c>
      <c r="Q107" s="22">
        <f t="shared" si="107"/>
        <v>4.2156162524465543E-12</v>
      </c>
      <c r="R107" s="62">
        <f t="shared" si="55"/>
        <v>293.33333333333752</v>
      </c>
      <c r="S107" s="62">
        <f ca="1">AVERAGE(OFFSET($R$3,0,0,'Données projet'!$E$9+1,1))-AVERAGE(OFFSET($H$3,0,0,'Données projet'!$E$9+1,1))</f>
        <v>222.18341301864729</v>
      </c>
      <c r="T107" s="62">
        <f t="shared" si="88"/>
        <v>172.63628480089358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141.90521414236798</v>
      </c>
      <c r="AA107" s="23">
        <f>EXP(-LN(2)/25)*AA106+(1-EXP(-LN(2)/25))/(LN(2)/25)*Calculateur!V107*Calculateur!X107*VLOOKUP('Données projet'!$B$9,Paramètres!$A$1:$I$88,3,0)*0.475*44/12</f>
        <v>55.965473708599234</v>
      </c>
      <c r="AB107" s="23">
        <f>EXP(-LN(2)/2)*AB106+(1-EXP(-LN(2)/2))/(LN(2)/2)*V107*Y107*VLOOKUP('Données projet'!$B$9,Paramètres!$A$1:$I$88,3,0)*0.475*44/12</f>
        <v>0</v>
      </c>
      <c r="AC107" s="24">
        <f t="shared" si="57"/>
        <v>197.87068785096722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projet'!$B$10,Paramètres!$A$1:$I$88,3,0)*VLOOKUP('Données projet'!$B$10,Paramètres!$A$1:$I$88,5,0)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82.840015321739202</v>
      </c>
      <c r="AO107" s="62">
        <f t="shared" si="90"/>
        <v>101.40622074610098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31.89865340472754</v>
      </c>
      <c r="AV107" s="23">
        <f>EXP(-LN(2)/25)*AV106+(1-EXP(-LN(2)/25))/(LN(2)/25)*Calculateur!AQ107*Calculateur!AS107*VLOOKUP('Données projet'!$B$10,Paramètres!$A$1:$I$88,3,0)*0.475*44/12</f>
        <v>11.636388645274723</v>
      </c>
      <c r="AW107" s="23">
        <f>EXP(-LN(2)/2)*AW106+(1-EXP(-LN(2)/2))/(LN(2)/2)*AQ107*AT107*VLOOKUP('Données projet'!$B$10,Paramètres!$A$1:$I$88,3,0)*0.475*44/12</f>
        <v>0</v>
      </c>
      <c r="AX107" s="23">
        <f t="shared" si="60"/>
        <v>43.535042050002261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169.99999999999983</v>
      </c>
      <c r="BE107" s="14">
        <f>BD107*VLOOKUP('Données projet'!$B$11,Paramètres!$A$1:$I$88,3,0)*VLOOKUP('Données projet'!$B$11,Paramètres!$A$1:$I$88,5,0)</f>
        <v>101.65999999999991</v>
      </c>
      <c r="BF107" s="14">
        <f t="shared" si="91"/>
        <v>27.357089923704745</v>
      </c>
      <c r="BG107" s="22">
        <f t="shared" si="61"/>
        <v>224.70476495045224</v>
      </c>
      <c r="BH107" s="62">
        <f t="shared" si="62"/>
        <v>518.03809828378553</v>
      </c>
      <c r="BI107" s="62">
        <f ca="1">AVERAGE(OFFSET($BH$3,0,0,'Données projet'!$E$11+1,1))-AVERAGE(OFFSET($H$3,0,0,'Données projet'!$E$11+1,1))</f>
        <v>83.354474428753292</v>
      </c>
      <c r="BJ107" s="62">
        <f t="shared" si="92"/>
        <v>97.75861379589162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5.3775688088382712</v>
      </c>
      <c r="BQ107" s="23">
        <f>EXP(-LN(2)/25)*BQ106+(1-EXP(-LN(2)/25))/(LN(2)/25)*Calculateur!BL107*Calculateur!BN107*VLOOKUP('Données projet'!$B$11,Paramètres!$A$1:$I$88,3,0)*0.475*44/12</f>
        <v>3.4426110088183526</v>
      </c>
      <c r="BR107" s="23">
        <f>EXP(-LN(2)/2)*BR106+(1-EXP(-LN(2)/2))/(LN(2)/2)*BL107*BO107*VLOOKUP('Données projet'!$B$11,Paramètres!$A$1:$I$88,3,0)*0.475*44/12</f>
        <v>0</v>
      </c>
      <c r="BS107" s="24">
        <f t="shared" si="63"/>
        <v>8.8201798176566228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projet'!$B$12,Paramètres!$A$1:$I$88,3,0)*0.475*44/12</f>
        <v>#N/A</v>
      </c>
      <c r="CL107" s="23" t="e">
        <f>EXP(-LN(2)/25)*CL106+(1-EXP(-LN(2)/25))/(LN(2)/25)*Calculateur!CG107*Calculateur!CI107*VLOOKUP('Données projet'!$B$12,Paramètres!$A$1:$I$88,3,0)*0.475*44/12</f>
        <v>#N/A</v>
      </c>
      <c r="CM107" s="23" t="e">
        <f>EXP(-LN(2)/2)*CM106+(1-EXP(-LN(2)/2))/(LN(2)/2)*CG107*CJ107*VLOOKUP('Données projet'!$B$12,Paramètres!$A$1:$I$88,3,0)*0.475*44/12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76.985999999999791</v>
      </c>
      <c r="D108" s="12">
        <f t="shared" si="86"/>
        <v>21.398606468170534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759.4601201051745</v>
      </c>
      <c r="H108" s="70">
        <f t="shared" si="56"/>
        <v>464.68652293206327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2.8421709430404007E-13</v>
      </c>
      <c r="O108" s="14">
        <f>N108*VLOOKUP('Données projet'!$B$9,Paramètres!$A$1:$I$88,3,0)*VLOOKUP('Données projet'!$B$9,Paramètres!$A$1:$I$88,5,0)</f>
        <v>1.588773557159584E-13</v>
      </c>
      <c r="P108" s="14">
        <f t="shared" si="87"/>
        <v>2.2615721672198623E-12</v>
      </c>
      <c r="Q108" s="22">
        <f t="shared" si="107"/>
        <v>4.2156162524465543E-12</v>
      </c>
      <c r="R108" s="62">
        <f t="shared" si="55"/>
        <v>293.33333333333752</v>
      </c>
      <c r="S108" s="62">
        <f ca="1">AVERAGE(OFFSET($R$3,0,0,'Données projet'!$E$9+1,1))-AVERAGE(OFFSET($H$3,0,0,'Données projet'!$E$9+1,1))</f>
        <v>222.18341301864729</v>
      </c>
      <c r="T108" s="62">
        <f t="shared" si="88"/>
        <v>172.63628480089358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139.12253944667032</v>
      </c>
      <c r="AA108" s="23">
        <f>EXP(-LN(2)/25)*AA107+(1-EXP(-LN(2)/25))/(LN(2)/25)*Calculateur!V108*Calculateur!X108*VLOOKUP('Données projet'!$B$9,Paramètres!$A$1:$I$88,3,0)*0.475*44/12</f>
        <v>54.435094886941236</v>
      </c>
      <c r="AB108" s="23">
        <f>EXP(-LN(2)/2)*AB107+(1-EXP(-LN(2)/2))/(LN(2)/2)*V108*Y108*VLOOKUP('Données projet'!$B$9,Paramètres!$A$1:$I$88,3,0)*0.475*44/12</f>
        <v>0</v>
      </c>
      <c r="AC108" s="24">
        <f t="shared" si="57"/>
        <v>193.55763433361156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projet'!$B$10,Paramètres!$A$1:$I$88,3,0)*VLOOKUP('Données projet'!$B$10,Paramètres!$A$1:$I$88,5,0)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82.840015321739202</v>
      </c>
      <c r="AO108" s="62">
        <f t="shared" si="90"/>
        <v>101.40622074610098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31.273140267718265</v>
      </c>
      <c r="AV108" s="23">
        <f>EXP(-LN(2)/25)*AV107+(1-EXP(-LN(2)/25))/(LN(2)/25)*Calculateur!AQ108*Calculateur!AS108*VLOOKUP('Données projet'!$B$10,Paramètres!$A$1:$I$88,3,0)*0.475*44/12</f>
        <v>11.318190985838601</v>
      </c>
      <c r="AW108" s="23">
        <f>EXP(-LN(2)/2)*AW107+(1-EXP(-LN(2)/2))/(LN(2)/2)*AQ108*AT108*VLOOKUP('Données projet'!$B$10,Paramètres!$A$1:$I$88,3,0)*0.475*44/12</f>
        <v>0</v>
      </c>
      <c r="AX108" s="23">
        <f t="shared" si="60"/>
        <v>42.591331253556866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169.99999999999983</v>
      </c>
      <c r="BE108" s="14">
        <f>BD108*VLOOKUP('Données projet'!$B$11,Paramètres!$A$1:$I$88,3,0)*VLOOKUP('Données projet'!$B$11,Paramètres!$A$1:$I$88,5,0)</f>
        <v>101.65999999999991</v>
      </c>
      <c r="BF108" s="14">
        <f t="shared" si="91"/>
        <v>27.357089923704745</v>
      </c>
      <c r="BG108" s="22">
        <f t="shared" si="61"/>
        <v>224.70476495045224</v>
      </c>
      <c r="BH108" s="62">
        <f t="shared" si="62"/>
        <v>518.03809828378553</v>
      </c>
      <c r="BI108" s="62">
        <f ca="1">AVERAGE(OFFSET($BH$3,0,0,'Données projet'!$E$11+1,1))-AVERAGE(OFFSET($H$3,0,0,'Données projet'!$E$11+1,1))</f>
        <v>83.354474428753292</v>
      </c>
      <c r="BJ108" s="62">
        <f t="shared" si="92"/>
        <v>97.75861379589162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5.2721179644900538</v>
      </c>
      <c r="BQ108" s="23">
        <f>EXP(-LN(2)/25)*BQ107+(1-EXP(-LN(2)/25))/(LN(2)/25)*Calculateur!BL108*Calculateur!BN108*VLOOKUP('Données projet'!$B$11,Paramètres!$A$1:$I$88,3,0)*0.475*44/12</f>
        <v>3.3484726297431702</v>
      </c>
      <c r="BR108" s="23">
        <f>EXP(-LN(2)/2)*BR107+(1-EXP(-LN(2)/2))/(LN(2)/2)*BL108*BO108*VLOOKUP('Données projet'!$B$11,Paramètres!$A$1:$I$88,3,0)*0.475*44/12</f>
        <v>0</v>
      </c>
      <c r="BS108" s="24">
        <f t="shared" si="63"/>
        <v>8.6205905942332244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projet'!$B$12,Paramètres!$A$1:$I$88,3,0)*0.475*44/12</f>
        <v>#N/A</v>
      </c>
      <c r="CL108" s="23" t="e">
        <f>EXP(-LN(2)/25)*CL107+(1-EXP(-LN(2)/25))/(LN(2)/25)*Calculateur!CG108*Calculateur!CI108*VLOOKUP('Données projet'!$B$12,Paramètres!$A$1:$I$88,3,0)*0.475*44/12</f>
        <v>#N/A</v>
      </c>
      <c r="CM108" s="23" t="e">
        <f>EXP(-LN(2)/2)*CM107+(1-EXP(-LN(2)/2))/(LN(2)/2)*CG108*CJ108*VLOOKUP('Données projet'!$B$12,Paramètres!$A$1:$I$88,3,0)*0.475*44/12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77.719199999999788</v>
      </c>
      <c r="D109" s="12">
        <f t="shared" si="86"/>
        <v>21.578581375833281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766.50918956783426</v>
      </c>
      <c r="H109" s="70">
        <f t="shared" si="56"/>
        <v>466.27696922957591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2.8421709430404007E-13</v>
      </c>
      <c r="O109" s="14">
        <f>N109*VLOOKUP('Données projet'!$B$9,Paramètres!$A$1:$I$88,3,0)*VLOOKUP('Données projet'!$B$9,Paramètres!$A$1:$I$88,5,0)</f>
        <v>1.588773557159584E-13</v>
      </c>
      <c r="P109" s="14">
        <f t="shared" si="87"/>
        <v>2.2615721672198623E-12</v>
      </c>
      <c r="Q109" s="22">
        <f t="shared" si="107"/>
        <v>4.2156162524465543E-12</v>
      </c>
      <c r="R109" s="62">
        <f t="shared" si="55"/>
        <v>293.33333333333752</v>
      </c>
      <c r="S109" s="62">
        <f ca="1">AVERAGE(OFFSET($R$3,0,0,'Données projet'!$E$9+1,1))-AVERAGE(OFFSET($H$3,0,0,'Données projet'!$E$9+1,1))</f>
        <v>222.18341301864729</v>
      </c>
      <c r="T109" s="62">
        <f t="shared" si="88"/>
        <v>172.63628480089358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136.39443130449129</v>
      </c>
      <c r="AA109" s="23">
        <f>EXP(-LN(2)/25)*AA108+(1-EXP(-LN(2)/25))/(LN(2)/25)*Calculateur!V109*Calculateur!X109*VLOOKUP('Données projet'!$B$9,Paramètres!$A$1:$I$88,3,0)*0.475*44/12</f>
        <v>52.9465643546406</v>
      </c>
      <c r="AB109" s="23">
        <f>EXP(-LN(2)/2)*AB108+(1-EXP(-LN(2)/2))/(LN(2)/2)*V109*Y109*VLOOKUP('Données projet'!$B$9,Paramètres!$A$1:$I$88,3,0)*0.475*44/12</f>
        <v>0</v>
      </c>
      <c r="AC109" s="24">
        <f t="shared" si="57"/>
        <v>189.34099565913189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projet'!$B$10,Paramètres!$A$1:$I$88,3,0)*VLOOKUP('Données projet'!$B$10,Paramètres!$A$1:$I$88,5,0)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82.840015321739202</v>
      </c>
      <c r="AO109" s="62">
        <f t="shared" si="90"/>
        <v>101.40622074610098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30.6598930618004</v>
      </c>
      <c r="AV109" s="23">
        <f>EXP(-LN(2)/25)*AV108+(1-EXP(-LN(2)/25))/(LN(2)/25)*Calculateur!AQ109*Calculateur!AS109*VLOOKUP('Données projet'!$B$10,Paramètres!$A$1:$I$88,3,0)*0.475*44/12</f>
        <v>11.008694458133048</v>
      </c>
      <c r="AW109" s="23">
        <f>EXP(-LN(2)/2)*AW108+(1-EXP(-LN(2)/2))/(LN(2)/2)*AQ109*AT109*VLOOKUP('Données projet'!$B$10,Paramètres!$A$1:$I$88,3,0)*0.475*44/12</f>
        <v>0</v>
      </c>
      <c r="AX109" s="23">
        <f t="shared" si="60"/>
        <v>41.668587519933446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169.99999999999983</v>
      </c>
      <c r="BE109" s="14">
        <f>BD109*VLOOKUP('Données projet'!$B$11,Paramètres!$A$1:$I$88,3,0)*VLOOKUP('Données projet'!$B$11,Paramètres!$A$1:$I$88,5,0)</f>
        <v>101.65999999999991</v>
      </c>
      <c r="BF109" s="14">
        <f t="shared" si="91"/>
        <v>27.357089923704745</v>
      </c>
      <c r="BG109" s="22">
        <f t="shared" si="61"/>
        <v>224.70476495045224</v>
      </c>
      <c r="BH109" s="62">
        <f t="shared" si="62"/>
        <v>518.03809828378553</v>
      </c>
      <c r="BI109" s="62">
        <f ca="1">AVERAGE(OFFSET($BH$3,0,0,'Données projet'!$E$11+1,1))-AVERAGE(OFFSET($H$3,0,0,'Données projet'!$E$11+1,1))</f>
        <v>83.354474428753292</v>
      </c>
      <c r="BJ109" s="62">
        <f t="shared" si="92"/>
        <v>97.75861379589162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5.168734946880841</v>
      </c>
      <c r="BQ109" s="23">
        <f>EXP(-LN(2)/25)*BQ108+(1-EXP(-LN(2)/25))/(LN(2)/25)*Calculateur!BL109*Calculateur!BN109*VLOOKUP('Données projet'!$B$11,Paramètres!$A$1:$I$88,3,0)*0.475*44/12</f>
        <v>3.2569084695943205</v>
      </c>
      <c r="BR109" s="23">
        <f>EXP(-LN(2)/2)*BR108+(1-EXP(-LN(2)/2))/(LN(2)/2)*BL109*BO109*VLOOKUP('Données projet'!$B$11,Paramètres!$A$1:$I$88,3,0)*0.475*44/12</f>
        <v>0</v>
      </c>
      <c r="BS109" s="24">
        <f t="shared" si="63"/>
        <v>8.425643416475161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projet'!$B$12,Paramètres!$A$1:$I$88,3,0)*0.475*44/12</f>
        <v>#N/A</v>
      </c>
      <c r="CL109" s="23" t="e">
        <f>EXP(-LN(2)/25)*CL108+(1-EXP(-LN(2)/25))/(LN(2)/25)*Calculateur!CG109*Calculateur!CI109*VLOOKUP('Données projet'!$B$12,Paramètres!$A$1:$I$88,3,0)*0.475*44/12</f>
        <v>#N/A</v>
      </c>
      <c r="CM109" s="23" t="e">
        <f>EXP(-LN(2)/2)*CM108+(1-EXP(-LN(2)/2))/(LN(2)/2)*CG109*CJ109*VLOOKUP('Données projet'!$B$12,Paramètres!$A$1:$I$88,3,0)*0.475*44/12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78.452399999999784</v>
      </c>
      <c r="D110" s="12">
        <f t="shared" si="86"/>
        <v>21.758358756045919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773.55673425719488</v>
      </c>
      <c r="H110" s="70">
        <f t="shared" si="56"/>
        <v>467.86707150011296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2.8421709430404007E-13</v>
      </c>
      <c r="O110" s="14">
        <f>N110*VLOOKUP('Données projet'!$B$9,Paramètres!$A$1:$I$88,3,0)*VLOOKUP('Données projet'!$B$9,Paramètres!$A$1:$I$88,5,0)</f>
        <v>1.588773557159584E-13</v>
      </c>
      <c r="P110" s="14">
        <f t="shared" si="87"/>
        <v>2.2615721672198623E-12</v>
      </c>
      <c r="Q110" s="22">
        <f t="shared" si="107"/>
        <v>4.2156162524465543E-12</v>
      </c>
      <c r="R110" s="62">
        <f t="shared" si="55"/>
        <v>293.33333333333752</v>
      </c>
      <c r="S110" s="62">
        <f ca="1">AVERAGE(OFFSET($R$3,0,0,'Données projet'!$E$9+1,1))-AVERAGE(OFFSET($H$3,0,0,'Données projet'!$E$9+1,1))</f>
        <v>222.18341301864729</v>
      </c>
      <c r="T110" s="62">
        <f t="shared" si="88"/>
        <v>172.63628480089358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133.71981969899875</v>
      </c>
      <c r="AA110" s="23">
        <f>EXP(-LN(2)/25)*AA109+(1-EXP(-LN(2)/25))/(LN(2)/25)*Calculateur!V110*Calculateur!X110*VLOOKUP('Données projet'!$B$9,Paramètres!$A$1:$I$88,3,0)*0.475*44/12</f>
        <v>51.498737768024142</v>
      </c>
      <c r="AB110" s="23">
        <f>EXP(-LN(2)/2)*AB109+(1-EXP(-LN(2)/2))/(LN(2)/2)*V110*Y110*VLOOKUP('Données projet'!$B$9,Paramètres!$A$1:$I$88,3,0)*0.475*44/12</f>
        <v>0</v>
      </c>
      <c r="AC110" s="24">
        <f t="shared" si="57"/>
        <v>185.21855746702289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projet'!$B$10,Paramètres!$A$1:$I$88,3,0)*VLOOKUP('Données projet'!$B$10,Paramètres!$A$1:$I$88,5,0)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82.840015321739202</v>
      </c>
      <c r="AO110" s="62">
        <f t="shared" si="90"/>
        <v>101.40622074610098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30.05867125954672</v>
      </c>
      <c r="AV110" s="23">
        <f>EXP(-LN(2)/25)*AV109+(1-EXP(-LN(2)/25))/(LN(2)/25)*Calculateur!AQ110*Calculateur!AS110*VLOOKUP('Données projet'!$B$10,Paramètres!$A$1:$I$88,3,0)*0.475*44/12</f>
        <v>10.707661129253319</v>
      </c>
      <c r="AW110" s="23">
        <f>EXP(-LN(2)/2)*AW109+(1-EXP(-LN(2)/2))/(LN(2)/2)*AQ110*AT110*VLOOKUP('Données projet'!$B$10,Paramètres!$A$1:$I$88,3,0)*0.475*44/12</f>
        <v>0</v>
      </c>
      <c r="AX110" s="23">
        <f t="shared" si="60"/>
        <v>40.766332388800038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169.99999999999983</v>
      </c>
      <c r="BE110" s="14">
        <f>BD110*VLOOKUP('Données projet'!$B$11,Paramètres!$A$1:$I$88,3,0)*VLOOKUP('Données projet'!$B$11,Paramètres!$A$1:$I$88,5,0)</f>
        <v>101.65999999999991</v>
      </c>
      <c r="BF110" s="14">
        <f t="shared" si="91"/>
        <v>27.357089923704745</v>
      </c>
      <c r="BG110" s="22">
        <f t="shared" si="61"/>
        <v>224.70476495045224</v>
      </c>
      <c r="BH110" s="62">
        <f t="shared" si="62"/>
        <v>518.03809828378553</v>
      </c>
      <c r="BI110" s="62">
        <f ca="1">AVERAGE(OFFSET($BH$3,0,0,'Données projet'!$E$11+1,1))-AVERAGE(OFFSET($H$3,0,0,'Données projet'!$E$11+1,1))</f>
        <v>83.354474428753292</v>
      </c>
      <c r="BJ110" s="62">
        <f t="shared" si="92"/>
        <v>97.75861379589162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5.0673792071895303</v>
      </c>
      <c r="BQ110" s="23">
        <f>EXP(-LN(2)/25)*BQ109+(1-EXP(-LN(2)/25))/(LN(2)/25)*Calculateur!BL110*Calculateur!BN110*VLOOKUP('Données projet'!$B$11,Paramètres!$A$1:$I$88,3,0)*0.475*44/12</f>
        <v>3.1678481362198911</v>
      </c>
      <c r="BR110" s="23">
        <f>EXP(-LN(2)/2)*BR109+(1-EXP(-LN(2)/2))/(LN(2)/2)*BL110*BO110*VLOOKUP('Données projet'!$B$11,Paramètres!$A$1:$I$88,3,0)*0.475*44/12</f>
        <v>0</v>
      </c>
      <c r="BS110" s="24">
        <f t="shared" si="63"/>
        <v>8.2352273434094219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projet'!$B$12,Paramètres!$A$1:$I$88,3,0)*0.475*44/12</f>
        <v>#N/A</v>
      </c>
      <c r="CL110" s="23" t="e">
        <f>EXP(-LN(2)/25)*CL109+(1-EXP(-LN(2)/25))/(LN(2)/25)*Calculateur!CG110*Calculateur!CI110*VLOOKUP('Données projet'!$B$12,Paramètres!$A$1:$I$88,3,0)*0.475*44/12</f>
        <v>#N/A</v>
      </c>
      <c r="CM110" s="23" t="e">
        <f>EXP(-LN(2)/2)*CM109+(1-EXP(-LN(2)/2))/(LN(2)/2)*CG110*CJ110*VLOOKUP('Données projet'!$B$12,Paramètres!$A$1:$I$88,3,0)*0.475*44/12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79.185599999999781</v>
      </c>
      <c r="D111" s="12">
        <f t="shared" si="86"/>
        <v>21.937940668679364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780.60277007401453</v>
      </c>
      <c r="H111" s="70">
        <f t="shared" si="56"/>
        <v>469.45683333128278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2.8421709430404007E-13</v>
      </c>
      <c r="O111" s="14">
        <f>N111*VLOOKUP('Données projet'!$B$9,Paramètres!$A$1:$I$88,3,0)*VLOOKUP('Données projet'!$B$9,Paramètres!$A$1:$I$88,5,0)</f>
        <v>1.588773557159584E-13</v>
      </c>
      <c r="P111" s="14">
        <f t="shared" si="87"/>
        <v>2.2615721672198623E-12</v>
      </c>
      <c r="Q111" s="22">
        <f t="shared" si="107"/>
        <v>4.2156162524465543E-12</v>
      </c>
      <c r="R111" s="62">
        <f t="shared" si="55"/>
        <v>293.33333333333752</v>
      </c>
      <c r="S111" s="62">
        <f ca="1">AVERAGE(OFFSET($R$3,0,0,'Données projet'!$E$9+1,1))-AVERAGE(OFFSET($H$3,0,0,'Données projet'!$E$9+1,1))</f>
        <v>222.18341301864729</v>
      </c>
      <c r="T111" s="62">
        <f t="shared" si="88"/>
        <v>172.63628480089358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131.0976555957379</v>
      </c>
      <c r="AA111" s="23">
        <f>EXP(-LN(2)/25)*AA110+(1-EXP(-LN(2)/25))/(LN(2)/25)*Calculateur!V111*Calculateur!X111*VLOOKUP('Données projet'!$B$9,Paramètres!$A$1:$I$88,3,0)*0.475*44/12</f>
        <v>50.090502075556607</v>
      </c>
      <c r="AB111" s="23">
        <f>EXP(-LN(2)/2)*AB110+(1-EXP(-LN(2)/2))/(LN(2)/2)*V111*Y111*VLOOKUP('Données projet'!$B$9,Paramètres!$A$1:$I$88,3,0)*0.475*44/12</f>
        <v>0</v>
      </c>
      <c r="AC111" s="24">
        <f t="shared" si="57"/>
        <v>181.1881576712945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projet'!$B$10,Paramètres!$A$1:$I$88,3,0)*VLOOKUP('Données projet'!$B$10,Paramètres!$A$1:$I$88,5,0)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82.840015321739202</v>
      </c>
      <c r="AO111" s="62">
        <f t="shared" si="90"/>
        <v>101.40622074610098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29.469239050126149</v>
      </c>
      <c r="AV111" s="23">
        <f>EXP(-LN(2)/25)*AV110+(1-EXP(-LN(2)/25))/(LN(2)/25)*Calculateur!AQ111*Calculateur!AS111*VLOOKUP('Données projet'!$B$10,Paramètres!$A$1:$I$88,3,0)*0.475*44/12</f>
        <v>10.414859572582461</v>
      </c>
      <c r="AW111" s="23">
        <f>EXP(-LN(2)/2)*AW110+(1-EXP(-LN(2)/2))/(LN(2)/2)*AQ111*AT111*VLOOKUP('Données projet'!$B$10,Paramètres!$A$1:$I$88,3,0)*0.475*44/12</f>
        <v>0</v>
      </c>
      <c r="AX111" s="23">
        <f t="shared" si="60"/>
        <v>39.884098622708606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169.99999999999983</v>
      </c>
      <c r="BE111" s="14">
        <f>BD111*VLOOKUP('Données projet'!$B$11,Paramètres!$A$1:$I$88,3,0)*VLOOKUP('Données projet'!$B$11,Paramètres!$A$1:$I$88,5,0)</f>
        <v>101.65999999999991</v>
      </c>
      <c r="BF111" s="14">
        <f t="shared" si="91"/>
        <v>27.357089923704745</v>
      </c>
      <c r="BG111" s="22">
        <f t="shared" si="61"/>
        <v>224.70476495045224</v>
      </c>
      <c r="BH111" s="62">
        <f t="shared" si="62"/>
        <v>518.03809828378553</v>
      </c>
      <c r="BI111" s="62">
        <f ca="1">AVERAGE(OFFSET($BH$3,0,0,'Données projet'!$E$11+1,1))-AVERAGE(OFFSET($H$3,0,0,'Données projet'!$E$11+1,1))</f>
        <v>83.354474428753292</v>
      </c>
      <c r="BJ111" s="62">
        <f t="shared" si="92"/>
        <v>97.75861379589162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4.9680109917326689</v>
      </c>
      <c r="BQ111" s="23">
        <f>EXP(-LN(2)/25)*BQ110+(1-EXP(-LN(2)/25))/(LN(2)/25)*Calculateur!BL111*Calculateur!BN111*VLOOKUP('Données projet'!$B$11,Paramètres!$A$1:$I$88,3,0)*0.475*44/12</f>
        <v>3.081223162345065</v>
      </c>
      <c r="BR111" s="23">
        <f>EXP(-LN(2)/2)*BR110+(1-EXP(-LN(2)/2))/(LN(2)/2)*BL111*BO111*VLOOKUP('Données projet'!$B$11,Paramètres!$A$1:$I$88,3,0)*0.475*44/12</f>
        <v>0</v>
      </c>
      <c r="BS111" s="24">
        <f t="shared" si="63"/>
        <v>8.0492341540777339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projet'!$B$12,Paramètres!$A$1:$I$88,3,0)*0.475*44/12</f>
        <v>#N/A</v>
      </c>
      <c r="CL111" s="23" t="e">
        <f>EXP(-LN(2)/25)*CL110+(1-EXP(-LN(2)/25))/(LN(2)/25)*Calculateur!CG111*Calculateur!CI111*VLOOKUP('Données projet'!$B$12,Paramètres!$A$1:$I$88,3,0)*0.475*44/12</f>
        <v>#N/A</v>
      </c>
      <c r="CM111" s="23" t="e">
        <f>EXP(-LN(2)/2)*CM110+(1-EXP(-LN(2)/2))/(LN(2)/2)*CG111*CJ111*VLOOKUP('Données projet'!$B$12,Paramètres!$A$1:$I$88,3,0)*0.475*44/12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79.918799999999777</v>
      </c>
      <c r="D112" s="12">
        <f t="shared" si="86"/>
        <v>22.117329133258693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787.64731260760925</v>
      </c>
      <c r="H112" s="70">
        <f t="shared" si="56"/>
        <v>471.04625824042512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2.8421709430404007E-13</v>
      </c>
      <c r="O112" s="14">
        <f>N112*VLOOKUP('Données projet'!$B$9,Paramètres!$A$1:$I$88,3,0)*VLOOKUP('Données projet'!$B$9,Paramètres!$A$1:$I$88,5,0)</f>
        <v>1.588773557159584E-13</v>
      </c>
      <c r="P112" s="14">
        <f t="shared" si="87"/>
        <v>2.2615721672198623E-12</v>
      </c>
      <c r="Q112" s="22">
        <f t="shared" si="107"/>
        <v>4.2156162524465543E-12</v>
      </c>
      <c r="R112" s="62">
        <f t="shared" si="55"/>
        <v>293.33333333333752</v>
      </c>
      <c r="S112" s="62">
        <f ca="1">AVERAGE(OFFSET($R$3,0,0,'Données projet'!$E$9+1,1))-AVERAGE(OFFSET($H$3,0,0,'Données projet'!$E$9+1,1))</f>
        <v>222.18341301864729</v>
      </c>
      <c r="T112" s="62">
        <f t="shared" si="88"/>
        <v>172.63628480089358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128.52691053117985</v>
      </c>
      <c r="AA112" s="23">
        <f>EXP(-LN(2)/25)*AA111+(1-EXP(-LN(2)/25))/(LN(2)/25)*Calculateur!V112*Calculateur!X112*VLOOKUP('Données projet'!$B$9,Paramètres!$A$1:$I$88,3,0)*0.475*44/12</f>
        <v>48.720774662155492</v>
      </c>
      <c r="AB112" s="23">
        <f>EXP(-LN(2)/2)*AB111+(1-EXP(-LN(2)/2))/(LN(2)/2)*V112*Y112*VLOOKUP('Données projet'!$B$9,Paramètres!$A$1:$I$88,3,0)*0.475*44/12</f>
        <v>0</v>
      </c>
      <c r="AC112" s="24">
        <f t="shared" si="57"/>
        <v>177.24768519333534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projet'!$B$10,Paramètres!$A$1:$I$88,3,0)*VLOOKUP('Données projet'!$B$10,Paramètres!$A$1:$I$88,5,0)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82.840015321739202</v>
      </c>
      <c r="AO112" s="62">
        <f t="shared" si="90"/>
        <v>101.40622074610098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28.891365246814164</v>
      </c>
      <c r="AV112" s="23">
        <f>EXP(-LN(2)/25)*AV111+(1-EXP(-LN(2)/25))/(LN(2)/25)*Calculateur!AQ112*Calculateur!AS112*VLOOKUP('Données projet'!$B$10,Paramètres!$A$1:$I$88,3,0)*0.475*44/12</f>
        <v>10.130064689876532</v>
      </c>
      <c r="AW112" s="23">
        <f>EXP(-LN(2)/2)*AW111+(1-EXP(-LN(2)/2))/(LN(2)/2)*AQ112*AT112*VLOOKUP('Données projet'!$B$10,Paramètres!$A$1:$I$88,3,0)*0.475*44/12</f>
        <v>0</v>
      </c>
      <c r="AX112" s="23">
        <f t="shared" si="60"/>
        <v>39.021429936690694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169.99999999999983</v>
      </c>
      <c r="BE112" s="14">
        <f>BD112*VLOOKUP('Données projet'!$B$11,Paramètres!$A$1:$I$88,3,0)*VLOOKUP('Données projet'!$B$11,Paramètres!$A$1:$I$88,5,0)</f>
        <v>101.65999999999991</v>
      </c>
      <c r="BF112" s="14">
        <f t="shared" si="91"/>
        <v>27.357089923704745</v>
      </c>
      <c r="BG112" s="22">
        <f t="shared" si="61"/>
        <v>224.70476495045224</v>
      </c>
      <c r="BH112" s="62">
        <f t="shared" si="62"/>
        <v>518.03809828378553</v>
      </c>
      <c r="BI112" s="62">
        <f ca="1">AVERAGE(OFFSET($BH$3,0,0,'Données projet'!$E$11+1,1))-AVERAGE(OFFSET($H$3,0,0,'Données projet'!$E$11+1,1))</f>
        <v>83.354474428753292</v>
      </c>
      <c r="BJ112" s="62">
        <f t="shared" si="92"/>
        <v>97.75861379589162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4.8705913263722902</v>
      </c>
      <c r="BQ112" s="23">
        <f>EXP(-LN(2)/25)*BQ111+(1-EXP(-LN(2)/25))/(LN(2)/25)*Calculateur!BL112*Calculateur!BN112*VLOOKUP('Données projet'!$B$11,Paramètres!$A$1:$I$88,3,0)*0.475*44/12</f>
        <v>2.9969669529362553</v>
      </c>
      <c r="BR112" s="23">
        <f>EXP(-LN(2)/2)*BR111+(1-EXP(-LN(2)/2))/(LN(2)/2)*BL112*BO112*VLOOKUP('Données projet'!$B$11,Paramètres!$A$1:$I$88,3,0)*0.475*44/12</f>
        <v>0</v>
      </c>
      <c r="BS112" s="24">
        <f t="shared" si="63"/>
        <v>7.867558279308545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projet'!$B$12,Paramètres!$A$1:$I$88,3,0)*0.475*44/12</f>
        <v>#N/A</v>
      </c>
      <c r="CL112" s="23" t="e">
        <f>EXP(-LN(2)/25)*CL111+(1-EXP(-LN(2)/25))/(LN(2)/25)*Calculateur!CG112*Calculateur!CI112*VLOOKUP('Données projet'!$B$12,Paramètres!$A$1:$I$88,3,0)*0.475*44/12</f>
        <v>#N/A</v>
      </c>
      <c r="CM112" s="23" t="e">
        <f>EXP(-LN(2)/2)*CM111+(1-EXP(-LN(2)/2))/(LN(2)/2)*CG112*CJ112*VLOOKUP('Données projet'!$B$12,Paramètres!$A$1:$I$88,3,0)*0.475*44/12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80.651999999999774</v>
      </c>
      <c r="D113" s="12">
        <f t="shared" si="86"/>
        <v>22.296526130116188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794.69037714475496</v>
      </c>
      <c r="H113" s="70">
        <f t="shared" si="56"/>
        <v>472.6353496766186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2.8421709430404007E-13</v>
      </c>
      <c r="O113" s="14">
        <f>N113*VLOOKUP('Données projet'!$B$9,Paramètres!$A$1:$I$88,3,0)*VLOOKUP('Données projet'!$B$9,Paramètres!$A$1:$I$88,5,0)</f>
        <v>1.588773557159584E-13</v>
      </c>
      <c r="P113" s="14">
        <f t="shared" si="87"/>
        <v>2.2615721672198623E-12</v>
      </c>
      <c r="Q113" s="22">
        <f t="shared" si="107"/>
        <v>4.2156162524465543E-12</v>
      </c>
      <c r="R113" s="62">
        <f t="shared" si="55"/>
        <v>293.33333333333752</v>
      </c>
      <c r="S113" s="62">
        <f ca="1">AVERAGE(OFFSET($R$3,0,0,'Données projet'!$E$9+1,1))-AVERAGE(OFFSET($H$3,0,0,'Données projet'!$E$9+1,1))</f>
        <v>222.18341301864729</v>
      </c>
      <c r="T113" s="62">
        <f t="shared" si="88"/>
        <v>172.63628480089358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126.00657620933811</v>
      </c>
      <c r="AA113" s="23">
        <f>EXP(-LN(2)/25)*AA112+(1-EXP(-LN(2)/25))/(LN(2)/25)*Calculateur!V113*Calculateur!X113*VLOOKUP('Données projet'!$B$9,Paramètres!$A$1:$I$88,3,0)*0.475*44/12</f>
        <v>47.388502516904666</v>
      </c>
      <c r="AB113" s="23">
        <f>EXP(-LN(2)/2)*AB112+(1-EXP(-LN(2)/2))/(LN(2)/2)*V113*Y113*VLOOKUP('Données projet'!$B$9,Paramètres!$A$1:$I$88,3,0)*0.475*44/12</f>
        <v>0</v>
      </c>
      <c r="AC113" s="24">
        <f t="shared" si="57"/>
        <v>173.39507872624279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projet'!$B$10,Paramètres!$A$1:$I$88,3,0)*VLOOKUP('Données projet'!$B$10,Paramètres!$A$1:$I$88,5,0)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82.840015321739202</v>
      </c>
      <c r="AO113" s="62">
        <f t="shared" si="90"/>
        <v>101.40622074610098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28.324823196316913</v>
      </c>
      <c r="AV113" s="23">
        <f>EXP(-LN(2)/25)*AV112+(1-EXP(-LN(2)/25))/(LN(2)/25)*Calculateur!AQ113*Calculateur!AS113*VLOOKUP('Données projet'!$B$10,Paramètres!$A$1:$I$88,3,0)*0.475*44/12</f>
        <v>9.8530575382149088</v>
      </c>
      <c r="AW113" s="23">
        <f>EXP(-LN(2)/2)*AW112+(1-EXP(-LN(2)/2))/(LN(2)/2)*AQ113*AT113*VLOOKUP('Données projet'!$B$10,Paramètres!$A$1:$I$88,3,0)*0.475*44/12</f>
        <v>0</v>
      </c>
      <c r="AX113" s="23">
        <f t="shared" si="60"/>
        <v>38.177880734531826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169.99999999999983</v>
      </c>
      <c r="BE113" s="14">
        <f>BD113*VLOOKUP('Données projet'!$B$11,Paramètres!$A$1:$I$88,3,0)*VLOOKUP('Données projet'!$B$11,Paramètres!$A$1:$I$88,5,0)</f>
        <v>101.65999999999991</v>
      </c>
      <c r="BF113" s="14">
        <f t="shared" si="91"/>
        <v>27.357089923704745</v>
      </c>
      <c r="BG113" s="22">
        <f t="shared" si="61"/>
        <v>224.70476495045224</v>
      </c>
      <c r="BH113" s="62">
        <f t="shared" si="62"/>
        <v>518.03809828378553</v>
      </c>
      <c r="BI113" s="62">
        <f ca="1">AVERAGE(OFFSET($BH$3,0,0,'Données projet'!$E$11+1,1))-AVERAGE(OFFSET($H$3,0,0,'Données projet'!$E$11+1,1))</f>
        <v>83.354474428753292</v>
      </c>
      <c r="BJ113" s="62">
        <f t="shared" si="92"/>
        <v>97.75861379589162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4.7750820012294994</v>
      </c>
      <c r="BQ113" s="23">
        <f>EXP(-LN(2)/25)*BQ112+(1-EXP(-LN(2)/25))/(LN(2)/25)*Calculateur!BL113*Calculateur!BN113*VLOOKUP('Données projet'!$B$11,Paramètres!$A$1:$I$88,3,0)*0.475*44/12</f>
        <v>2.9150147340045711</v>
      </c>
      <c r="BR113" s="23">
        <f>EXP(-LN(2)/2)*BR112+(1-EXP(-LN(2)/2))/(LN(2)/2)*BL113*BO113*VLOOKUP('Données projet'!$B$11,Paramètres!$A$1:$I$88,3,0)*0.475*44/12</f>
        <v>0</v>
      </c>
      <c r="BS113" s="24">
        <f t="shared" si="63"/>
        <v>7.6900967352340706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projet'!$B$12,Paramètres!$A$1:$I$88,3,0)*0.475*44/12</f>
        <v>#N/A</v>
      </c>
      <c r="CL113" s="23" t="e">
        <f>EXP(-LN(2)/25)*CL112+(1-EXP(-LN(2)/25))/(LN(2)/25)*Calculateur!CG113*Calculateur!CI113*VLOOKUP('Données projet'!$B$12,Paramètres!$A$1:$I$88,3,0)*0.475*44/12</f>
        <v>#N/A</v>
      </c>
      <c r="CM113" s="23" t="e">
        <f>EXP(-LN(2)/2)*CM112+(1-EXP(-LN(2)/2))/(LN(2)/2)*CG113*CJ113*VLOOKUP('Données projet'!$B$12,Paramètres!$A$1:$I$88,3,0)*0.475*44/12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81.38519999999977</v>
      </c>
      <c r="D114" s="12">
        <f t="shared" si="86"/>
        <v>22.475533601501073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801.73197867825218</v>
      </c>
      <c r="H114" s="70">
        <f t="shared" si="56"/>
        <v>474.2241110226139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2.8421709430404007E-13</v>
      </c>
      <c r="O114" s="14">
        <f>N114*VLOOKUP('Données projet'!$B$9,Paramètres!$A$1:$I$88,3,0)*VLOOKUP('Données projet'!$B$9,Paramètres!$A$1:$I$88,5,0)</f>
        <v>1.588773557159584E-13</v>
      </c>
      <c r="P114" s="14">
        <f t="shared" si="87"/>
        <v>2.2615721672198623E-12</v>
      </c>
      <c r="Q114" s="22">
        <f t="shared" si="107"/>
        <v>4.2156162524465543E-12</v>
      </c>
      <c r="R114" s="62">
        <f t="shared" si="55"/>
        <v>293.33333333333752</v>
      </c>
      <c r="S114" s="62">
        <f ca="1">AVERAGE(OFFSET($R$3,0,0,'Données projet'!$E$9+1,1))-AVERAGE(OFFSET($H$3,0,0,'Données projet'!$E$9+1,1))</f>
        <v>222.18341301864729</v>
      </c>
      <c r="T114" s="62">
        <f t="shared" si="88"/>
        <v>172.63628480089358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123.53566410629553</v>
      </c>
      <c r="AA114" s="23">
        <f>EXP(-LN(2)/25)*AA113+(1-EXP(-LN(2)/25))/(LN(2)/25)*Calculateur!V114*Calculateur!X114*VLOOKUP('Données projet'!$B$9,Paramètres!$A$1:$I$88,3,0)*0.475*44/12</f>
        <v>46.09266142352687</v>
      </c>
      <c r="AB114" s="23">
        <f>EXP(-LN(2)/2)*AB113+(1-EXP(-LN(2)/2))/(LN(2)/2)*V114*Y114*VLOOKUP('Données projet'!$B$9,Paramètres!$A$1:$I$88,3,0)*0.475*44/12</f>
        <v>0</v>
      </c>
      <c r="AC114" s="24">
        <f t="shared" si="57"/>
        <v>169.6283255298224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projet'!$B$10,Paramètres!$A$1:$I$88,3,0)*VLOOKUP('Données projet'!$B$10,Paramètres!$A$1:$I$88,5,0)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82.840015321739202</v>
      </c>
      <c r="AO114" s="62">
        <f t="shared" si="90"/>
        <v>101.40622074610098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27.769390689873383</v>
      </c>
      <c r="AV114" s="23">
        <f>EXP(-LN(2)/25)*AV113+(1-EXP(-LN(2)/25))/(LN(2)/25)*Calculateur!AQ114*Calculateur!AS114*VLOOKUP('Données projet'!$B$10,Paramètres!$A$1:$I$88,3,0)*0.475*44/12</f>
        <v>9.5836251616826456</v>
      </c>
      <c r="AW114" s="23">
        <f>EXP(-LN(2)/2)*AW113+(1-EXP(-LN(2)/2))/(LN(2)/2)*AQ114*AT114*VLOOKUP('Données projet'!$B$10,Paramètres!$A$1:$I$88,3,0)*0.475*44/12</f>
        <v>0</v>
      </c>
      <c r="AX114" s="23">
        <f t="shared" si="60"/>
        <v>37.35301585155603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169.99999999999983</v>
      </c>
      <c r="BE114" s="14">
        <f>BD114*VLOOKUP('Données projet'!$B$11,Paramètres!$A$1:$I$88,3,0)*VLOOKUP('Données projet'!$B$11,Paramètres!$A$1:$I$88,5,0)</f>
        <v>101.65999999999991</v>
      </c>
      <c r="BF114" s="14">
        <f t="shared" si="91"/>
        <v>27.357089923704745</v>
      </c>
      <c r="BG114" s="22">
        <f t="shared" si="61"/>
        <v>224.70476495045224</v>
      </c>
      <c r="BH114" s="62">
        <f t="shared" si="62"/>
        <v>518.03809828378553</v>
      </c>
      <c r="BI114" s="62">
        <f ca="1">AVERAGE(OFFSET($BH$3,0,0,'Données projet'!$E$11+1,1))-AVERAGE(OFFSET($H$3,0,0,'Données projet'!$E$11+1,1))</f>
        <v>83.354474428753292</v>
      </c>
      <c r="BJ114" s="62">
        <f t="shared" si="92"/>
        <v>97.75861379589162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4.6814455556978229</v>
      </c>
      <c r="BQ114" s="23">
        <f>EXP(-LN(2)/25)*BQ113+(1-EXP(-LN(2)/25))/(LN(2)/25)*Calculateur!BL114*Calculateur!BN114*VLOOKUP('Données projet'!$B$11,Paramètres!$A$1:$I$88,3,0)*0.475*44/12</f>
        <v>2.8353035028092535</v>
      </c>
      <c r="BR114" s="23">
        <f>EXP(-LN(2)/2)*BR113+(1-EXP(-LN(2)/2))/(LN(2)/2)*BL114*BO114*VLOOKUP('Données projet'!$B$11,Paramètres!$A$1:$I$88,3,0)*0.475*44/12</f>
        <v>0</v>
      </c>
      <c r="BS114" s="24">
        <f t="shared" si="63"/>
        <v>7.5167490585070764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projet'!$B$12,Paramètres!$A$1:$I$88,3,0)*0.475*44/12</f>
        <v>#N/A</v>
      </c>
      <c r="CL114" s="23" t="e">
        <f>EXP(-LN(2)/25)*CL113+(1-EXP(-LN(2)/25))/(LN(2)/25)*Calculateur!CG114*Calculateur!CI114*VLOOKUP('Données projet'!$B$12,Paramètres!$A$1:$I$88,3,0)*0.475*44/12</f>
        <v>#N/A</v>
      </c>
      <c r="CM114" s="23" t="e">
        <f>EXP(-LN(2)/2)*CM113+(1-EXP(-LN(2)/2))/(LN(2)/2)*CG114*CJ114*VLOOKUP('Données projet'!$B$12,Paramètres!$A$1:$I$88,3,0)*0.475*44/12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82.118399999999767</v>
      </c>
      <c r="D115" s="12">
        <f t="shared" si="86"/>
        <v>22.654353452648337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808.77213191517831</v>
      </c>
      <c r="H115" s="70">
        <f t="shared" si="56"/>
        <v>475.81254559669543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2.8421709430404007E-13</v>
      </c>
      <c r="O115" s="14">
        <f>N115*VLOOKUP('Données projet'!$B$9,Paramètres!$A$1:$I$88,3,0)*VLOOKUP('Données projet'!$B$9,Paramètres!$A$1:$I$88,5,0)</f>
        <v>1.588773557159584E-13</v>
      </c>
      <c r="P115" s="14">
        <f t="shared" si="87"/>
        <v>2.2615721672198623E-12</v>
      </c>
      <c r="Q115" s="22">
        <f t="shared" si="107"/>
        <v>4.2156162524465543E-12</v>
      </c>
      <c r="R115" s="62">
        <f t="shared" si="55"/>
        <v>293.33333333333752</v>
      </c>
      <c r="S115" s="62">
        <f ca="1">AVERAGE(OFFSET($R$3,0,0,'Données projet'!$E$9+1,1))-AVERAGE(OFFSET($H$3,0,0,'Données projet'!$E$9+1,1))</f>
        <v>222.18341301864729</v>
      </c>
      <c r="T115" s="62">
        <f t="shared" si="88"/>
        <v>172.63628480089358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121.11320508248605</v>
      </c>
      <c r="AA115" s="23">
        <f>EXP(-LN(2)/25)*AA114+(1-EXP(-LN(2)/25))/(LN(2)/25)*Calculateur!V115*Calculateur!X115*VLOOKUP('Données projet'!$B$9,Paramètres!$A$1:$I$88,3,0)*0.475*44/12</f>
        <v>44.832255172992809</v>
      </c>
      <c r="AB115" s="23">
        <f>EXP(-LN(2)/2)*AB114+(1-EXP(-LN(2)/2))/(LN(2)/2)*V115*Y115*VLOOKUP('Données projet'!$B$9,Paramètres!$A$1:$I$88,3,0)*0.475*44/12</f>
        <v>0</v>
      </c>
      <c r="AC115" s="24">
        <f t="shared" si="57"/>
        <v>165.94546025547885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projet'!$B$10,Paramètres!$A$1:$I$88,3,0)*VLOOKUP('Données projet'!$B$10,Paramètres!$A$1:$I$88,5,0)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82.840015321739202</v>
      </c>
      <c r="AO115" s="62">
        <f t="shared" si="90"/>
        <v>101.40622074610098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27.224849876100834</v>
      </c>
      <c r="AV115" s="23">
        <f>EXP(-LN(2)/25)*AV114+(1-EXP(-LN(2)/25))/(LN(2)/25)*Calculateur!AQ115*Calculateur!AS115*VLOOKUP('Données projet'!$B$10,Paramètres!$A$1:$I$88,3,0)*0.475*44/12</f>
        <v>9.3215604276554895</v>
      </c>
      <c r="AW115" s="23">
        <f>EXP(-LN(2)/2)*AW114+(1-EXP(-LN(2)/2))/(LN(2)/2)*AQ115*AT115*VLOOKUP('Données projet'!$B$10,Paramètres!$A$1:$I$88,3,0)*0.475*44/12</f>
        <v>0</v>
      </c>
      <c r="AX115" s="23">
        <f t="shared" si="60"/>
        <v>36.546410303756325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169.99999999999983</v>
      </c>
      <c r="BE115" s="14">
        <f>BD115*VLOOKUP('Données projet'!$B$11,Paramètres!$A$1:$I$88,3,0)*VLOOKUP('Données projet'!$B$11,Paramètres!$A$1:$I$88,5,0)</f>
        <v>101.65999999999991</v>
      </c>
      <c r="BF115" s="14">
        <f t="shared" si="91"/>
        <v>27.357089923704745</v>
      </c>
      <c r="BG115" s="22">
        <f t="shared" si="61"/>
        <v>224.70476495045224</v>
      </c>
      <c r="BH115" s="62">
        <f t="shared" si="62"/>
        <v>518.03809828378553</v>
      </c>
      <c r="BI115" s="62">
        <f ca="1">AVERAGE(OFFSET($BH$3,0,0,'Données projet'!$E$11+1,1))-AVERAGE(OFFSET($H$3,0,0,'Données projet'!$E$11+1,1))</f>
        <v>83.354474428753292</v>
      </c>
      <c r="BJ115" s="62">
        <f t="shared" si="92"/>
        <v>97.75861379589162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4.5896452637504304</v>
      </c>
      <c r="BQ115" s="23">
        <f>EXP(-LN(2)/25)*BQ114+(1-EXP(-LN(2)/25))/(LN(2)/25)*Calculateur!BL115*Calculateur!BN115*VLOOKUP('Données projet'!$B$11,Paramètres!$A$1:$I$88,3,0)*0.475*44/12</f>
        <v>2.7577719794228033</v>
      </c>
      <c r="BR115" s="23">
        <f>EXP(-LN(2)/2)*BR114+(1-EXP(-LN(2)/2))/(LN(2)/2)*BL115*BO115*VLOOKUP('Données projet'!$B$11,Paramètres!$A$1:$I$88,3,0)*0.475*44/12</f>
        <v>0</v>
      </c>
      <c r="BS115" s="24">
        <f t="shared" si="63"/>
        <v>7.3474172431732336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projet'!$B$12,Paramètres!$A$1:$I$88,3,0)*0.475*44/12</f>
        <v>#N/A</v>
      </c>
      <c r="CL115" s="23" t="e">
        <f>EXP(-LN(2)/25)*CL114+(1-EXP(-LN(2)/25))/(LN(2)/25)*Calculateur!CG115*Calculateur!CI115*VLOOKUP('Données projet'!$B$12,Paramètres!$A$1:$I$88,3,0)*0.475*44/12</f>
        <v>#N/A</v>
      </c>
      <c r="CM115" s="23" t="e">
        <f>EXP(-LN(2)/2)*CM114+(1-EXP(-LN(2)/2))/(LN(2)/2)*CG115*CJ115*VLOOKUP('Données projet'!$B$12,Paramètres!$A$1:$I$88,3,0)*0.475*44/12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82.851599999999763</v>
      </c>
      <c r="D116" s="12">
        <f t="shared" si="86"/>
        <v>22.832987552808103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815.81085128483267</v>
      </c>
      <c r="H116" s="70">
        <f t="shared" si="56"/>
        <v>477.40065665447366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2.8421709430404007E-13</v>
      </c>
      <c r="O116" s="14">
        <f>N116*VLOOKUP('Données projet'!$B$9,Paramètres!$A$1:$I$88,3,0)*VLOOKUP('Données projet'!$B$9,Paramètres!$A$1:$I$88,5,0)</f>
        <v>1.588773557159584E-13</v>
      </c>
      <c r="P116" s="14">
        <f t="shared" si="87"/>
        <v>2.2615721672198623E-12</v>
      </c>
      <c r="Q116" s="22">
        <f t="shared" si="107"/>
        <v>4.2156162524465543E-12</v>
      </c>
      <c r="R116" s="62">
        <f t="shared" si="55"/>
        <v>293.33333333333752</v>
      </c>
      <c r="S116" s="62">
        <f ca="1">AVERAGE(OFFSET($R$3,0,0,'Données projet'!$E$9+1,1))-AVERAGE(OFFSET($H$3,0,0,'Données projet'!$E$9+1,1))</f>
        <v>222.18341301864729</v>
      </c>
      <c r="T116" s="62">
        <f t="shared" si="88"/>
        <v>172.63628480089358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118.73824900257937</v>
      </c>
      <c r="AA116" s="23">
        <f>EXP(-LN(2)/25)*AA115+(1-EXP(-LN(2)/25))/(LN(2)/25)*Calculateur!V116*Calculateur!X116*VLOOKUP('Données projet'!$B$9,Paramètres!$A$1:$I$88,3,0)*0.475*44/12</f>
        <v>43.60631479766149</v>
      </c>
      <c r="AB116" s="23">
        <f>EXP(-LN(2)/2)*AB115+(1-EXP(-LN(2)/2))/(LN(2)/2)*V116*Y116*VLOOKUP('Données projet'!$B$9,Paramètres!$A$1:$I$88,3,0)*0.475*44/12</f>
        <v>0</v>
      </c>
      <c r="AC116" s="24">
        <f t="shared" si="57"/>
        <v>162.34456380024085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projet'!$B$10,Paramètres!$A$1:$I$88,3,0)*VLOOKUP('Données projet'!$B$10,Paramètres!$A$1:$I$88,5,0)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82.840015321739202</v>
      </c>
      <c r="AO116" s="62">
        <f t="shared" si="90"/>
        <v>101.40622074610098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26.69098717554926</v>
      </c>
      <c r="AV116" s="23">
        <f>EXP(-LN(2)/25)*AV115+(1-EXP(-LN(2)/25))/(LN(2)/25)*Calculateur!AQ116*Calculateur!AS116*VLOOKUP('Données projet'!$B$10,Paramètres!$A$1:$I$88,3,0)*0.475*44/12</f>
        <v>9.0666618675616917</v>
      </c>
      <c r="AW116" s="23">
        <f>EXP(-LN(2)/2)*AW115+(1-EXP(-LN(2)/2))/(LN(2)/2)*AQ116*AT116*VLOOKUP('Données projet'!$B$10,Paramètres!$A$1:$I$88,3,0)*0.475*44/12</f>
        <v>0</v>
      </c>
      <c r="AX116" s="23">
        <f t="shared" si="60"/>
        <v>35.757649043110952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169.99999999999983</v>
      </c>
      <c r="BE116" s="14">
        <f>BD116*VLOOKUP('Données projet'!$B$11,Paramètres!$A$1:$I$88,3,0)*VLOOKUP('Données projet'!$B$11,Paramètres!$A$1:$I$88,5,0)</f>
        <v>101.65999999999991</v>
      </c>
      <c r="BF116" s="14">
        <f t="shared" si="91"/>
        <v>27.357089923704745</v>
      </c>
      <c r="BG116" s="22">
        <f t="shared" si="61"/>
        <v>224.70476495045224</v>
      </c>
      <c r="BH116" s="62">
        <f t="shared" si="62"/>
        <v>518.03809828378553</v>
      </c>
      <c r="BI116" s="62">
        <f ca="1">AVERAGE(OFFSET($BH$3,0,0,'Données projet'!$E$11+1,1))-AVERAGE(OFFSET($H$3,0,0,'Données projet'!$E$11+1,1))</f>
        <v>83.354474428753292</v>
      </c>
      <c r="BJ116" s="62">
        <f t="shared" si="92"/>
        <v>97.75861379589162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4.4996451195354767</v>
      </c>
      <c r="BQ116" s="23">
        <f>EXP(-LN(2)/25)*BQ115+(1-EXP(-LN(2)/25))/(LN(2)/25)*Calculateur!BL116*Calculateur!BN116*VLOOKUP('Données projet'!$B$11,Paramètres!$A$1:$I$88,3,0)*0.475*44/12</f>
        <v>2.6823605596205611</v>
      </c>
      <c r="BR116" s="23">
        <f>EXP(-LN(2)/2)*BR115+(1-EXP(-LN(2)/2))/(LN(2)/2)*BL116*BO116*VLOOKUP('Données projet'!$B$11,Paramètres!$A$1:$I$88,3,0)*0.475*44/12</f>
        <v>0</v>
      </c>
      <c r="BS116" s="24">
        <f t="shared" si="63"/>
        <v>7.1820056791560383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projet'!$B$12,Paramètres!$A$1:$I$88,3,0)*0.475*44/12</f>
        <v>#N/A</v>
      </c>
      <c r="CL116" s="23" t="e">
        <f>EXP(-LN(2)/25)*CL115+(1-EXP(-LN(2)/25))/(LN(2)/25)*Calculateur!CG116*Calculateur!CI116*VLOOKUP('Données projet'!$B$12,Paramètres!$A$1:$I$88,3,0)*0.475*44/12</f>
        <v>#N/A</v>
      </c>
      <c r="CM116" s="23" t="e">
        <f>EXP(-LN(2)/2)*CM115+(1-EXP(-LN(2)/2))/(LN(2)/2)*CG116*CJ116*VLOOKUP('Données projet'!$B$12,Paramètres!$A$1:$I$88,3,0)*0.475*44/12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83.58479999999976</v>
      </c>
      <c r="D117" s="12">
        <f t="shared" si="86"/>
        <v>23.011437736237557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822.84815094639328</v>
      </c>
      <c r="H117" s="70">
        <f t="shared" si="56"/>
        <v>478.98844739061326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2.8421709430404007E-13</v>
      </c>
      <c r="O117" s="14">
        <f>N117*VLOOKUP('Données projet'!$B$9,Paramètres!$A$1:$I$88,3,0)*VLOOKUP('Données projet'!$B$9,Paramètres!$A$1:$I$88,5,0)</f>
        <v>1.588773557159584E-13</v>
      </c>
      <c r="P117" s="14">
        <f t="shared" si="87"/>
        <v>2.2615721672198623E-12</v>
      </c>
      <c r="Q117" s="22">
        <f t="shared" si="107"/>
        <v>4.2156162524465543E-12</v>
      </c>
      <c r="R117" s="62">
        <f t="shared" si="55"/>
        <v>293.33333333333752</v>
      </c>
      <c r="S117" s="62">
        <f ca="1">AVERAGE(OFFSET($R$3,0,0,'Données projet'!$E$9+1,1))-AVERAGE(OFFSET($H$3,0,0,'Données projet'!$E$9+1,1))</f>
        <v>222.18341301864729</v>
      </c>
      <c r="T117" s="62">
        <f t="shared" si="88"/>
        <v>172.63628480089358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116.40986436281948</v>
      </c>
      <c r="AA117" s="23">
        <f>EXP(-LN(2)/25)*AA116+(1-EXP(-LN(2)/25))/(LN(2)/25)*Calculateur!V117*Calculateur!X117*VLOOKUP('Données projet'!$B$9,Paramètres!$A$1:$I$88,3,0)*0.475*44/12</f>
        <v>42.413897826363005</v>
      </c>
      <c r="AB117" s="23">
        <f>EXP(-LN(2)/2)*AB116+(1-EXP(-LN(2)/2))/(LN(2)/2)*V117*Y117*VLOOKUP('Données projet'!$B$9,Paramètres!$A$1:$I$88,3,0)*0.475*44/12</f>
        <v>0</v>
      </c>
      <c r="AC117" s="24">
        <f t="shared" si="57"/>
        <v>158.82376218918247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projet'!$B$10,Paramètres!$A$1:$I$88,3,0)*VLOOKUP('Données projet'!$B$10,Paramètres!$A$1:$I$88,5,0)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82.840015321739202</v>
      </c>
      <c r="AO117" s="62">
        <f t="shared" si="90"/>
        <v>101.40622074610098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26.16759319693141</v>
      </c>
      <c r="AV117" s="23">
        <f>EXP(-LN(2)/25)*AV116+(1-EXP(-LN(2)/25))/(LN(2)/25)*Calculateur!AQ117*Calculateur!AS117*VLOOKUP('Données projet'!$B$10,Paramètres!$A$1:$I$88,3,0)*0.475*44/12</f>
        <v>8.8187335219981922</v>
      </c>
      <c r="AW117" s="23">
        <f>EXP(-LN(2)/2)*AW116+(1-EXP(-LN(2)/2))/(LN(2)/2)*AQ117*AT117*VLOOKUP('Données projet'!$B$10,Paramètres!$A$1:$I$88,3,0)*0.475*44/12</f>
        <v>0</v>
      </c>
      <c r="AX117" s="23">
        <f t="shared" si="60"/>
        <v>34.986326718929604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169.99999999999983</v>
      </c>
      <c r="BE117" s="14">
        <f>BD117*VLOOKUP('Données projet'!$B$11,Paramètres!$A$1:$I$88,3,0)*VLOOKUP('Données projet'!$B$11,Paramètres!$A$1:$I$88,5,0)</f>
        <v>101.65999999999991</v>
      </c>
      <c r="BF117" s="14">
        <f t="shared" si="91"/>
        <v>27.357089923704745</v>
      </c>
      <c r="BG117" s="22">
        <f t="shared" si="61"/>
        <v>224.70476495045224</v>
      </c>
      <c r="BH117" s="62">
        <f t="shared" si="62"/>
        <v>518.03809828378553</v>
      </c>
      <c r="BI117" s="62">
        <f ca="1">AVERAGE(OFFSET($BH$3,0,0,'Données projet'!$E$11+1,1))-AVERAGE(OFFSET($H$3,0,0,'Données projet'!$E$11+1,1))</f>
        <v>83.354474428753292</v>
      </c>
      <c r="BJ117" s="62">
        <f t="shared" si="92"/>
        <v>97.75861379589162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4.4114098232539112</v>
      </c>
      <c r="BQ117" s="23">
        <f>EXP(-LN(2)/25)*BQ116+(1-EXP(-LN(2)/25))/(LN(2)/25)*Calculateur!BL117*Calculateur!BN117*VLOOKUP('Données projet'!$B$11,Paramètres!$A$1:$I$88,3,0)*0.475*44/12</f>
        <v>2.6090112690585254</v>
      </c>
      <c r="BR117" s="23">
        <f>EXP(-LN(2)/2)*BR116+(1-EXP(-LN(2)/2))/(LN(2)/2)*BL117*BO117*VLOOKUP('Données projet'!$B$11,Paramètres!$A$1:$I$88,3,0)*0.475*44/12</f>
        <v>0</v>
      </c>
      <c r="BS117" s="24">
        <f t="shared" si="63"/>
        <v>7.0204210923124366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projet'!$B$12,Paramètres!$A$1:$I$88,3,0)*0.475*44/12</f>
        <v>#N/A</v>
      </c>
      <c r="CL117" s="23" t="e">
        <f>EXP(-LN(2)/25)*CL116+(1-EXP(-LN(2)/25))/(LN(2)/25)*Calculateur!CG117*Calculateur!CI117*VLOOKUP('Données projet'!$B$12,Paramètres!$A$1:$I$88,3,0)*0.475*44/12</f>
        <v>#N/A</v>
      </c>
      <c r="CM117" s="23" t="e">
        <f>EXP(-LN(2)/2)*CM116+(1-EXP(-LN(2)/2))/(LN(2)/2)*CG117*CJ117*VLOOKUP('Données projet'!$B$12,Paramètres!$A$1:$I$88,3,0)*0.475*44/12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84.317999999999756</v>
      </c>
      <c r="D118" s="12">
        <f t="shared" si="86"/>
        <v>23.189705803157189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829.88404479629924</v>
      </c>
      <c r="H118" s="70">
        <f t="shared" si="56"/>
        <v>480.57592094049829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2.8421709430404007E-13</v>
      </c>
      <c r="O118" s="14">
        <f>N118*VLOOKUP('Données projet'!$B$9,Paramètres!$A$1:$I$88,3,0)*VLOOKUP('Données projet'!$B$9,Paramètres!$A$1:$I$88,5,0)</f>
        <v>1.588773557159584E-13</v>
      </c>
      <c r="P118" s="14">
        <f t="shared" si="87"/>
        <v>2.2615721672198623E-12</v>
      </c>
      <c r="Q118" s="22">
        <f t="shared" si="107"/>
        <v>4.2156162524465543E-12</v>
      </c>
      <c r="R118" s="62">
        <f t="shared" si="55"/>
        <v>293.33333333333752</v>
      </c>
      <c r="S118" s="62">
        <f ca="1">AVERAGE(OFFSET($R$3,0,0,'Données projet'!$E$9+1,1))-AVERAGE(OFFSET($H$3,0,0,'Données projet'!$E$9+1,1))</f>
        <v>222.18341301864729</v>
      </c>
      <c r="T118" s="62">
        <f t="shared" si="88"/>
        <v>172.63628480089358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114.12713792567088</v>
      </c>
      <c r="AA118" s="23">
        <f>EXP(-LN(2)/25)*AA117+(1-EXP(-LN(2)/25))/(LN(2)/25)*Calculateur!V118*Calculateur!X118*VLOOKUP('Données projet'!$B$9,Paramètres!$A$1:$I$88,3,0)*0.475*44/12</f>
        <v>41.254087559851158</v>
      </c>
      <c r="AB118" s="23">
        <f>EXP(-LN(2)/2)*AB117+(1-EXP(-LN(2)/2))/(LN(2)/2)*V118*Y118*VLOOKUP('Données projet'!$B$9,Paramètres!$A$1:$I$88,3,0)*0.475*44/12</f>
        <v>0</v>
      </c>
      <c r="AC118" s="24">
        <f t="shared" si="57"/>
        <v>155.38122548552204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projet'!$B$10,Paramètres!$A$1:$I$88,3,0)*VLOOKUP('Données projet'!$B$10,Paramètres!$A$1:$I$88,5,0)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82.840015321739202</v>
      </c>
      <c r="AO118" s="62">
        <f t="shared" si="90"/>
        <v>101.40622074610098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25.654462654995452</v>
      </c>
      <c r="AV118" s="23">
        <f>EXP(-LN(2)/25)*AV117+(1-EXP(-LN(2)/25))/(LN(2)/25)*Calculateur!AQ118*Calculateur!AS118*VLOOKUP('Données projet'!$B$10,Paramètres!$A$1:$I$88,3,0)*0.475*44/12</f>
        <v>8.5775847900821116</v>
      </c>
      <c r="AW118" s="23">
        <f>EXP(-LN(2)/2)*AW117+(1-EXP(-LN(2)/2))/(LN(2)/2)*AQ118*AT118*VLOOKUP('Données projet'!$B$10,Paramètres!$A$1:$I$88,3,0)*0.475*44/12</f>
        <v>0</v>
      </c>
      <c r="AX118" s="23">
        <f t="shared" si="60"/>
        <v>34.232047445077562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169.99999999999983</v>
      </c>
      <c r="BE118" s="14">
        <f>BD118*VLOOKUP('Données projet'!$B$11,Paramètres!$A$1:$I$88,3,0)*VLOOKUP('Données projet'!$B$11,Paramètres!$A$1:$I$88,5,0)</f>
        <v>101.65999999999991</v>
      </c>
      <c r="BF118" s="14">
        <f t="shared" si="91"/>
        <v>27.357089923704745</v>
      </c>
      <c r="BG118" s="22">
        <f t="shared" si="61"/>
        <v>224.70476495045224</v>
      </c>
      <c r="BH118" s="62">
        <f t="shared" si="62"/>
        <v>518.03809828378553</v>
      </c>
      <c r="BI118" s="62">
        <f ca="1">AVERAGE(OFFSET($BH$3,0,0,'Données projet'!$E$11+1,1))-AVERAGE(OFFSET($H$3,0,0,'Données projet'!$E$11+1,1))</f>
        <v>83.354474428753292</v>
      </c>
      <c r="BJ118" s="62">
        <f t="shared" si="92"/>
        <v>97.75861379589162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4.3249047673142105</v>
      </c>
      <c r="BQ118" s="23">
        <f>EXP(-LN(2)/25)*BQ117+(1-EXP(-LN(2)/25))/(LN(2)/25)*Calculateur!BL118*Calculateur!BN118*VLOOKUP('Données projet'!$B$11,Paramètres!$A$1:$I$88,3,0)*0.475*44/12</f>
        <v>2.5376677187041805</v>
      </c>
      <c r="BR118" s="23">
        <f>EXP(-LN(2)/2)*BR117+(1-EXP(-LN(2)/2))/(LN(2)/2)*BL118*BO118*VLOOKUP('Données projet'!$B$11,Paramètres!$A$1:$I$88,3,0)*0.475*44/12</f>
        <v>0</v>
      </c>
      <c r="BS118" s="24">
        <f t="shared" si="63"/>
        <v>6.862572486018391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projet'!$B$12,Paramètres!$A$1:$I$88,3,0)*0.475*44/12</f>
        <v>#N/A</v>
      </c>
      <c r="CL118" s="23" t="e">
        <f>EXP(-LN(2)/25)*CL117+(1-EXP(-LN(2)/25))/(LN(2)/25)*Calculateur!CG118*Calculateur!CI118*VLOOKUP('Données projet'!$B$12,Paramètres!$A$1:$I$88,3,0)*0.475*44/12</f>
        <v>#N/A</v>
      </c>
      <c r="CM118" s="23" t="e">
        <f>EXP(-LN(2)/2)*CM117+(1-EXP(-LN(2)/2))/(LN(2)/2)*CG118*CJ118*VLOOKUP('Données projet'!$B$12,Paramètres!$A$1:$I$88,3,0)*0.475*44/12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85.051199999999753</v>
      </c>
      <c r="D119" s="12">
        <f t="shared" si="86"/>
        <v>23.367793520672667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836.91854647536604</v>
      </c>
      <c r="H119" s="70">
        <f t="shared" si="56"/>
        <v>482.16308038183774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2.8421709430404007E-13</v>
      </c>
      <c r="O119" s="14">
        <f>N119*VLOOKUP('Données projet'!$B$9,Paramètres!$A$1:$I$88,3,0)*VLOOKUP('Données projet'!$B$9,Paramètres!$A$1:$I$88,5,0)</f>
        <v>1.588773557159584E-13</v>
      </c>
      <c r="P119" s="14">
        <f t="shared" si="87"/>
        <v>2.2615721672198623E-12</v>
      </c>
      <c r="Q119" s="22">
        <f t="shared" si="107"/>
        <v>4.2156162524465543E-12</v>
      </c>
      <c r="R119" s="62">
        <f t="shared" si="55"/>
        <v>293.33333333333752</v>
      </c>
      <c r="S119" s="62">
        <f ca="1">AVERAGE(OFFSET($R$3,0,0,'Données projet'!$E$9+1,1))-AVERAGE(OFFSET($H$3,0,0,'Données projet'!$E$9+1,1))</f>
        <v>222.18341301864729</v>
      </c>
      <c r="T119" s="62">
        <f t="shared" si="88"/>
        <v>172.63628480089358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111.88917436162913</v>
      </c>
      <c r="AA119" s="23">
        <f>EXP(-LN(2)/25)*AA118+(1-EXP(-LN(2)/25))/(LN(2)/25)*Calculateur!V119*Calculateur!X119*VLOOKUP('Données projet'!$B$9,Paramètres!$A$1:$I$88,3,0)*0.475*44/12</f>
        <v>40.12599236606885</v>
      </c>
      <c r="AB119" s="23">
        <f>EXP(-LN(2)/2)*AB118+(1-EXP(-LN(2)/2))/(LN(2)/2)*V119*Y119*VLOOKUP('Données projet'!$B$9,Paramètres!$A$1:$I$88,3,0)*0.475*44/12</f>
        <v>0</v>
      </c>
      <c r="AC119" s="24">
        <f t="shared" si="57"/>
        <v>152.01516672769799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projet'!$B$10,Paramètres!$A$1:$I$88,3,0)*VLOOKUP('Données projet'!$B$10,Paramètres!$A$1:$I$88,5,0)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82.840015321739202</v>
      </c>
      <c r="AO119" s="62">
        <f t="shared" si="90"/>
        <v>101.40622074610098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25.151394290008131</v>
      </c>
      <c r="AV119" s="23">
        <f>EXP(-LN(2)/25)*AV118+(1-EXP(-LN(2)/25))/(LN(2)/25)*Calculateur!AQ119*Calculateur!AS119*VLOOKUP('Données projet'!$B$10,Paramètres!$A$1:$I$88,3,0)*0.475*44/12</f>
        <v>8.3430302829217364</v>
      </c>
      <c r="AW119" s="23">
        <f>EXP(-LN(2)/2)*AW118+(1-EXP(-LN(2)/2))/(LN(2)/2)*AQ119*AT119*VLOOKUP('Données projet'!$B$10,Paramètres!$A$1:$I$88,3,0)*0.475*44/12</f>
        <v>0</v>
      </c>
      <c r="AX119" s="23">
        <f t="shared" si="60"/>
        <v>33.494424572929866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169.99999999999983</v>
      </c>
      <c r="BE119" s="14">
        <f>BD119*VLOOKUP('Données projet'!$B$11,Paramètres!$A$1:$I$88,3,0)*VLOOKUP('Données projet'!$B$11,Paramètres!$A$1:$I$88,5,0)</f>
        <v>101.65999999999991</v>
      </c>
      <c r="BF119" s="14">
        <f t="shared" si="91"/>
        <v>27.357089923704745</v>
      </c>
      <c r="BG119" s="22">
        <f t="shared" si="61"/>
        <v>224.70476495045224</v>
      </c>
      <c r="BH119" s="62">
        <f t="shared" si="62"/>
        <v>518.03809828378553</v>
      </c>
      <c r="BI119" s="62">
        <f ca="1">AVERAGE(OFFSET($BH$3,0,0,'Données projet'!$E$11+1,1))-AVERAGE(OFFSET($H$3,0,0,'Données projet'!$E$11+1,1))</f>
        <v>83.354474428753292</v>
      </c>
      <c r="BJ119" s="62">
        <f t="shared" si="92"/>
        <v>97.75861379589162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4.2400960227586131</v>
      </c>
      <c r="BQ119" s="23">
        <f>EXP(-LN(2)/25)*BQ118+(1-EXP(-LN(2)/25))/(LN(2)/25)*Calculateur!BL119*Calculateur!BN119*VLOOKUP('Données projet'!$B$11,Paramètres!$A$1:$I$88,3,0)*0.475*44/12</f>
        <v>2.4682750614860693</v>
      </c>
      <c r="BR119" s="23">
        <f>EXP(-LN(2)/2)*BR118+(1-EXP(-LN(2)/2))/(LN(2)/2)*BL119*BO119*VLOOKUP('Données projet'!$B$11,Paramètres!$A$1:$I$88,3,0)*0.475*44/12</f>
        <v>0</v>
      </c>
      <c r="BS119" s="24">
        <f t="shared" si="63"/>
        <v>6.708371084244682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projet'!$B$12,Paramètres!$A$1:$I$88,3,0)*0.475*44/12</f>
        <v>#N/A</v>
      </c>
      <c r="CL119" s="23" t="e">
        <f>EXP(-LN(2)/25)*CL118+(1-EXP(-LN(2)/25))/(LN(2)/25)*Calculateur!CG119*Calculateur!CI119*VLOOKUP('Données projet'!$B$12,Paramètres!$A$1:$I$88,3,0)*0.475*44/12</f>
        <v>#N/A</v>
      </c>
      <c r="CM119" s="23" t="e">
        <f>EXP(-LN(2)/2)*CM118+(1-EXP(-LN(2)/2))/(LN(2)/2)*CG119*CJ119*VLOOKUP('Données projet'!$B$12,Paramètres!$A$1:$I$88,3,0)*0.475*44/12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85.784399999999749</v>
      </c>
      <c r="D120" s="12">
        <f t="shared" si="86"/>
        <v>23.545702623664145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843.95166937565102</v>
      </c>
      <c r="H120" s="70">
        <f t="shared" si="56"/>
        <v>483.7499287362146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2.8421709430404007E-13</v>
      </c>
      <c r="O120" s="14">
        <f>N120*VLOOKUP('Données projet'!$B$9,Paramètres!$A$1:$I$88,3,0)*VLOOKUP('Données projet'!$B$9,Paramètres!$A$1:$I$88,5,0)</f>
        <v>1.588773557159584E-13</v>
      </c>
      <c r="P120" s="14">
        <f t="shared" si="87"/>
        <v>2.2615721672198623E-12</v>
      </c>
      <c r="Q120" s="22">
        <f t="shared" si="107"/>
        <v>4.2156162524465543E-12</v>
      </c>
      <c r="R120" s="62">
        <f t="shared" si="55"/>
        <v>293.33333333333752</v>
      </c>
      <c r="S120" s="62">
        <f ca="1">AVERAGE(OFFSET($R$3,0,0,'Données projet'!$E$9+1,1))-AVERAGE(OFFSET($H$3,0,0,'Données projet'!$E$9+1,1))</f>
        <v>222.18341301864729</v>
      </c>
      <c r="T120" s="62">
        <f t="shared" si="88"/>
        <v>172.63628480089358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109.69509589805524</v>
      </c>
      <c r="AA120" s="23">
        <f>EXP(-LN(2)/25)*AA119+(1-EXP(-LN(2)/25))/(LN(2)/25)*Calculateur!V120*Calculateur!X120*VLOOKUP('Données projet'!$B$9,Paramètres!$A$1:$I$88,3,0)*0.475*44/12</f>
        <v>39.028744994684466</v>
      </c>
      <c r="AB120" s="23">
        <f>EXP(-LN(2)/2)*AB119+(1-EXP(-LN(2)/2))/(LN(2)/2)*V120*Y120*VLOOKUP('Données projet'!$B$9,Paramètres!$A$1:$I$88,3,0)*0.475*44/12</f>
        <v>0</v>
      </c>
      <c r="AC120" s="24">
        <f t="shared" si="57"/>
        <v>148.7238408927397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projet'!$B$10,Paramètres!$A$1:$I$88,3,0)*VLOOKUP('Données projet'!$B$10,Paramètres!$A$1:$I$88,5,0)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82.840015321739202</v>
      </c>
      <c r="AO120" s="62">
        <f t="shared" si="90"/>
        <v>101.40622074610098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24.658190788816807</v>
      </c>
      <c r="AV120" s="23">
        <f>EXP(-LN(2)/25)*AV119+(1-EXP(-LN(2)/25))/(LN(2)/25)*Calculateur!AQ120*Calculateur!AS120*VLOOKUP('Données projet'!$B$10,Paramètres!$A$1:$I$88,3,0)*0.475*44/12</f>
        <v>8.1148896810943469</v>
      </c>
      <c r="AW120" s="23">
        <f>EXP(-LN(2)/2)*AW119+(1-EXP(-LN(2)/2))/(LN(2)/2)*AQ120*AT120*VLOOKUP('Données projet'!$B$10,Paramètres!$A$1:$I$88,3,0)*0.475*44/12</f>
        <v>0</v>
      </c>
      <c r="AX120" s="23">
        <f t="shared" si="60"/>
        <v>32.77308046991115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169.99999999999983</v>
      </c>
      <c r="BE120" s="14">
        <f>BD120*VLOOKUP('Données projet'!$B$11,Paramètres!$A$1:$I$88,3,0)*VLOOKUP('Données projet'!$B$11,Paramètres!$A$1:$I$88,5,0)</f>
        <v>101.65999999999991</v>
      </c>
      <c r="BF120" s="14">
        <f t="shared" si="91"/>
        <v>27.357089923704745</v>
      </c>
      <c r="BG120" s="22">
        <f t="shared" si="61"/>
        <v>224.70476495045224</v>
      </c>
      <c r="BH120" s="62">
        <f t="shared" si="62"/>
        <v>518.03809828378553</v>
      </c>
      <c r="BI120" s="62">
        <f ca="1">AVERAGE(OFFSET($BH$3,0,0,'Données projet'!$E$11+1,1))-AVERAGE(OFFSET($H$3,0,0,'Données projet'!$E$11+1,1))</f>
        <v>83.354474428753292</v>
      </c>
      <c r="BJ120" s="62">
        <f t="shared" si="92"/>
        <v>97.75861379589162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4.1569503259555241</v>
      </c>
      <c r="BQ120" s="23">
        <f>EXP(-LN(2)/25)*BQ119+(1-EXP(-LN(2)/25))/(LN(2)/25)*Calculateur!BL120*Calculateur!BN120*VLOOKUP('Données projet'!$B$11,Paramètres!$A$1:$I$88,3,0)*0.475*44/12</f>
        <v>2.4007799501287885</v>
      </c>
      <c r="BR120" s="23">
        <f>EXP(-LN(2)/2)*BR119+(1-EXP(-LN(2)/2))/(LN(2)/2)*BL120*BO120*VLOOKUP('Données projet'!$B$11,Paramètres!$A$1:$I$88,3,0)*0.475*44/12</f>
        <v>0</v>
      </c>
      <c r="BS120" s="24">
        <f t="shared" si="63"/>
        <v>6.5577302760843121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projet'!$B$12,Paramètres!$A$1:$I$88,3,0)*0.475*44/12</f>
        <v>#N/A</v>
      </c>
      <c r="CL120" s="23" t="e">
        <f>EXP(-LN(2)/25)*CL119+(1-EXP(-LN(2)/25))/(LN(2)/25)*Calculateur!CG120*Calculateur!CI120*VLOOKUP('Données projet'!$B$12,Paramètres!$A$1:$I$88,3,0)*0.475*44/12</f>
        <v>#N/A</v>
      </c>
      <c r="CM120" s="23" t="e">
        <f>EXP(-LN(2)/2)*CM119+(1-EXP(-LN(2)/2))/(LN(2)/2)*CG120*CJ120*VLOOKUP('Données projet'!$B$12,Paramètres!$A$1:$I$88,3,0)*0.475*44/12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86.517599999999746</v>
      </c>
      <c r="D121" s="12">
        <f t="shared" si="86"/>
        <v>23.72343481564414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850.9834266470757</v>
      </c>
      <c r="H121" s="70">
        <f t="shared" si="56"/>
        <v>485.33646897057974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2.8421709430404007E-13</v>
      </c>
      <c r="O121" s="14">
        <f>N121*VLOOKUP('Données projet'!$B$9,Paramètres!$A$1:$I$88,3,0)*VLOOKUP('Données projet'!$B$9,Paramètres!$A$1:$I$88,5,0)</f>
        <v>1.588773557159584E-13</v>
      </c>
      <c r="P121" s="14">
        <f t="shared" si="87"/>
        <v>2.2615721672198623E-12</v>
      </c>
      <c r="Q121" s="22">
        <f t="shared" si="107"/>
        <v>4.2156162524465543E-12</v>
      </c>
      <c r="R121" s="62">
        <f t="shared" si="55"/>
        <v>293.33333333333752</v>
      </c>
      <c r="S121" s="62">
        <f ca="1">AVERAGE(OFFSET($R$3,0,0,'Données projet'!$E$9+1,1))-AVERAGE(OFFSET($H$3,0,0,'Données projet'!$E$9+1,1))</f>
        <v>222.18341301864729</v>
      </c>
      <c r="T121" s="62">
        <f t="shared" si="88"/>
        <v>172.63628480089358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107.54404197489632</v>
      </c>
      <c r="AA121" s="23">
        <f>EXP(-LN(2)/25)*AA120+(1-EXP(-LN(2)/25))/(LN(2)/25)*Calculateur!V121*Calculateur!X121*VLOOKUP('Données projet'!$B$9,Paramètres!$A$1:$I$88,3,0)*0.475*44/12</f>
        <v>37.96150191037232</v>
      </c>
      <c r="AB121" s="23">
        <f>EXP(-LN(2)/2)*AB120+(1-EXP(-LN(2)/2))/(LN(2)/2)*V121*Y121*VLOOKUP('Données projet'!$B$9,Paramètres!$A$1:$I$88,3,0)*0.475*44/12</f>
        <v>0</v>
      </c>
      <c r="AC121" s="24">
        <f t="shared" si="57"/>
        <v>145.50554388526865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projet'!$B$10,Paramètres!$A$1:$I$88,3,0)*VLOOKUP('Données projet'!$B$10,Paramètres!$A$1:$I$88,5,0)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82.840015321739202</v>
      </c>
      <c r="AO121" s="62">
        <f t="shared" si="90"/>
        <v>101.40622074610098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24.174658707459411</v>
      </c>
      <c r="AV121" s="23">
        <f>EXP(-LN(2)/25)*AV120+(1-EXP(-LN(2)/25))/(LN(2)/25)*Calculateur!AQ121*Calculateur!AS121*VLOOKUP('Données projet'!$B$10,Paramètres!$A$1:$I$88,3,0)*0.475*44/12</f>
        <v>7.8929875960213209</v>
      </c>
      <c r="AW121" s="23">
        <f>EXP(-LN(2)/2)*AW120+(1-EXP(-LN(2)/2))/(LN(2)/2)*AQ121*AT121*VLOOKUP('Données projet'!$B$10,Paramètres!$A$1:$I$88,3,0)*0.475*44/12</f>
        <v>0</v>
      </c>
      <c r="AX121" s="23">
        <f t="shared" si="60"/>
        <v>32.067646303480728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169.99999999999983</v>
      </c>
      <c r="BE121" s="14">
        <f>BD121*VLOOKUP('Données projet'!$B$11,Paramètres!$A$1:$I$88,3,0)*VLOOKUP('Données projet'!$B$11,Paramètres!$A$1:$I$88,5,0)</f>
        <v>101.65999999999991</v>
      </c>
      <c r="BF121" s="14">
        <f t="shared" si="91"/>
        <v>27.357089923704745</v>
      </c>
      <c r="BG121" s="22">
        <f t="shared" si="61"/>
        <v>224.70476495045224</v>
      </c>
      <c r="BH121" s="62">
        <f t="shared" si="62"/>
        <v>518.03809828378553</v>
      </c>
      <c r="BI121" s="62">
        <f ca="1">AVERAGE(OFFSET($BH$3,0,0,'Données projet'!$E$11+1,1))-AVERAGE(OFFSET($H$3,0,0,'Données projet'!$E$11+1,1))</f>
        <v>83.354474428753292</v>
      </c>
      <c r="BJ121" s="62">
        <f t="shared" si="92"/>
        <v>97.75861379589162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4.0754350655528766</v>
      </c>
      <c r="BQ121" s="23">
        <f>EXP(-LN(2)/25)*BQ120+(1-EXP(-LN(2)/25))/(LN(2)/25)*Calculateur!BL121*Calculateur!BN121*VLOOKUP('Données projet'!$B$11,Paramètres!$A$1:$I$88,3,0)*0.475*44/12</f>
        <v>2.3351304961409864</v>
      </c>
      <c r="BR121" s="23">
        <f>EXP(-LN(2)/2)*BR120+(1-EXP(-LN(2)/2))/(LN(2)/2)*BL121*BO121*VLOOKUP('Données projet'!$B$11,Paramètres!$A$1:$I$88,3,0)*0.475*44/12</f>
        <v>0</v>
      </c>
      <c r="BS121" s="24">
        <f t="shared" si="63"/>
        <v>6.410565561693863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projet'!$B$12,Paramètres!$A$1:$I$88,3,0)*0.475*44/12</f>
        <v>#N/A</v>
      </c>
      <c r="CL121" s="23" t="e">
        <f>EXP(-LN(2)/25)*CL120+(1-EXP(-LN(2)/25))/(LN(2)/25)*Calculateur!CG121*Calculateur!CI121*VLOOKUP('Données projet'!$B$12,Paramètres!$A$1:$I$88,3,0)*0.475*44/12</f>
        <v>#N/A</v>
      </c>
      <c r="CM121" s="23" t="e">
        <f>EXP(-LN(2)/2)*CM120+(1-EXP(-LN(2)/2))/(LN(2)/2)*CG121*CJ121*VLOOKUP('Données projet'!$B$12,Paramètres!$A$1:$I$88,3,0)*0.475*44/12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87.250799999999742</v>
      </c>
      <c r="D122" s="12">
        <f t="shared" si="86"/>
        <v>23.900991769585712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858.01383120381763</v>
      </c>
      <c r="H122" s="70">
        <f t="shared" si="56"/>
        <v>486.92270399869466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2.8421709430404007E-13</v>
      </c>
      <c r="O122" s="14">
        <f>N122*VLOOKUP('Données projet'!$B$9,Paramètres!$A$1:$I$88,3,0)*VLOOKUP('Données projet'!$B$9,Paramètres!$A$1:$I$88,5,0)</f>
        <v>1.588773557159584E-13</v>
      </c>
      <c r="P122" s="14">
        <f t="shared" si="87"/>
        <v>2.2615721672198623E-12</v>
      </c>
      <c r="Q122" s="22">
        <f t="shared" si="107"/>
        <v>4.2156162524465543E-12</v>
      </c>
      <c r="R122" s="62">
        <f t="shared" si="55"/>
        <v>293.33333333333752</v>
      </c>
      <c r="S122" s="62">
        <f ca="1">AVERAGE(OFFSET($R$3,0,0,'Données projet'!$E$9+1,1))-AVERAGE(OFFSET($H$3,0,0,'Données projet'!$E$9+1,1))</f>
        <v>222.18341301864729</v>
      </c>
      <c r="T122" s="62">
        <f t="shared" si="88"/>
        <v>172.63628480089358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105.43516890715719</v>
      </c>
      <c r="AA122" s="23">
        <f>EXP(-LN(2)/25)*AA121+(1-EXP(-LN(2)/25))/(LN(2)/25)*Calculateur!V122*Calculateur!X122*VLOOKUP('Données projet'!$B$9,Paramètres!$A$1:$I$88,3,0)*0.475*44/12</f>
        <v>36.923442644324567</v>
      </c>
      <c r="AB122" s="23">
        <f>EXP(-LN(2)/2)*AB121+(1-EXP(-LN(2)/2))/(LN(2)/2)*V122*Y122*VLOOKUP('Données projet'!$B$9,Paramètres!$A$1:$I$88,3,0)*0.475*44/12</f>
        <v>0</v>
      </c>
      <c r="AC122" s="24">
        <f t="shared" si="57"/>
        <v>142.35861155148177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projet'!$B$10,Paramètres!$A$1:$I$88,3,0)*VLOOKUP('Données projet'!$B$10,Paramètres!$A$1:$I$88,5,0)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82.840015321739202</v>
      </c>
      <c r="AO122" s="62">
        <f t="shared" si="90"/>
        <v>101.40622074610098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23.700608395291987</v>
      </c>
      <c r="AV122" s="23">
        <f>EXP(-LN(2)/25)*AV121+(1-EXP(-LN(2)/25))/(LN(2)/25)*Calculateur!AQ122*Calculateur!AS122*VLOOKUP('Données projet'!$B$10,Paramètres!$A$1:$I$88,3,0)*0.475*44/12</f>
        <v>7.6771534351339401</v>
      </c>
      <c r="AW122" s="23">
        <f>EXP(-LN(2)/2)*AW121+(1-EXP(-LN(2)/2))/(LN(2)/2)*AQ122*AT122*VLOOKUP('Données projet'!$B$10,Paramètres!$A$1:$I$88,3,0)*0.475*44/12</f>
        <v>0</v>
      </c>
      <c r="AX122" s="23">
        <f t="shared" si="60"/>
        <v>31.377761830425925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169.99999999999983</v>
      </c>
      <c r="BE122" s="14">
        <f>BD122*VLOOKUP('Données projet'!$B$11,Paramètres!$A$1:$I$88,3,0)*VLOOKUP('Données projet'!$B$11,Paramètres!$A$1:$I$88,5,0)</f>
        <v>101.65999999999991</v>
      </c>
      <c r="BF122" s="14">
        <f t="shared" si="91"/>
        <v>27.357089923704745</v>
      </c>
      <c r="BG122" s="22">
        <f t="shared" si="61"/>
        <v>224.70476495045224</v>
      </c>
      <c r="BH122" s="62">
        <f t="shared" si="62"/>
        <v>518.03809828378553</v>
      </c>
      <c r="BI122" s="62">
        <f ca="1">AVERAGE(OFFSET($BH$3,0,0,'Données projet'!$E$11+1,1))-AVERAGE(OFFSET($H$3,0,0,'Données projet'!$E$11+1,1))</f>
        <v>83.354474428753292</v>
      </c>
      <c r="BJ122" s="62">
        <f t="shared" si="92"/>
        <v>97.75861379589162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3.9955182696873255</v>
      </c>
      <c r="BQ122" s="23">
        <f>EXP(-LN(2)/25)*BQ121+(1-EXP(-LN(2)/25))/(LN(2)/25)*Calculateur!BL122*Calculateur!BN122*VLOOKUP('Données projet'!$B$11,Paramètres!$A$1:$I$88,3,0)*0.475*44/12</f>
        <v>2.2712762299248355</v>
      </c>
      <c r="BR122" s="23">
        <f>EXP(-LN(2)/2)*BR121+(1-EXP(-LN(2)/2))/(LN(2)/2)*BL122*BO122*VLOOKUP('Données projet'!$B$11,Paramètres!$A$1:$I$88,3,0)*0.475*44/12</f>
        <v>0</v>
      </c>
      <c r="BS122" s="24">
        <f t="shared" si="63"/>
        <v>6.2667944996121605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projet'!$B$12,Paramètres!$A$1:$I$88,3,0)*0.475*44/12</f>
        <v>#N/A</v>
      </c>
      <c r="CL122" s="23" t="e">
        <f>EXP(-LN(2)/25)*CL121+(1-EXP(-LN(2)/25))/(LN(2)/25)*Calculateur!CG122*Calculateur!CI122*VLOOKUP('Données projet'!$B$12,Paramètres!$A$1:$I$88,3,0)*0.475*44/12</f>
        <v>#N/A</v>
      </c>
      <c r="CM122" s="23" t="e">
        <f>EXP(-LN(2)/2)*CM121+(1-EXP(-LN(2)/2))/(LN(2)/2)*CG122*CJ122*VLOOKUP('Données projet'!$B$12,Paramètres!$A$1:$I$88,3,0)*0.475*44/12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87.983999999999739</v>
      </c>
      <c r="D123" s="12">
        <f t="shared" si="86"/>
        <v>24.078375128721721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865.04289573048152</v>
      </c>
      <c r="H123" s="70">
        <f t="shared" si="56"/>
        <v>488.50863668252316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2.8421709430404007E-13</v>
      </c>
      <c r="O123" s="14">
        <f>N123*VLOOKUP('Données projet'!$B$9,Paramètres!$A$1:$I$88,3,0)*VLOOKUP('Données projet'!$B$9,Paramètres!$A$1:$I$88,5,0)</f>
        <v>1.588773557159584E-13</v>
      </c>
      <c r="P123" s="14">
        <f t="shared" si="87"/>
        <v>2.2615721672198623E-12</v>
      </c>
      <c r="Q123" s="22">
        <f t="shared" si="107"/>
        <v>4.2156162524465543E-12</v>
      </c>
      <c r="R123" s="62">
        <f t="shared" si="55"/>
        <v>293.33333333333752</v>
      </c>
      <c r="S123" s="62">
        <f ca="1">AVERAGE(OFFSET($R$3,0,0,'Données projet'!$E$9+1,1))-AVERAGE(OFFSET($H$3,0,0,'Données projet'!$E$9+1,1))</f>
        <v>222.18341301864729</v>
      </c>
      <c r="T123" s="62">
        <f t="shared" si="88"/>
        <v>172.63628480089358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103.36764955399087</v>
      </c>
      <c r="AA123" s="23">
        <f>EXP(-LN(2)/25)*AA122+(1-EXP(-LN(2)/25))/(LN(2)/25)*Calculateur!V123*Calculateur!X123*VLOOKUP('Données projet'!$B$9,Paramètres!$A$1:$I$88,3,0)*0.475*44/12</f>
        <v>35.913769163496049</v>
      </c>
      <c r="AB123" s="23">
        <f>EXP(-LN(2)/2)*AB122+(1-EXP(-LN(2)/2))/(LN(2)/2)*V123*Y123*VLOOKUP('Données projet'!$B$9,Paramètres!$A$1:$I$88,3,0)*0.475*44/12</f>
        <v>0</v>
      </c>
      <c r="AC123" s="24">
        <f t="shared" si="57"/>
        <v>139.28141871748693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projet'!$B$10,Paramètres!$A$1:$I$88,3,0)*VLOOKUP('Données projet'!$B$10,Paramètres!$A$1:$I$88,5,0)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82.840015321739202</v>
      </c>
      <c r="AO123" s="62">
        <f t="shared" si="90"/>
        <v>101.40622074610098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23.235853920604026</v>
      </c>
      <c r="AV123" s="23">
        <f>EXP(-LN(2)/25)*AV122+(1-EXP(-LN(2)/25))/(LN(2)/25)*Calculateur!AQ123*Calculateur!AS123*VLOOKUP('Données projet'!$B$10,Paramètres!$A$1:$I$88,3,0)*0.475*44/12</f>
        <v>7.4672212707262497</v>
      </c>
      <c r="AW123" s="23">
        <f>EXP(-LN(2)/2)*AW122+(1-EXP(-LN(2)/2))/(LN(2)/2)*AQ123*AT123*VLOOKUP('Données projet'!$B$10,Paramètres!$A$1:$I$88,3,0)*0.475*44/12</f>
        <v>0</v>
      </c>
      <c r="AX123" s="23">
        <f t="shared" si="60"/>
        <v>30.703075191330274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169.99999999999983</v>
      </c>
      <c r="BE123" s="14">
        <f>BD123*VLOOKUP('Données projet'!$B$11,Paramètres!$A$1:$I$88,3,0)*VLOOKUP('Données projet'!$B$11,Paramètres!$A$1:$I$88,5,0)</f>
        <v>101.65999999999991</v>
      </c>
      <c r="BF123" s="14">
        <f t="shared" si="91"/>
        <v>27.357089923704745</v>
      </c>
      <c r="BG123" s="22">
        <f t="shared" si="61"/>
        <v>224.70476495045224</v>
      </c>
      <c r="BH123" s="62">
        <f t="shared" si="62"/>
        <v>518.03809828378553</v>
      </c>
      <c r="BI123" s="62">
        <f ca="1">AVERAGE(OFFSET($BH$3,0,0,'Données projet'!$E$11+1,1))-AVERAGE(OFFSET($H$3,0,0,'Données projet'!$E$11+1,1))</f>
        <v>83.354474428753292</v>
      </c>
      <c r="BJ123" s="62">
        <f t="shared" si="92"/>
        <v>97.75861379589162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3.917168593444265</v>
      </c>
      <c r="BQ123" s="23">
        <f>EXP(-LN(2)/25)*BQ122+(1-EXP(-LN(2)/25))/(LN(2)/25)*Calculateur!BL123*Calculateur!BN123*VLOOKUP('Données projet'!$B$11,Paramètres!$A$1:$I$88,3,0)*0.475*44/12</f>
        <v>2.2091680619763148</v>
      </c>
      <c r="BR123" s="23">
        <f>EXP(-LN(2)/2)*BR122+(1-EXP(-LN(2)/2))/(LN(2)/2)*BL123*BO123*VLOOKUP('Données projet'!$B$11,Paramètres!$A$1:$I$88,3,0)*0.475*44/12</f>
        <v>0</v>
      </c>
      <c r="BS123" s="24">
        <f t="shared" si="63"/>
        <v>6.1263366554205803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projet'!$B$12,Paramètres!$A$1:$I$88,3,0)*0.475*44/12</f>
        <v>#N/A</v>
      </c>
      <c r="CL123" s="23" t="e">
        <f>EXP(-LN(2)/25)*CL122+(1-EXP(-LN(2)/25))/(LN(2)/25)*Calculateur!CG123*Calculateur!CI123*VLOOKUP('Données projet'!$B$12,Paramètres!$A$1:$I$88,3,0)*0.475*44/12</f>
        <v>#N/A</v>
      </c>
      <c r="CM123" s="23" t="e">
        <f>EXP(-LN(2)/2)*CM122+(1-EXP(-LN(2)/2))/(LN(2)/2)*CG123*CJ123*VLOOKUP('Données projet'!$B$12,Paramètres!$A$1:$I$88,3,0)*0.475*44/12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88.717199999999735</v>
      </c>
      <c r="D124" s="12">
        <f t="shared" si="86"/>
        <v>24.255586507317027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872.07063268805916</v>
      </c>
      <c r="H124" s="70">
        <f t="shared" si="56"/>
        <v>490.09426983357662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2.8421709430404007E-13</v>
      </c>
      <c r="O124" s="14">
        <f>N124*VLOOKUP('Données projet'!$B$9,Paramètres!$A$1:$I$88,3,0)*VLOOKUP('Données projet'!$B$9,Paramètres!$A$1:$I$88,5,0)</f>
        <v>1.588773557159584E-13</v>
      </c>
      <c r="P124" s="14">
        <f t="shared" si="87"/>
        <v>2.2615721672198623E-12</v>
      </c>
      <c r="Q124" s="22">
        <f t="shared" si="107"/>
        <v>4.2156162524465543E-12</v>
      </c>
      <c r="R124" s="62">
        <f t="shared" si="55"/>
        <v>293.33333333333752</v>
      </c>
      <c r="S124" s="62">
        <f ca="1">AVERAGE(OFFSET($R$3,0,0,'Données projet'!$E$9+1,1))-AVERAGE(OFFSET($H$3,0,0,'Données projet'!$E$9+1,1))</f>
        <v>222.18341301864729</v>
      </c>
      <c r="T124" s="62">
        <f t="shared" si="88"/>
        <v>172.63628480089358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101.34067299427787</v>
      </c>
      <c r="AA124" s="23">
        <f>EXP(-LN(2)/25)*AA123+(1-EXP(-LN(2)/25))/(LN(2)/25)*Calculateur!V124*Calculateur!X124*VLOOKUP('Données projet'!$B$9,Paramètres!$A$1:$I$88,3,0)*0.475*44/12</f>
        <v>34.931705257097214</v>
      </c>
      <c r="AB124" s="23">
        <f>EXP(-LN(2)/2)*AB123+(1-EXP(-LN(2)/2))/(LN(2)/2)*V124*Y124*VLOOKUP('Données projet'!$B$9,Paramètres!$A$1:$I$88,3,0)*0.475*44/12</f>
        <v>0</v>
      </c>
      <c r="AC124" s="24">
        <f t="shared" si="57"/>
        <v>136.27237825137507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projet'!$B$10,Paramètres!$A$1:$I$88,3,0)*VLOOKUP('Données projet'!$B$10,Paramètres!$A$1:$I$88,5,0)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82.840015321739202</v>
      </c>
      <c r="AO124" s="62">
        <f t="shared" si="90"/>
        <v>101.40622074610098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22.780212997692455</v>
      </c>
      <c r="AV124" s="23">
        <f>EXP(-LN(2)/25)*AV123+(1-EXP(-LN(2)/25))/(LN(2)/25)*Calculateur!AQ124*Calculateur!AS124*VLOOKUP('Données projet'!$B$10,Paramètres!$A$1:$I$88,3,0)*0.475*44/12</f>
        <v>7.2630297123941405</v>
      </c>
      <c r="AW124" s="23">
        <f>EXP(-LN(2)/2)*AW123+(1-EXP(-LN(2)/2))/(LN(2)/2)*AQ124*AT124*VLOOKUP('Données projet'!$B$10,Paramètres!$A$1:$I$88,3,0)*0.475*44/12</f>
        <v>0</v>
      </c>
      <c r="AX124" s="23">
        <f t="shared" si="60"/>
        <v>30.043242710086595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169.99999999999983</v>
      </c>
      <c r="BE124" s="14">
        <f>BD124*VLOOKUP('Données projet'!$B$11,Paramètres!$A$1:$I$88,3,0)*VLOOKUP('Données projet'!$B$11,Paramètres!$A$1:$I$88,5,0)</f>
        <v>101.65999999999991</v>
      </c>
      <c r="BF124" s="14">
        <f t="shared" si="91"/>
        <v>27.357089923704745</v>
      </c>
      <c r="BG124" s="22">
        <f t="shared" si="61"/>
        <v>224.70476495045224</v>
      </c>
      <c r="BH124" s="62">
        <f t="shared" si="62"/>
        <v>518.03809828378553</v>
      </c>
      <c r="BI124" s="62">
        <f ca="1">AVERAGE(OFFSET($BH$3,0,0,'Données projet'!$E$11+1,1))-AVERAGE(OFFSET($H$3,0,0,'Données projet'!$E$11+1,1))</f>
        <v>83.354474428753292</v>
      </c>
      <c r="BJ124" s="62">
        <f t="shared" si="92"/>
        <v>97.75861379589162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3.8403553065637475</v>
      </c>
      <c r="BQ124" s="23">
        <f>EXP(-LN(2)/25)*BQ123+(1-EXP(-LN(2)/25))/(LN(2)/25)*Calculateur!BL124*Calculateur!BN124*VLOOKUP('Données projet'!$B$11,Paramètres!$A$1:$I$88,3,0)*0.475*44/12</f>
        <v>2.1487582451464733</v>
      </c>
      <c r="BR124" s="23">
        <f>EXP(-LN(2)/2)*BR123+(1-EXP(-LN(2)/2))/(LN(2)/2)*BL124*BO124*VLOOKUP('Données projet'!$B$11,Paramètres!$A$1:$I$88,3,0)*0.475*44/12</f>
        <v>0</v>
      </c>
      <c r="BS124" s="24">
        <f t="shared" si="63"/>
        <v>5.9891135517102203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projet'!$B$12,Paramètres!$A$1:$I$88,3,0)*0.475*44/12</f>
        <v>#N/A</v>
      </c>
      <c r="CL124" s="23" t="e">
        <f>EXP(-LN(2)/25)*CL123+(1-EXP(-LN(2)/25))/(LN(2)/25)*Calculateur!CG124*Calculateur!CI124*VLOOKUP('Données projet'!$B$12,Paramètres!$A$1:$I$88,3,0)*0.475*44/12</f>
        <v>#N/A</v>
      </c>
      <c r="CM124" s="23" t="e">
        <f>EXP(-LN(2)/2)*CM123+(1-EXP(-LN(2)/2))/(LN(2)/2)*CG124*CJ124*VLOOKUP('Données projet'!$B$12,Paramètres!$A$1:$I$88,3,0)*0.475*44/12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89.450399999999732</v>
      </c>
      <c r="D125" s="12">
        <f t="shared" si="86"/>
        <v>24.432627491414117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879.09705431968598</v>
      </c>
      <c r="H125" s="70">
        <f t="shared" si="56"/>
        <v>491.67960621421241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2.8421709430404007E-13</v>
      </c>
      <c r="O125" s="14">
        <f>N125*VLOOKUP('Données projet'!$B$9,Paramètres!$A$1:$I$88,3,0)*VLOOKUP('Données projet'!$B$9,Paramètres!$A$1:$I$88,5,0)</f>
        <v>1.588773557159584E-13</v>
      </c>
      <c r="P125" s="14">
        <f t="shared" si="87"/>
        <v>2.2615721672198623E-12</v>
      </c>
      <c r="Q125" s="22">
        <f t="shared" si="107"/>
        <v>4.2156162524465543E-12</v>
      </c>
      <c r="R125" s="62">
        <f t="shared" si="55"/>
        <v>293.33333333333752</v>
      </c>
      <c r="S125" s="62">
        <f ca="1">AVERAGE(OFFSET($R$3,0,0,'Données projet'!$E$9+1,1))-AVERAGE(OFFSET($H$3,0,0,'Données projet'!$E$9+1,1))</f>
        <v>222.18341301864729</v>
      </c>
      <c r="T125" s="62">
        <f t="shared" si="88"/>
        <v>172.63628480089358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99.353444208567211</v>
      </c>
      <c r="AA125" s="23">
        <f>EXP(-LN(2)/25)*AA124+(1-EXP(-LN(2)/25))/(LN(2)/25)*Calculateur!V125*Calculateur!X125*VLOOKUP('Données projet'!$B$9,Paramètres!$A$1:$I$88,3,0)*0.475*44/12</f>
        <v>33.976495939863348</v>
      </c>
      <c r="AB125" s="23">
        <f>EXP(-LN(2)/2)*AB124+(1-EXP(-LN(2)/2))/(LN(2)/2)*V125*Y125*VLOOKUP('Données projet'!$B$9,Paramètres!$A$1:$I$88,3,0)*0.475*44/12</f>
        <v>0</v>
      </c>
      <c r="AC125" s="24">
        <f t="shared" si="57"/>
        <v>133.32994014843055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projet'!$B$10,Paramètres!$A$1:$I$88,3,0)*VLOOKUP('Données projet'!$B$10,Paramètres!$A$1:$I$88,5,0)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82.840015321739202</v>
      </c>
      <c r="AO125" s="62">
        <f t="shared" si="90"/>
        <v>101.40622074610098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22.33350691536566</v>
      </c>
      <c r="AV125" s="23">
        <f>EXP(-LN(2)/25)*AV124+(1-EXP(-LN(2)/25))/(LN(2)/25)*Calculateur!AQ125*Calculateur!AS125*VLOOKUP('Données projet'!$B$10,Paramètres!$A$1:$I$88,3,0)*0.475*44/12</f>
        <v>7.0644217829625902</v>
      </c>
      <c r="AW125" s="23">
        <f>EXP(-LN(2)/2)*AW124+(1-EXP(-LN(2)/2))/(LN(2)/2)*AQ125*AT125*VLOOKUP('Données projet'!$B$10,Paramètres!$A$1:$I$88,3,0)*0.475*44/12</f>
        <v>0</v>
      </c>
      <c r="AX125" s="23">
        <f t="shared" si="60"/>
        <v>29.397928698328251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169.99999999999983</v>
      </c>
      <c r="BE125" s="14">
        <f>BD125*VLOOKUP('Données projet'!$B$11,Paramètres!$A$1:$I$88,3,0)*VLOOKUP('Données projet'!$B$11,Paramètres!$A$1:$I$88,5,0)</f>
        <v>101.65999999999991</v>
      </c>
      <c r="BF125" s="14">
        <f t="shared" si="91"/>
        <v>27.357089923704745</v>
      </c>
      <c r="BG125" s="22">
        <f t="shared" si="61"/>
        <v>224.70476495045224</v>
      </c>
      <c r="BH125" s="62">
        <f t="shared" si="62"/>
        <v>518.03809828378553</v>
      </c>
      <c r="BI125" s="62">
        <f ca="1">AVERAGE(OFFSET($BH$3,0,0,'Données projet'!$E$11+1,1))-AVERAGE(OFFSET($H$3,0,0,'Données projet'!$E$11+1,1))</f>
        <v>83.354474428753292</v>
      </c>
      <c r="BJ125" s="62">
        <f t="shared" si="92"/>
        <v>97.75861379589162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3.7650482813874779</v>
      </c>
      <c r="BQ125" s="23">
        <f>EXP(-LN(2)/25)*BQ124+(1-EXP(-LN(2)/25))/(LN(2)/25)*Calculateur!BL125*Calculateur!BN125*VLOOKUP('Données projet'!$B$11,Paramètres!$A$1:$I$88,3,0)*0.475*44/12</f>
        <v>2.0900003379346579</v>
      </c>
      <c r="BR125" s="23">
        <f>EXP(-LN(2)/2)*BR124+(1-EXP(-LN(2)/2))/(LN(2)/2)*BL125*BO125*VLOOKUP('Données projet'!$B$11,Paramètres!$A$1:$I$88,3,0)*0.475*44/12</f>
        <v>0</v>
      </c>
      <c r="BS125" s="24">
        <f t="shared" si="63"/>
        <v>5.8550486193221358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projet'!$B$12,Paramètres!$A$1:$I$88,3,0)*0.475*44/12</f>
        <v>#N/A</v>
      </c>
      <c r="CL125" s="23" t="e">
        <f>EXP(-LN(2)/25)*CL124+(1-EXP(-LN(2)/25))/(LN(2)/25)*Calculateur!CG125*Calculateur!CI125*VLOOKUP('Données projet'!$B$12,Paramètres!$A$1:$I$88,3,0)*0.475*44/12</f>
        <v>#N/A</v>
      </c>
      <c r="CM125" s="23" t="e">
        <f>EXP(-LN(2)/2)*CM124+(1-EXP(-LN(2)/2))/(LN(2)/2)*CG125*CJ125*VLOOKUP('Données projet'!$B$12,Paramètres!$A$1:$I$88,3,0)*0.475*44/12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90.183599999999728</v>
      </c>
      <c r="D126" s="12">
        <f t="shared" si="86"/>
        <v>24.609499639553714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886.12217265620211</v>
      </c>
      <c r="H126" s="70">
        <f t="shared" si="56"/>
        <v>493.26464853888888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2.8421709430404007E-13</v>
      </c>
      <c r="O126" s="14">
        <f>N126*VLOOKUP('Données projet'!$B$9,Paramètres!$A$1:$I$88,3,0)*VLOOKUP('Données projet'!$B$9,Paramètres!$A$1:$I$88,5,0)</f>
        <v>1.588773557159584E-13</v>
      </c>
      <c r="P126" s="14">
        <f t="shared" si="87"/>
        <v>2.2615721672198623E-12</v>
      </c>
      <c r="Q126" s="22">
        <f t="shared" si="107"/>
        <v>4.2156162524465543E-12</v>
      </c>
      <c r="R126" s="62">
        <f t="shared" si="55"/>
        <v>293.33333333333752</v>
      </c>
      <c r="S126" s="62">
        <f ca="1">AVERAGE(OFFSET($R$3,0,0,'Données projet'!$E$9+1,1))-AVERAGE(OFFSET($H$3,0,0,'Données projet'!$E$9+1,1))</f>
        <v>222.18341301864729</v>
      </c>
      <c r="T126" s="62">
        <f t="shared" si="88"/>
        <v>172.63628480089358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97.405183767254456</v>
      </c>
      <c r="AA126" s="23">
        <f>EXP(-LN(2)/25)*AA125+(1-EXP(-LN(2)/25))/(LN(2)/25)*Calculateur!V126*Calculateur!X126*VLOOKUP('Données projet'!$B$9,Paramètres!$A$1:$I$88,3,0)*0.475*44/12</f>
        <v>33.04740687164152</v>
      </c>
      <c r="AB126" s="23">
        <f>EXP(-LN(2)/2)*AB125+(1-EXP(-LN(2)/2))/(LN(2)/2)*V126*Y126*VLOOKUP('Données projet'!$B$9,Paramètres!$A$1:$I$88,3,0)*0.475*44/12</f>
        <v>0</v>
      </c>
      <c r="AC126" s="24">
        <f t="shared" si="57"/>
        <v>130.45259063889597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projet'!$B$10,Paramètres!$A$1:$I$88,3,0)*VLOOKUP('Données projet'!$B$10,Paramètres!$A$1:$I$88,5,0)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82.840015321739202</v>
      </c>
      <c r="AO126" s="62">
        <f t="shared" si="90"/>
        <v>101.40622074610098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21.895560466849489</v>
      </c>
      <c r="AV126" s="23">
        <f>EXP(-LN(2)/25)*AV125+(1-EXP(-LN(2)/25))/(LN(2)/25)*Calculateur!AQ126*Calculateur!AS126*VLOOKUP('Données projet'!$B$10,Paramètres!$A$1:$I$88,3,0)*0.475*44/12</f>
        <v>6.8712447978056828</v>
      </c>
      <c r="AW126" s="23">
        <f>EXP(-LN(2)/2)*AW125+(1-EXP(-LN(2)/2))/(LN(2)/2)*AQ126*AT126*VLOOKUP('Données projet'!$B$10,Paramètres!$A$1:$I$88,3,0)*0.475*44/12</f>
        <v>0</v>
      </c>
      <c r="AX126" s="23">
        <f t="shared" si="60"/>
        <v>28.766805264655172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169.99999999999983</v>
      </c>
      <c r="BE126" s="14">
        <f>BD126*VLOOKUP('Données projet'!$B$11,Paramètres!$A$1:$I$88,3,0)*VLOOKUP('Données projet'!$B$11,Paramètres!$A$1:$I$88,5,0)</f>
        <v>101.65999999999991</v>
      </c>
      <c r="BF126" s="14">
        <f t="shared" si="91"/>
        <v>27.357089923704745</v>
      </c>
      <c r="BG126" s="22">
        <f t="shared" si="61"/>
        <v>224.70476495045224</v>
      </c>
      <c r="BH126" s="62">
        <f t="shared" si="62"/>
        <v>518.03809828378553</v>
      </c>
      <c r="BI126" s="62">
        <f ca="1">AVERAGE(OFFSET($BH$3,0,0,'Données projet'!$E$11+1,1))-AVERAGE(OFFSET($H$3,0,0,'Données projet'!$E$11+1,1))</f>
        <v>83.354474428753292</v>
      </c>
      <c r="BJ126" s="62">
        <f t="shared" si="92"/>
        <v>97.75861379589162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3.6912179810421653</v>
      </c>
      <c r="BQ126" s="23">
        <f>EXP(-LN(2)/25)*BQ125+(1-EXP(-LN(2)/25))/(LN(2)/25)*Calculateur!BL126*Calculateur!BN126*VLOOKUP('Données projet'!$B$11,Paramètres!$A$1:$I$88,3,0)*0.475*44/12</f>
        <v>2.0328491687854937</v>
      </c>
      <c r="BR126" s="23">
        <f>EXP(-LN(2)/2)*BR125+(1-EXP(-LN(2)/2))/(LN(2)/2)*BL126*BO126*VLOOKUP('Données projet'!$B$11,Paramètres!$A$1:$I$88,3,0)*0.475*44/12</f>
        <v>0</v>
      </c>
      <c r="BS126" s="24">
        <f t="shared" si="63"/>
        <v>5.7240671498276594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projet'!$B$12,Paramètres!$A$1:$I$88,3,0)*0.475*44/12</f>
        <v>#N/A</v>
      </c>
      <c r="CL126" s="23" t="e">
        <f>EXP(-LN(2)/25)*CL125+(1-EXP(-LN(2)/25))/(LN(2)/25)*Calculateur!CG126*Calculateur!CI126*VLOOKUP('Données projet'!$B$12,Paramètres!$A$1:$I$88,3,0)*0.475*44/12</f>
        <v>#N/A</v>
      </c>
      <c r="CM126" s="23" t="e">
        <f>EXP(-LN(2)/2)*CM125+(1-EXP(-LN(2)/2))/(LN(2)/2)*CG126*CJ126*VLOOKUP('Données projet'!$B$12,Paramètres!$A$1:$I$88,3,0)*0.475*44/12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90.916799999999725</v>
      </c>
      <c r="D127" s="12">
        <f t="shared" si="86"/>
        <v>24.786204483471373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893.14599952153128</v>
      </c>
      <c r="H127" s="70">
        <f t="shared" si="56"/>
        <v>494.84939947537879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2.8421709430404007E-13</v>
      </c>
      <c r="O127" s="14">
        <f>N127*VLOOKUP('Données projet'!$B$9,Paramètres!$A$1:$I$88,3,0)*VLOOKUP('Données projet'!$B$9,Paramètres!$A$1:$I$88,5,0)</f>
        <v>1.588773557159584E-13</v>
      </c>
      <c r="P127" s="14">
        <f t="shared" si="87"/>
        <v>2.2615721672198623E-12</v>
      </c>
      <c r="Q127" s="22">
        <f t="shared" si="107"/>
        <v>4.2156162524465543E-12</v>
      </c>
      <c r="R127" s="62">
        <f t="shared" si="55"/>
        <v>293.33333333333752</v>
      </c>
      <c r="S127" s="62">
        <f ca="1">AVERAGE(OFFSET($R$3,0,0,'Données projet'!$E$9+1,1))-AVERAGE(OFFSET($H$3,0,0,'Données projet'!$E$9+1,1))</f>
        <v>222.18341301864729</v>
      </c>
      <c r="T127" s="62">
        <f t="shared" si="88"/>
        <v>172.63628480089358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95.49512752487432</v>
      </c>
      <c r="AA127" s="23">
        <f>EXP(-LN(2)/25)*AA126+(1-EXP(-LN(2)/25))/(LN(2)/25)*Calculateur!V127*Calculateur!X127*VLOOKUP('Données projet'!$B$9,Paramètres!$A$1:$I$88,3,0)*0.475*44/12</f>
        <v>32.143723792848888</v>
      </c>
      <c r="AB127" s="23">
        <f>EXP(-LN(2)/2)*AB126+(1-EXP(-LN(2)/2))/(LN(2)/2)*V127*Y127*VLOOKUP('Données projet'!$B$9,Paramètres!$A$1:$I$88,3,0)*0.475*44/12</f>
        <v>0</v>
      </c>
      <c r="AC127" s="24">
        <f t="shared" si="57"/>
        <v>127.63885131772321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projet'!$B$10,Paramètres!$A$1:$I$88,3,0)*VLOOKUP('Données projet'!$B$10,Paramètres!$A$1:$I$88,5,0)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82.840015321739202</v>
      </c>
      <c r="AO127" s="62">
        <f t="shared" si="90"/>
        <v>101.40622074610098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21.466201881067761</v>
      </c>
      <c r="AV127" s="23">
        <f>EXP(-LN(2)/25)*AV126+(1-EXP(-LN(2)/25))/(LN(2)/25)*Calculateur!AQ127*Calculateur!AS127*VLOOKUP('Données projet'!$B$10,Paramètres!$A$1:$I$88,3,0)*0.475*44/12</f>
        <v>6.6833502474666266</v>
      </c>
      <c r="AW127" s="23">
        <f>EXP(-LN(2)/2)*AW126+(1-EXP(-LN(2)/2))/(LN(2)/2)*AQ127*AT127*VLOOKUP('Données projet'!$B$10,Paramètres!$A$1:$I$88,3,0)*0.475*44/12</f>
        <v>0</v>
      </c>
      <c r="AX127" s="23">
        <f t="shared" si="60"/>
        <v>28.149552128534388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169.99999999999983</v>
      </c>
      <c r="BE127" s="14">
        <f>BD127*VLOOKUP('Données projet'!$B$11,Paramètres!$A$1:$I$88,3,0)*VLOOKUP('Données projet'!$B$11,Paramètres!$A$1:$I$88,5,0)</f>
        <v>101.65999999999991</v>
      </c>
      <c r="BF127" s="14">
        <f t="shared" si="91"/>
        <v>27.357089923704745</v>
      </c>
      <c r="BG127" s="22">
        <f t="shared" si="61"/>
        <v>224.70476495045224</v>
      </c>
      <c r="BH127" s="62">
        <f t="shared" si="62"/>
        <v>518.03809828378553</v>
      </c>
      <c r="BI127" s="62">
        <f ca="1">AVERAGE(OFFSET($BH$3,0,0,'Données projet'!$E$11+1,1))-AVERAGE(OFFSET($H$3,0,0,'Données projet'!$E$11+1,1))</f>
        <v>83.354474428753292</v>
      </c>
      <c r="BJ127" s="62">
        <f t="shared" si="92"/>
        <v>97.75861379589162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3.6188354478545874</v>
      </c>
      <c r="BQ127" s="23">
        <f>EXP(-LN(2)/25)*BQ126+(1-EXP(-LN(2)/25))/(LN(2)/25)*Calculateur!BL127*Calculateur!BN127*VLOOKUP('Données projet'!$B$11,Paramètres!$A$1:$I$88,3,0)*0.475*44/12</f>
        <v>1.9772608013621626</v>
      </c>
      <c r="BR127" s="23">
        <f>EXP(-LN(2)/2)*BR126+(1-EXP(-LN(2)/2))/(LN(2)/2)*BL127*BO127*VLOOKUP('Données projet'!$B$11,Paramètres!$A$1:$I$88,3,0)*0.475*44/12</f>
        <v>0</v>
      </c>
      <c r="BS127" s="24">
        <f t="shared" si="63"/>
        <v>5.5960962492167496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projet'!$B$12,Paramètres!$A$1:$I$88,3,0)*0.475*44/12</f>
        <v>#N/A</v>
      </c>
      <c r="CL127" s="23" t="e">
        <f>EXP(-LN(2)/25)*CL126+(1-EXP(-LN(2)/25))/(LN(2)/25)*Calculateur!CG127*Calculateur!CI127*VLOOKUP('Données projet'!$B$12,Paramètres!$A$1:$I$88,3,0)*0.475*44/12</f>
        <v>#N/A</v>
      </c>
      <c r="CM127" s="23" t="e">
        <f>EXP(-LN(2)/2)*CM126+(1-EXP(-LN(2)/2))/(LN(2)/2)*CG127*CJ127*VLOOKUP('Données projet'!$B$12,Paramètres!$A$1:$I$88,3,0)*0.475*44/12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91.649999999999721</v>
      </c>
      <c r="D128" s="12">
        <f t="shared" si="86"/>
        <v>24.96274352877078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900.16854653787743</v>
      </c>
      <c r="H128" s="70">
        <f t="shared" si="56"/>
        <v>496.43386164594193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2.8421709430404007E-13</v>
      </c>
      <c r="O128" s="14">
        <f>N128*VLOOKUP('Données projet'!$B$9,Paramètres!$A$1:$I$88,3,0)*VLOOKUP('Données projet'!$B$9,Paramètres!$A$1:$I$88,5,0)</f>
        <v>1.588773557159584E-13</v>
      </c>
      <c r="P128" s="14">
        <f t="shared" si="87"/>
        <v>2.2615721672198623E-12</v>
      </c>
      <c r="Q128" s="22">
        <f t="shared" si="107"/>
        <v>4.2156162524465543E-12</v>
      </c>
      <c r="R128" s="62">
        <f t="shared" si="55"/>
        <v>293.33333333333752</v>
      </c>
      <c r="S128" s="62">
        <f ca="1">AVERAGE(OFFSET($R$3,0,0,'Données projet'!$E$9+1,1))-AVERAGE(OFFSET($H$3,0,0,'Données projet'!$E$9+1,1))</f>
        <v>222.18341301864729</v>
      </c>
      <c r="T128" s="62">
        <f t="shared" si="88"/>
        <v>172.63628480089358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93.622526320387976</v>
      </c>
      <c r="AA128" s="23">
        <f>EXP(-LN(2)/25)*AA127+(1-EXP(-LN(2)/25))/(LN(2)/25)*Calculateur!V128*Calculateur!X128*VLOOKUP('Données projet'!$B$9,Paramètres!$A$1:$I$88,3,0)*0.475*44/12</f>
        <v>31.264751975368466</v>
      </c>
      <c r="AB128" s="23">
        <f>EXP(-LN(2)/2)*AB127+(1-EXP(-LN(2)/2))/(LN(2)/2)*V128*Y128*VLOOKUP('Données projet'!$B$9,Paramètres!$A$1:$I$88,3,0)*0.475*44/12</f>
        <v>0</v>
      </c>
      <c r="AC128" s="24">
        <f t="shared" si="57"/>
        <v>124.88727829575645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projet'!$B$10,Paramètres!$A$1:$I$88,3,0)*VLOOKUP('Données projet'!$B$10,Paramètres!$A$1:$I$88,5,0)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82.840015321739202</v>
      </c>
      <c r="AO128" s="62">
        <f t="shared" si="90"/>
        <v>101.40622074610098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21.045262755270333</v>
      </c>
      <c r="AV128" s="23">
        <f>EXP(-LN(2)/25)*AV127+(1-EXP(-LN(2)/25))/(LN(2)/25)*Calculateur!AQ128*Calculateur!AS128*VLOOKUP('Données projet'!$B$10,Paramètres!$A$1:$I$88,3,0)*0.475*44/12</f>
        <v>6.5005936834875371</v>
      </c>
      <c r="AW128" s="23">
        <f>EXP(-LN(2)/2)*AW127+(1-EXP(-LN(2)/2))/(LN(2)/2)*AQ128*AT128*VLOOKUP('Données projet'!$B$10,Paramètres!$A$1:$I$88,3,0)*0.475*44/12</f>
        <v>0</v>
      </c>
      <c r="AX128" s="23">
        <f t="shared" si="60"/>
        <v>27.54585643875787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169.99999999999983</v>
      </c>
      <c r="BE128" s="14">
        <f>BD128*VLOOKUP('Données projet'!$B$11,Paramètres!$A$1:$I$88,3,0)*VLOOKUP('Données projet'!$B$11,Paramètres!$A$1:$I$88,5,0)</f>
        <v>101.65999999999991</v>
      </c>
      <c r="BF128" s="14">
        <f t="shared" si="91"/>
        <v>27.357089923704745</v>
      </c>
      <c r="BG128" s="22">
        <f t="shared" si="61"/>
        <v>224.70476495045224</v>
      </c>
      <c r="BH128" s="62">
        <f t="shared" si="62"/>
        <v>518.03809828378553</v>
      </c>
      <c r="BI128" s="62">
        <f ca="1">AVERAGE(OFFSET($BH$3,0,0,'Données projet'!$E$11+1,1))-AVERAGE(OFFSET($H$3,0,0,'Données projet'!$E$11+1,1))</f>
        <v>83.354474428753292</v>
      </c>
      <c r="BJ128" s="62">
        <f t="shared" si="92"/>
        <v>97.75861379589162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3.5478722919938321</v>
      </c>
      <c r="BQ128" s="23">
        <f>EXP(-LN(2)/25)*BQ127+(1-EXP(-LN(2)/25))/(LN(2)/25)*Calculateur!BL128*Calculateur!BN128*VLOOKUP('Données projet'!$B$11,Paramètres!$A$1:$I$88,3,0)*0.475*44/12</f>
        <v>1.9231925007692878</v>
      </c>
      <c r="BR128" s="23">
        <f>EXP(-LN(2)/2)*BR127+(1-EXP(-LN(2)/2))/(LN(2)/2)*BL128*BO128*VLOOKUP('Données projet'!$B$11,Paramètres!$A$1:$I$88,3,0)*0.475*44/12</f>
        <v>0</v>
      </c>
      <c r="BS128" s="24">
        <f t="shared" si="63"/>
        <v>5.4710647927631202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projet'!$B$12,Paramètres!$A$1:$I$88,3,0)*0.475*44/12</f>
        <v>#N/A</v>
      </c>
      <c r="CL128" s="23" t="e">
        <f>EXP(-LN(2)/25)*CL127+(1-EXP(-LN(2)/25))/(LN(2)/25)*Calculateur!CG128*Calculateur!CI128*VLOOKUP('Données projet'!$B$12,Paramètres!$A$1:$I$88,3,0)*0.475*44/12</f>
        <v>#N/A</v>
      </c>
      <c r="CM128" s="23" t="e">
        <f>EXP(-LN(2)/2)*CM127+(1-EXP(-LN(2)/2))/(LN(2)/2)*CG128*CJ128*VLOOKUP('Données projet'!$B$12,Paramètres!$A$1:$I$88,3,0)*0.475*44/12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92.383199999999718</v>
      </c>
      <c r="D129" s="12">
        <f t="shared" si="86"/>
        <v>25.139118255575003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907.18982513075218</v>
      </c>
      <c r="H129" s="70">
        <f t="shared" si="56"/>
        <v>498.0180376284593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2.8421709430404007E-13</v>
      </c>
      <c r="O129" s="14">
        <f>N129*VLOOKUP('Données projet'!$B$9,Paramètres!$A$1:$I$88,3,0)*VLOOKUP('Données projet'!$B$9,Paramètres!$A$1:$I$88,5,0)</f>
        <v>1.588773557159584E-13</v>
      </c>
      <c r="P129" s="14">
        <f t="shared" si="87"/>
        <v>2.2615721672198623E-12</v>
      </c>
      <c r="Q129" s="22">
        <f t="shared" si="107"/>
        <v>4.2156162524465543E-12</v>
      </c>
      <c r="R129" s="62">
        <f t="shared" si="55"/>
        <v>293.33333333333752</v>
      </c>
      <c r="S129" s="62">
        <f ca="1">AVERAGE(OFFSET($R$3,0,0,'Données projet'!$E$9+1,1))-AVERAGE(OFFSET($H$3,0,0,'Données projet'!$E$9+1,1))</f>
        <v>222.18341301864729</v>
      </c>
      <c r="T129" s="62">
        <f t="shared" si="88"/>
        <v>172.63628480089358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91.786645683347658</v>
      </c>
      <c r="AA129" s="23">
        <f>EXP(-LN(2)/25)*AA128+(1-EXP(-LN(2)/25))/(LN(2)/25)*Calculateur!V129*Calculateur!X129*VLOOKUP('Données projet'!$B$9,Paramètres!$A$1:$I$88,3,0)*0.475*44/12</f>
        <v>30.409815688460164</v>
      </c>
      <c r="AB129" s="23">
        <f>EXP(-LN(2)/2)*AB128+(1-EXP(-LN(2)/2))/(LN(2)/2)*V129*Y129*VLOOKUP('Données projet'!$B$9,Paramètres!$A$1:$I$88,3,0)*0.475*44/12</f>
        <v>0</v>
      </c>
      <c r="AC129" s="24">
        <f t="shared" si="57"/>
        <v>122.19646137180783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projet'!$B$10,Paramètres!$A$1:$I$88,3,0)*VLOOKUP('Données projet'!$B$10,Paramètres!$A$1:$I$88,5,0)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82.840015321739202</v>
      </c>
      <c r="AO129" s="62">
        <f t="shared" si="90"/>
        <v>101.40622074610098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20.632577988982277</v>
      </c>
      <c r="AV129" s="23">
        <f>EXP(-LN(2)/25)*AV128+(1-EXP(-LN(2)/25))/(LN(2)/25)*Calculateur!AQ129*Calculateur!AS129*VLOOKUP('Données projet'!$B$10,Paramètres!$A$1:$I$88,3,0)*0.475*44/12</f>
        <v>6.3228346073612061</v>
      </c>
      <c r="AW129" s="23">
        <f>EXP(-LN(2)/2)*AW128+(1-EXP(-LN(2)/2))/(LN(2)/2)*AQ129*AT129*VLOOKUP('Données projet'!$B$10,Paramètres!$A$1:$I$88,3,0)*0.475*44/12</f>
        <v>0</v>
      </c>
      <c r="AX129" s="23">
        <f t="shared" si="60"/>
        <v>26.955412596343482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169.99999999999983</v>
      </c>
      <c r="BE129" s="14">
        <f>BD129*VLOOKUP('Données projet'!$B$11,Paramètres!$A$1:$I$88,3,0)*VLOOKUP('Données projet'!$B$11,Paramètres!$A$1:$I$88,5,0)</f>
        <v>101.65999999999991</v>
      </c>
      <c r="BF129" s="14">
        <f t="shared" si="91"/>
        <v>27.357089923704745</v>
      </c>
      <c r="BG129" s="22">
        <f t="shared" si="61"/>
        <v>224.70476495045224</v>
      </c>
      <c r="BH129" s="62">
        <f t="shared" si="62"/>
        <v>518.03809828378553</v>
      </c>
      <c r="BI129" s="62">
        <f ca="1">AVERAGE(OFFSET($BH$3,0,0,'Données projet'!$E$11+1,1))-AVERAGE(OFFSET($H$3,0,0,'Données projet'!$E$11+1,1))</f>
        <v>83.354474428753292</v>
      </c>
      <c r="BJ129" s="62">
        <f t="shared" si="92"/>
        <v>97.75861379589162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3.4783006803362553</v>
      </c>
      <c r="BQ129" s="23">
        <f>EXP(-LN(2)/25)*BQ128+(1-EXP(-LN(2)/25))/(LN(2)/25)*Calculateur!BL129*Calculateur!BN129*VLOOKUP('Données projet'!$B$11,Paramètres!$A$1:$I$88,3,0)*0.475*44/12</f>
        <v>1.8706027006994534</v>
      </c>
      <c r="BR129" s="23">
        <f>EXP(-LN(2)/2)*BR128+(1-EXP(-LN(2)/2))/(LN(2)/2)*BL129*BO129*VLOOKUP('Données projet'!$B$11,Paramètres!$A$1:$I$88,3,0)*0.475*44/12</f>
        <v>0</v>
      </c>
      <c r="BS129" s="24">
        <f t="shared" si="63"/>
        <v>5.3489033810357087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projet'!$B$12,Paramètres!$A$1:$I$88,3,0)*0.475*44/12</f>
        <v>#N/A</v>
      </c>
      <c r="CL129" s="23" t="e">
        <f>EXP(-LN(2)/25)*CL128+(1-EXP(-LN(2)/25))/(LN(2)/25)*Calculateur!CG129*Calculateur!CI129*VLOOKUP('Données projet'!$B$12,Paramètres!$A$1:$I$88,3,0)*0.475*44/12</f>
        <v>#N/A</v>
      </c>
      <c r="CM129" s="23" t="e">
        <f>EXP(-LN(2)/2)*CM128+(1-EXP(-LN(2)/2))/(LN(2)/2)*CG129*CJ129*VLOOKUP('Données projet'!$B$12,Paramètres!$A$1:$I$88,3,0)*0.475*44/12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93.116399999999715</v>
      </c>
      <c r="D130" s="12">
        <f t="shared" si="86"/>
        <v>25.31533011915646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914.20984653383709</v>
      </c>
      <c r="H130" s="70">
        <f t="shared" si="56"/>
        <v>499.60192995753027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2.8421709430404007E-13</v>
      </c>
      <c r="O130" s="14">
        <f>N130*VLOOKUP('Données projet'!$B$9,Paramètres!$A$1:$I$88,3,0)*VLOOKUP('Données projet'!$B$9,Paramètres!$A$1:$I$88,5,0)</f>
        <v>1.588773557159584E-13</v>
      </c>
      <c r="P130" s="14">
        <f t="shared" si="87"/>
        <v>2.2615721672198623E-12</v>
      </c>
      <c r="Q130" s="22">
        <f t="shared" si="107"/>
        <v>4.2156162524465543E-12</v>
      </c>
      <c r="R130" s="62">
        <f t="shared" si="55"/>
        <v>293.33333333333752</v>
      </c>
      <c r="S130" s="62">
        <f ca="1">AVERAGE(OFFSET($R$3,0,0,'Données projet'!$E$9+1,1))-AVERAGE(OFFSET($H$3,0,0,'Données projet'!$E$9+1,1))</f>
        <v>222.18341301864729</v>
      </c>
      <c r="T130" s="62">
        <f t="shared" si="88"/>
        <v>172.63628480089358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89.98676554582309</v>
      </c>
      <c r="AA130" s="23">
        <f>EXP(-LN(2)/25)*AA129+(1-EXP(-LN(2)/25))/(LN(2)/25)*Calculateur!V130*Calculateur!X130*VLOOKUP('Données projet'!$B$9,Paramètres!$A$1:$I$88,3,0)*0.475*44/12</f>
        <v>29.578257679276515</v>
      </c>
      <c r="AB130" s="23">
        <f>EXP(-LN(2)/2)*AB129+(1-EXP(-LN(2)/2))/(LN(2)/2)*V130*Y130*VLOOKUP('Données projet'!$B$9,Paramètres!$A$1:$I$88,3,0)*0.475*44/12</f>
        <v>0</v>
      </c>
      <c r="AC130" s="24">
        <f t="shared" si="57"/>
        <v>119.56502322509961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projet'!$B$10,Paramètres!$A$1:$I$88,3,0)*VLOOKUP('Données projet'!$B$10,Paramètres!$A$1:$I$88,5,0)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82.840015321739202</v>
      </c>
      <c r="AO130" s="62">
        <f t="shared" si="90"/>
        <v>101.40622074610098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20.227985719248277</v>
      </c>
      <c r="AV130" s="23">
        <f>EXP(-LN(2)/25)*AV129+(1-EXP(-LN(2)/25))/(LN(2)/25)*Calculateur!AQ130*Calculateur!AS130*VLOOKUP('Données projet'!$B$10,Paramètres!$A$1:$I$88,3,0)*0.475*44/12</f>
        <v>6.1499363625194929</v>
      </c>
      <c r="AW130" s="23">
        <f>EXP(-LN(2)/2)*AW129+(1-EXP(-LN(2)/2))/(LN(2)/2)*AQ130*AT130*VLOOKUP('Données projet'!$B$10,Paramètres!$A$1:$I$88,3,0)*0.475*44/12</f>
        <v>0</v>
      </c>
      <c r="AX130" s="23">
        <f t="shared" si="60"/>
        <v>26.377922081767771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169.99999999999983</v>
      </c>
      <c r="BE130" s="14">
        <f>BD130*VLOOKUP('Données projet'!$B$11,Paramètres!$A$1:$I$88,3,0)*VLOOKUP('Données projet'!$B$11,Paramètres!$A$1:$I$88,5,0)</f>
        <v>101.65999999999991</v>
      </c>
      <c r="BF130" s="14">
        <f t="shared" si="91"/>
        <v>27.357089923704745</v>
      </c>
      <c r="BG130" s="22">
        <f t="shared" si="61"/>
        <v>224.70476495045224</v>
      </c>
      <c r="BH130" s="62">
        <f t="shared" si="62"/>
        <v>518.03809828378553</v>
      </c>
      <c r="BI130" s="62">
        <f ca="1">AVERAGE(OFFSET($BH$3,0,0,'Données projet'!$E$11+1,1))-AVERAGE(OFFSET($H$3,0,0,'Données projet'!$E$11+1,1))</f>
        <v>83.354474428753292</v>
      </c>
      <c r="BJ130" s="62">
        <f t="shared" si="92"/>
        <v>97.75861379589162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3.4100933255487904</v>
      </c>
      <c r="BQ130" s="23">
        <f>EXP(-LN(2)/25)*BQ129+(1-EXP(-LN(2)/25))/(LN(2)/25)*Calculateur!BL130*Calculateur!BN130*VLOOKUP('Données projet'!$B$11,Paramètres!$A$1:$I$88,3,0)*0.475*44/12</f>
        <v>1.8194509714781062</v>
      </c>
      <c r="BR130" s="23">
        <f>EXP(-LN(2)/2)*BR129+(1-EXP(-LN(2)/2))/(LN(2)/2)*BL130*BO130*VLOOKUP('Données projet'!$B$11,Paramètres!$A$1:$I$88,3,0)*0.475*44/12</f>
        <v>0</v>
      </c>
      <c r="BS130" s="24">
        <f t="shared" si="63"/>
        <v>5.2295442970268962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projet'!$B$12,Paramètres!$A$1:$I$88,3,0)*0.475*44/12</f>
        <v>#N/A</v>
      </c>
      <c r="CL130" s="23" t="e">
        <f>EXP(-LN(2)/25)*CL129+(1-EXP(-LN(2)/25))/(LN(2)/25)*Calculateur!CG130*Calculateur!CI130*VLOOKUP('Données projet'!$B$12,Paramètres!$A$1:$I$88,3,0)*0.475*44/12</f>
        <v>#N/A</v>
      </c>
      <c r="CM130" s="23" t="e">
        <f>EXP(-LN(2)/2)*CM129+(1-EXP(-LN(2)/2))/(LN(2)/2)*CG130*CJ130*VLOOKUP('Données projet'!$B$12,Paramètres!$A$1:$I$88,3,0)*0.475*44/12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93.849599999999711</v>
      </c>
      <c r="D131" s="12">
        <f t="shared" si="86"/>
        <v>25.491380550546399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921.22862179368929</v>
      </c>
      <c r="H131" s="70">
        <f t="shared" si="56"/>
        <v>501.18554112553443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2.8421709430404007E-13</v>
      </c>
      <c r="O131" s="14">
        <f>N131*VLOOKUP('Données projet'!$B$9,Paramètres!$A$1:$I$88,3,0)*VLOOKUP('Données projet'!$B$9,Paramètres!$A$1:$I$88,5,0)</f>
        <v>1.588773557159584E-13</v>
      </c>
      <c r="P131" s="14">
        <f t="shared" si="87"/>
        <v>2.2615721672198623E-12</v>
      </c>
      <c r="Q131" s="22">
        <f t="shared" ref="Q131:Q153" si="108">(O131+P131)*0.475*44/12</f>
        <v>4.2156162524465543E-12</v>
      </c>
      <c r="R131" s="62">
        <f t="shared" ref="R131:R194" si="109">Q131+(I131+J131)*44/12</f>
        <v>293.33333333333752</v>
      </c>
      <c r="S131" s="62">
        <f ca="1">AVERAGE(OFFSET($R$3,0,0,'Données projet'!$E$9+1,1))-AVERAGE(OFFSET($H$3,0,0,'Données projet'!$E$9+1,1))</f>
        <v>222.18341301864729</v>
      </c>
      <c r="T131" s="62">
        <f t="shared" si="88"/>
        <v>172.63628480089358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88.222179959976884</v>
      </c>
      <c r="AA131" s="23">
        <f>EXP(-LN(2)/25)*AA130+(1-EXP(-LN(2)/25))/(LN(2)/25)*Calculateur!V131*Calculateur!X131*VLOOKUP('Données projet'!$B$9,Paramètres!$A$1:$I$88,3,0)*0.475*44/12</f>
        <v>28.769438667583728</v>
      </c>
      <c r="AB131" s="23">
        <f>EXP(-LN(2)/2)*AB130+(1-EXP(-LN(2)/2))/(LN(2)/2)*V131*Y131*VLOOKUP('Données projet'!$B$9,Paramètres!$A$1:$I$88,3,0)*0.475*44/12</f>
        <v>0</v>
      </c>
      <c r="AC131" s="24">
        <f t="shared" si="57"/>
        <v>116.99161862756061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projet'!$B$10,Paramètres!$A$1:$I$88,3,0)*VLOOKUP('Données projet'!$B$10,Paramètres!$A$1:$I$88,5,0)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82.840015321739202</v>
      </c>
      <c r="AO131" s="62">
        <f t="shared" si="90"/>
        <v>101.40622074610098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19.831327257146846</v>
      </c>
      <c r="AV131" s="23">
        <f>EXP(-LN(2)/25)*AV130+(1-EXP(-LN(2)/25))/(LN(2)/25)*Calculateur!AQ131*Calculateur!AS131*VLOOKUP('Données projet'!$B$10,Paramètres!$A$1:$I$88,3,0)*0.475*44/12</f>
        <v>5.9817660292752999</v>
      </c>
      <c r="AW131" s="23">
        <f>EXP(-LN(2)/2)*AW130+(1-EXP(-LN(2)/2))/(LN(2)/2)*AQ131*AT131*VLOOKUP('Données projet'!$B$10,Paramètres!$A$1:$I$88,3,0)*0.475*44/12</f>
        <v>0</v>
      </c>
      <c r="AX131" s="23">
        <f t="shared" si="60"/>
        <v>25.813093286422145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169.99999999999983</v>
      </c>
      <c r="BE131" s="14">
        <f>BD131*VLOOKUP('Données projet'!$B$11,Paramètres!$A$1:$I$88,3,0)*VLOOKUP('Données projet'!$B$11,Paramètres!$A$1:$I$88,5,0)</f>
        <v>101.65999999999991</v>
      </c>
      <c r="BF131" s="14">
        <f t="shared" si="91"/>
        <v>27.357089923704745</v>
      </c>
      <c r="BG131" s="22">
        <f t="shared" si="61"/>
        <v>224.70476495045224</v>
      </c>
      <c r="BH131" s="62">
        <f t="shared" si="62"/>
        <v>518.03809828378553</v>
      </c>
      <c r="BI131" s="62">
        <f ca="1">AVERAGE(OFFSET($BH$3,0,0,'Données projet'!$E$11+1,1))-AVERAGE(OFFSET($H$3,0,0,'Données projet'!$E$11+1,1))</f>
        <v>83.354474428753292</v>
      </c>
      <c r="BJ131" s="62">
        <f t="shared" si="92"/>
        <v>97.75861379589162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3.343223475386329</v>
      </c>
      <c r="BQ131" s="23">
        <f>EXP(-LN(2)/25)*BQ130+(1-EXP(-LN(2)/25))/(LN(2)/25)*Calculateur!BL131*Calculateur!BN131*VLOOKUP('Données projet'!$B$11,Paramètres!$A$1:$I$88,3,0)*0.475*44/12</f>
        <v>1.7696979889822693</v>
      </c>
      <c r="BR131" s="23">
        <f>EXP(-LN(2)/2)*BR130+(1-EXP(-LN(2)/2))/(LN(2)/2)*BL131*BO131*VLOOKUP('Données projet'!$B$11,Paramètres!$A$1:$I$88,3,0)*0.475*44/12</f>
        <v>0</v>
      </c>
      <c r="BS131" s="24">
        <f t="shared" si="63"/>
        <v>5.1129214643685987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projet'!$B$12,Paramètres!$A$1:$I$88,3,0)*0.475*44/12</f>
        <v>#N/A</v>
      </c>
      <c r="CL131" s="23" t="e">
        <f>EXP(-LN(2)/25)*CL130+(1-EXP(-LN(2)/25))/(LN(2)/25)*Calculateur!CG131*Calculateur!CI131*VLOOKUP('Données projet'!$B$12,Paramètres!$A$1:$I$88,3,0)*0.475*44/12</f>
        <v>#N/A</v>
      </c>
      <c r="CM131" s="23" t="e">
        <f>EXP(-LN(2)/2)*CM130+(1-EXP(-LN(2)/2))/(LN(2)/2)*CG131*CJ131*VLOOKUP('Données projet'!$B$12,Paramètres!$A$1:$I$88,3,0)*0.475*44/12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94.582799999999708</v>
      </c>
      <c r="D132" s="12">
        <f t="shared" si="86"/>
        <v>25.667270957125002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928.24616177429607</v>
      </c>
      <c r="H132" s="70">
        <f t="shared" ref="H132:H195" si="110">(B132+E132+F132)*44/12+(C132+D132)*0.475*44/12</f>
        <v>502.76887358365883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2.8421709430404007E-13</v>
      </c>
      <c r="O132" s="14">
        <f>N132*VLOOKUP('Données projet'!$B$9,Paramètres!$A$1:$I$88,3,0)*VLOOKUP('Données projet'!$B$9,Paramètres!$A$1:$I$88,5,0)</f>
        <v>1.588773557159584E-13</v>
      </c>
      <c r="P132" s="14">
        <f t="shared" si="87"/>
        <v>2.2615721672198623E-12</v>
      </c>
      <c r="Q132" s="22">
        <f t="shared" si="108"/>
        <v>4.2156162524465543E-12</v>
      </c>
      <c r="R132" s="62">
        <f t="shared" si="109"/>
        <v>293.33333333333752</v>
      </c>
      <c r="S132" s="62">
        <f ca="1">AVERAGE(OFFSET($R$3,0,0,'Données projet'!$E$9+1,1))-AVERAGE(OFFSET($H$3,0,0,'Données projet'!$E$9+1,1))</f>
        <v>222.18341301864729</v>
      </c>
      <c r="T132" s="62">
        <f t="shared" si="88"/>
        <v>172.63628480089358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86.492196821178197</v>
      </c>
      <c r="AA132" s="23">
        <f>EXP(-LN(2)/25)*AA131+(1-EXP(-LN(2)/25))/(LN(2)/25)*Calculateur!V132*Calculateur!X132*VLOOKUP('Données projet'!$B$9,Paramètres!$A$1:$I$88,3,0)*0.475*44/12</f>
        <v>27.982736854299624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1">SUM(Z132:AB132)</f>
        <v>114.47493367547781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projet'!$B$10,Paramètres!$A$1:$I$88,3,0)*VLOOKUP('Données projet'!$B$10,Paramètres!$A$1:$I$88,5,0)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82.840015321739202</v>
      </c>
      <c r="AO132" s="62">
        <f t="shared" si="90"/>
        <v>101.40622074610098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19.442447025549452</v>
      </c>
      <c r="AV132" s="23">
        <f>EXP(-LN(2)/25)*AV131+(1-EXP(-LN(2)/25))/(LN(2)/25)*Calculateur!AQ132*Calculateur!AS132*VLOOKUP('Données projet'!$B$10,Paramètres!$A$1:$I$88,3,0)*0.475*44/12</f>
        <v>5.8181943226373631</v>
      </c>
      <c r="AW132" s="23">
        <f>EXP(-LN(2)/2)*AW131+(1-EXP(-LN(2)/2))/(LN(2)/2)*AQ132*AT132*VLOOKUP('Données projet'!$B$10,Paramètres!$A$1:$I$88,3,0)*0.475*44/12</f>
        <v>0</v>
      </c>
      <c r="AX132" s="23">
        <f t="shared" ref="AX132:AX153" si="114">SUM(AU132:AW132)</f>
        <v>25.260641348186816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169.99999999999983</v>
      </c>
      <c r="BE132" s="14">
        <f>BD132*VLOOKUP('Données projet'!$B$11,Paramètres!$A$1:$I$88,3,0)*VLOOKUP('Données projet'!$B$11,Paramètres!$A$1:$I$88,5,0)</f>
        <v>101.65999999999991</v>
      </c>
      <c r="BF132" s="14">
        <f t="shared" si="91"/>
        <v>27.357089923704745</v>
      </c>
      <c r="BG132" s="22">
        <f t="shared" ref="BG132:BG153" si="115">(BE132+BF132)*0.475*44/12</f>
        <v>224.70476495045224</v>
      </c>
      <c r="BH132" s="62">
        <f t="shared" ref="BH132:BH195" si="116">BG132+(AY132+AZ132)*44/12</f>
        <v>518.03809828378553</v>
      </c>
      <c r="BI132" s="62">
        <f ca="1">AVERAGE(OFFSET($BH$3,0,0,'Données projet'!$E$11+1,1))-AVERAGE(OFFSET($H$3,0,0,'Données projet'!$E$11+1,1))</f>
        <v>83.354474428753292</v>
      </c>
      <c r="BJ132" s="62">
        <f t="shared" si="92"/>
        <v>97.75861379589162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3.2776649021989721</v>
      </c>
      <c r="BQ132" s="23">
        <f>EXP(-LN(2)/25)*BQ131+(1-EXP(-LN(2)/25))/(LN(2)/25)*Calculateur!BL132*Calculateur!BN132*VLOOKUP('Données projet'!$B$11,Paramètres!$A$1:$I$88,3,0)*0.475*44/12</f>
        <v>1.7213055044091765</v>
      </c>
      <c r="BR132" s="23">
        <f>EXP(-LN(2)/2)*BR131+(1-EXP(-LN(2)/2))/(LN(2)/2)*BL132*BO132*VLOOKUP('Données projet'!$B$11,Paramètres!$A$1:$I$88,3,0)*0.475*44/12</f>
        <v>0</v>
      </c>
      <c r="BS132" s="24">
        <f t="shared" ref="BS132:BS153" si="117">SUM(BP132:BR132)</f>
        <v>4.9989704066081488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projet'!$B$12,Paramètres!$A$1:$I$88,3,0)*0.475*44/12</f>
        <v>#N/A</v>
      </c>
      <c r="CL132" s="23" t="e">
        <f>EXP(-LN(2)/25)*CL131+(1-EXP(-LN(2)/25))/(LN(2)/25)*Calculateur!CG132*Calculateur!CI132*VLOOKUP('Données projet'!$B$12,Paramètres!$A$1:$I$88,3,0)*0.475*44/12</f>
        <v>#N/A</v>
      </c>
      <c r="CM132" s="23" t="e">
        <f>EXP(-LN(2)/2)*CM131+(1-EXP(-LN(2)/2))/(LN(2)/2)*CG132*CJ132*VLOOKUP('Données projet'!$B$12,Paramètres!$A$1:$I$88,3,0)*0.475*44/12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95.315999999999704</v>
      </c>
      <c r="D133" s="12">
        <f t="shared" ref="D133:D196" si="140">IFERROR(EXP(-1.0587+0.8836*LN(C133)+0.284),0)</f>
        <v>25.843002723192335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935.26247716148237</v>
      </c>
      <c r="H133" s="70">
        <f t="shared" si="110"/>
        <v>504.35192974289276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2.8421709430404007E-13</v>
      </c>
      <c r="O133" s="14">
        <f>N133*VLOOKUP('Données projet'!$B$9,Paramètres!$A$1:$I$88,3,0)*VLOOKUP('Données projet'!$B$9,Paramètres!$A$1:$I$88,5,0)</f>
        <v>1.588773557159584E-13</v>
      </c>
      <c r="P133" s="14">
        <f t="shared" ref="P133:P196" si="141">EXP(-1.0587+0.8836*LN(O133)+0.284)</f>
        <v>2.2615721672198623E-12</v>
      </c>
      <c r="Q133" s="22">
        <f t="shared" si="108"/>
        <v>4.2156162524465543E-12</v>
      </c>
      <c r="R133" s="62">
        <f t="shared" si="109"/>
        <v>293.33333333333752</v>
      </c>
      <c r="S133" s="62">
        <f ca="1">AVERAGE(OFFSET($R$3,0,0,'Données projet'!$E$9+1,1))-AVERAGE(OFFSET($H$3,0,0,'Données projet'!$E$9+1,1))</f>
        <v>222.18341301864729</v>
      </c>
      <c r="T133" s="62">
        <f t="shared" ref="T133:T196" si="142">$T$3</f>
        <v>172.63628480089358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84.796137596545833</v>
      </c>
      <c r="AA133" s="23">
        <f>EXP(-LN(2)/25)*AA132+(1-EXP(-LN(2)/25))/(LN(2)/25)*Calculateur!V133*Calculateur!X133*VLOOKUP('Données projet'!$B$9,Paramètres!$A$1:$I$88,3,0)*0.475*44/12</f>
        <v>27.217547443470625</v>
      </c>
      <c r="AB133" s="23">
        <f>EXP(-LN(2)/2)*AB132+(1-EXP(-LN(2)/2))/(LN(2)/2)*V133*Y133*VLOOKUP('Données projet'!$B$9,Paramètres!$A$1:$I$88,3,0)*0.475*44/12</f>
        <v>0</v>
      </c>
      <c r="AC133" s="24">
        <f t="shared" si="111"/>
        <v>112.01368504001645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projet'!$B$10,Paramètres!$A$1:$I$88,3,0)*VLOOKUP('Données projet'!$B$10,Paramètres!$A$1:$I$88,5,0)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82.840015321739202</v>
      </c>
      <c r="AO133" s="62">
        <f t="shared" ref="AO133:AO196" si="144">$AO$3</f>
        <v>101.40622074610098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19.061192498100162</v>
      </c>
      <c r="AV133" s="23">
        <f>EXP(-LN(2)/25)*AV132+(1-EXP(-LN(2)/25))/(LN(2)/25)*Calculateur!AQ133*Calculateur!AS133*VLOOKUP('Données projet'!$B$10,Paramètres!$A$1:$I$88,3,0)*0.475*44/12</f>
        <v>5.6590954929193025</v>
      </c>
      <c r="AW133" s="23">
        <f>EXP(-LN(2)/2)*AW132+(1-EXP(-LN(2)/2))/(LN(2)/2)*AQ133*AT133*VLOOKUP('Données projet'!$B$10,Paramètres!$A$1:$I$88,3,0)*0.475*44/12</f>
        <v>0</v>
      </c>
      <c r="AX133" s="23">
        <f t="shared" si="114"/>
        <v>24.720287991019465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169.99999999999983</v>
      </c>
      <c r="BE133" s="14">
        <f>BD133*VLOOKUP('Données projet'!$B$11,Paramètres!$A$1:$I$88,3,0)*VLOOKUP('Données projet'!$B$11,Paramètres!$A$1:$I$88,5,0)</f>
        <v>101.65999999999991</v>
      </c>
      <c r="BF133" s="14">
        <f t="shared" ref="BF133:BF153" si="145">EXP(-1.0587+0.8836*LN(BE133)+0.284)</f>
        <v>27.357089923704745</v>
      </c>
      <c r="BG133" s="22">
        <f t="shared" si="115"/>
        <v>224.70476495045224</v>
      </c>
      <c r="BH133" s="62">
        <f t="shared" si="116"/>
        <v>518.03809828378553</v>
      </c>
      <c r="BI133" s="62">
        <f ca="1">AVERAGE(OFFSET($BH$3,0,0,'Données projet'!$E$11+1,1))-AVERAGE(OFFSET($H$3,0,0,'Données projet'!$E$11+1,1))</f>
        <v>83.354474428753292</v>
      </c>
      <c r="BJ133" s="62">
        <f t="shared" ref="BJ133:BJ196" si="146">$BJ$3</f>
        <v>97.75861379589162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3.213391892645038</v>
      </c>
      <c r="BQ133" s="23">
        <f>EXP(-LN(2)/25)*BQ132+(1-EXP(-LN(2)/25))/(LN(2)/25)*Calculateur!BL133*Calculateur!BN133*VLOOKUP('Données projet'!$B$11,Paramètres!$A$1:$I$88,3,0)*0.475*44/12</f>
        <v>1.6742363148715853</v>
      </c>
      <c r="BR133" s="23">
        <f>EXP(-LN(2)/2)*BR132+(1-EXP(-LN(2)/2))/(LN(2)/2)*BL133*BO133*VLOOKUP('Données projet'!$B$11,Paramètres!$A$1:$I$88,3,0)*0.475*44/12</f>
        <v>0</v>
      </c>
      <c r="BS133" s="24">
        <f t="shared" si="117"/>
        <v>4.8876282075166237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projet'!$B$12,Paramètres!$A$1:$I$88,3,0)*0.475*44/12</f>
        <v>#N/A</v>
      </c>
      <c r="CL133" s="23" t="e">
        <f>EXP(-LN(2)/25)*CL132+(1-EXP(-LN(2)/25))/(LN(2)/25)*Calculateur!CG133*Calculateur!CI133*VLOOKUP('Données projet'!$B$12,Paramètres!$A$1:$I$88,3,0)*0.475*44/12</f>
        <v>#N/A</v>
      </c>
      <c r="CM133" s="23" t="e">
        <f>EXP(-LN(2)/2)*CM132+(1-EXP(-LN(2)/2))/(LN(2)/2)*CG133*CJ133*VLOOKUP('Données projet'!$B$12,Paramètres!$A$1:$I$88,3,0)*0.475*44/12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96.049199999999701</v>
      </c>
      <c r="D134" s="12">
        <f t="shared" si="140"/>
        <v>26.018577210521507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942.27757846718123</v>
      </c>
      <c r="H134" s="70">
        <f t="shared" si="110"/>
        <v>505.93471197499105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2.8421709430404007E-13</v>
      </c>
      <c r="O134" s="14">
        <f>N134*VLOOKUP('Données projet'!$B$9,Paramètres!$A$1:$I$88,3,0)*VLOOKUP('Données projet'!$B$9,Paramètres!$A$1:$I$88,5,0)</f>
        <v>1.588773557159584E-13</v>
      </c>
      <c r="P134" s="14">
        <f t="shared" si="141"/>
        <v>2.2615721672198623E-12</v>
      </c>
      <c r="Q134" s="22">
        <f t="shared" si="108"/>
        <v>4.2156162524465543E-12</v>
      </c>
      <c r="R134" s="62">
        <f t="shared" si="109"/>
        <v>293.33333333333752</v>
      </c>
      <c r="S134" s="62">
        <f ca="1">AVERAGE(OFFSET($R$3,0,0,'Données projet'!$E$9+1,1))-AVERAGE(OFFSET($H$3,0,0,'Données projet'!$E$9+1,1))</f>
        <v>222.18341301864729</v>
      </c>
      <c r="T134" s="62">
        <f t="shared" si="142"/>
        <v>172.63628480089358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83.133337058814519</v>
      </c>
      <c r="AA134" s="23">
        <f>EXP(-LN(2)/25)*AA133+(1-EXP(-LN(2)/25))/(LN(2)/25)*Calculateur!V134*Calculateur!X134*VLOOKUP('Données projet'!$B$9,Paramètres!$A$1:$I$88,3,0)*0.475*44/12</f>
        <v>26.473282177320307</v>
      </c>
      <c r="AB134" s="23">
        <f>EXP(-LN(2)/2)*AB133+(1-EXP(-LN(2)/2))/(LN(2)/2)*V134*Y134*VLOOKUP('Données projet'!$B$9,Paramètres!$A$1:$I$88,3,0)*0.475*44/12</f>
        <v>0</v>
      </c>
      <c r="AC134" s="24">
        <f t="shared" si="111"/>
        <v>109.60661923613483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projet'!$B$10,Paramètres!$A$1:$I$88,3,0)*VLOOKUP('Données projet'!$B$10,Paramètres!$A$1:$I$88,5,0)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82.840015321739202</v>
      </c>
      <c r="AO134" s="62">
        <f t="shared" si="144"/>
        <v>101.40622074610098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18.687414139391851</v>
      </c>
      <c r="AV134" s="23">
        <f>EXP(-LN(2)/25)*AV133+(1-EXP(-LN(2)/25))/(LN(2)/25)*Calculateur!AQ134*Calculateur!AS134*VLOOKUP('Données projet'!$B$10,Paramètres!$A$1:$I$88,3,0)*0.475*44/12</f>
        <v>5.5043472290665258</v>
      </c>
      <c r="AW134" s="23">
        <f>EXP(-LN(2)/2)*AW133+(1-EXP(-LN(2)/2))/(LN(2)/2)*AQ134*AT134*VLOOKUP('Données projet'!$B$10,Paramètres!$A$1:$I$88,3,0)*0.475*44/12</f>
        <v>0</v>
      </c>
      <c r="AX134" s="23">
        <f t="shared" si="114"/>
        <v>24.191761368458376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169.99999999999983</v>
      </c>
      <c r="BE134" s="14">
        <f>BD134*VLOOKUP('Données projet'!$B$11,Paramètres!$A$1:$I$88,3,0)*VLOOKUP('Données projet'!$B$11,Paramètres!$A$1:$I$88,5,0)</f>
        <v>101.65999999999991</v>
      </c>
      <c r="BF134" s="14">
        <f t="shared" si="145"/>
        <v>27.357089923704745</v>
      </c>
      <c r="BG134" s="22">
        <f t="shared" si="115"/>
        <v>224.70476495045224</v>
      </c>
      <c r="BH134" s="62">
        <f t="shared" si="116"/>
        <v>518.03809828378553</v>
      </c>
      <c r="BI134" s="62">
        <f ca="1">AVERAGE(OFFSET($BH$3,0,0,'Données projet'!$E$11+1,1))-AVERAGE(OFFSET($H$3,0,0,'Données projet'!$E$11+1,1))</f>
        <v>83.354474428753292</v>
      </c>
      <c r="BJ134" s="62">
        <f t="shared" si="146"/>
        <v>97.75861379589162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3.150379237605792</v>
      </c>
      <c r="BQ134" s="23">
        <f>EXP(-LN(2)/25)*BQ133+(1-EXP(-LN(2)/25))/(LN(2)/25)*Calculateur!BL134*Calculateur!BN134*VLOOKUP('Données projet'!$B$11,Paramètres!$A$1:$I$88,3,0)*0.475*44/12</f>
        <v>1.6284542347971604</v>
      </c>
      <c r="BR134" s="23">
        <f>EXP(-LN(2)/2)*BR133+(1-EXP(-LN(2)/2))/(LN(2)/2)*BL134*BO134*VLOOKUP('Données projet'!$B$11,Paramètres!$A$1:$I$88,3,0)*0.475*44/12</f>
        <v>0</v>
      </c>
      <c r="BS134" s="24">
        <f t="shared" si="117"/>
        <v>4.7788334724029529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projet'!$B$12,Paramètres!$A$1:$I$88,3,0)*0.475*44/12</f>
        <v>#N/A</v>
      </c>
      <c r="CL134" s="23" t="e">
        <f>EXP(-LN(2)/25)*CL133+(1-EXP(-LN(2)/25))/(LN(2)/25)*Calculateur!CG134*Calculateur!CI134*VLOOKUP('Données projet'!$B$12,Paramètres!$A$1:$I$88,3,0)*0.475*44/12</f>
        <v>#N/A</v>
      </c>
      <c r="CM134" s="23" t="e">
        <f>EXP(-LN(2)/2)*CM133+(1-EXP(-LN(2)/2))/(LN(2)/2)*CG134*CJ134*VLOOKUP('Données projet'!$B$12,Paramètres!$A$1:$I$88,3,0)*0.475*44/12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96.782399999999697</v>
      </c>
      <c r="D135" s="12">
        <f t="shared" si="140"/>
        <v>26.193995758894371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949.2914760335683</v>
      </c>
      <c r="H135" s="70">
        <f t="shared" si="110"/>
        <v>507.51722261340717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2.8421709430404007E-13</v>
      </c>
      <c r="O135" s="14">
        <f>N135*VLOOKUP('Données projet'!$B$9,Paramètres!$A$1:$I$88,3,0)*VLOOKUP('Données projet'!$B$9,Paramètres!$A$1:$I$88,5,0)</f>
        <v>1.588773557159584E-13</v>
      </c>
      <c r="P135" s="14">
        <f t="shared" si="141"/>
        <v>2.2615721672198623E-12</v>
      </c>
      <c r="Q135" s="22">
        <f t="shared" si="108"/>
        <v>4.2156162524465543E-12</v>
      </c>
      <c r="R135" s="62">
        <f t="shared" si="109"/>
        <v>293.33333333333752</v>
      </c>
      <c r="S135" s="62">
        <f ca="1">AVERAGE(OFFSET($R$3,0,0,'Données projet'!$E$9+1,1))-AVERAGE(OFFSET($H$3,0,0,'Données projet'!$E$9+1,1))</f>
        <v>222.18341301864729</v>
      </c>
      <c r="T135" s="62">
        <f t="shared" si="142"/>
        <v>172.63628480089358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81.503143025419931</v>
      </c>
      <c r="AA135" s="23">
        <f>EXP(-LN(2)/25)*AA134+(1-EXP(-LN(2)/25))/(LN(2)/25)*Calculateur!V135*Calculateur!X135*VLOOKUP('Données projet'!$B$9,Paramètres!$A$1:$I$88,3,0)*0.475*44/12</f>
        <v>25.749368884012078</v>
      </c>
      <c r="AB135" s="23">
        <f>EXP(-LN(2)/2)*AB134+(1-EXP(-LN(2)/2))/(LN(2)/2)*V135*Y135*VLOOKUP('Données projet'!$B$9,Paramètres!$A$1:$I$88,3,0)*0.475*44/12</f>
        <v>0</v>
      </c>
      <c r="AC135" s="24">
        <f t="shared" si="111"/>
        <v>107.252511909432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projet'!$B$10,Paramètres!$A$1:$I$88,3,0)*VLOOKUP('Données projet'!$B$10,Paramètres!$A$1:$I$88,5,0)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82.840015321739202</v>
      </c>
      <c r="AO135" s="62">
        <f t="shared" si="144"/>
        <v>101.40622074610098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18.320965346315525</v>
      </c>
      <c r="AV135" s="23">
        <f>EXP(-LN(2)/25)*AV134+(1-EXP(-LN(2)/25))/(LN(2)/25)*Calculateur!AQ135*Calculateur!AS135*VLOOKUP('Données projet'!$B$10,Paramètres!$A$1:$I$88,3,0)*0.475*44/12</f>
        <v>5.3538305646266613</v>
      </c>
      <c r="AW135" s="23">
        <f>EXP(-LN(2)/2)*AW134+(1-EXP(-LN(2)/2))/(LN(2)/2)*AQ135*AT135*VLOOKUP('Données projet'!$B$10,Paramètres!$A$1:$I$88,3,0)*0.475*44/12</f>
        <v>0</v>
      </c>
      <c r="AX135" s="23">
        <f t="shared" si="114"/>
        <v>23.674795910942187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169.99999999999983</v>
      </c>
      <c r="BE135" s="14">
        <f>BD135*VLOOKUP('Données projet'!$B$11,Paramètres!$A$1:$I$88,3,0)*VLOOKUP('Données projet'!$B$11,Paramètres!$A$1:$I$88,5,0)</f>
        <v>101.65999999999991</v>
      </c>
      <c r="BF135" s="14">
        <f t="shared" si="145"/>
        <v>27.357089923704745</v>
      </c>
      <c r="BG135" s="22">
        <f t="shared" si="115"/>
        <v>224.70476495045224</v>
      </c>
      <c r="BH135" s="62">
        <f t="shared" si="116"/>
        <v>518.03809828378553</v>
      </c>
      <c r="BI135" s="62">
        <f ca="1">AVERAGE(OFFSET($BH$3,0,0,'Données projet'!$E$11+1,1))-AVERAGE(OFFSET($H$3,0,0,'Données projet'!$E$11+1,1))</f>
        <v>83.354474428753292</v>
      </c>
      <c r="BJ135" s="62">
        <f t="shared" si="146"/>
        <v>97.75861379589162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3.0886022222979408</v>
      </c>
      <c r="BQ135" s="23">
        <f>EXP(-LN(2)/25)*BQ134+(1-EXP(-LN(2)/25))/(LN(2)/25)*Calculateur!BL135*Calculateur!BN135*VLOOKUP('Données projet'!$B$11,Paramètres!$A$1:$I$88,3,0)*0.475*44/12</f>
        <v>1.5839240681099458</v>
      </c>
      <c r="BR135" s="23">
        <f>EXP(-LN(2)/2)*BR134+(1-EXP(-LN(2)/2))/(LN(2)/2)*BL135*BO135*VLOOKUP('Données projet'!$B$11,Paramètres!$A$1:$I$88,3,0)*0.475*44/12</f>
        <v>0</v>
      </c>
      <c r="BS135" s="24">
        <f t="shared" si="117"/>
        <v>4.6725262904078866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projet'!$B$12,Paramètres!$A$1:$I$88,3,0)*0.475*44/12</f>
        <v>#N/A</v>
      </c>
      <c r="CL135" s="23" t="e">
        <f>EXP(-LN(2)/25)*CL134+(1-EXP(-LN(2)/25))/(LN(2)/25)*Calculateur!CG135*Calculateur!CI135*VLOOKUP('Données projet'!$B$12,Paramètres!$A$1:$I$88,3,0)*0.475*44/12</f>
        <v>#N/A</v>
      </c>
      <c r="CM135" s="23" t="e">
        <f>EXP(-LN(2)/2)*CM134+(1-EXP(-LN(2)/2))/(LN(2)/2)*CG135*CJ135*VLOOKUP('Données projet'!$B$12,Paramètres!$A$1:$I$88,3,0)*0.475*44/12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97.515599999999694</v>
      </c>
      <c r="D136" s="12">
        <f t="shared" si="140"/>
        <v>26.369259686620403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956.30418003706757</v>
      </c>
      <c r="H136" s="70">
        <f t="shared" si="110"/>
        <v>509.09946395419666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2.8421709430404007E-13</v>
      </c>
      <c r="O136" s="14">
        <f>N136*VLOOKUP('Données projet'!$B$9,Paramètres!$A$1:$I$88,3,0)*VLOOKUP('Données projet'!$B$9,Paramètres!$A$1:$I$88,5,0)</f>
        <v>1.588773557159584E-13</v>
      </c>
      <c r="P136" s="14">
        <f t="shared" si="141"/>
        <v>2.2615721672198623E-12</v>
      </c>
      <c r="Q136" s="22">
        <f t="shared" si="108"/>
        <v>4.2156162524465543E-12</v>
      </c>
      <c r="R136" s="62">
        <f t="shared" si="109"/>
        <v>293.33333333333752</v>
      </c>
      <c r="S136" s="62">
        <f ca="1">AVERAGE(OFFSET($R$3,0,0,'Données projet'!$E$9+1,1))-AVERAGE(OFFSET($H$3,0,0,'Données projet'!$E$9+1,1))</f>
        <v>222.18341301864729</v>
      </c>
      <c r="T136" s="62">
        <f t="shared" si="142"/>
        <v>172.63628480089358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79.904916102700042</v>
      </c>
      <c r="AA136" s="23">
        <f>EXP(-LN(2)/25)*AA135+(1-EXP(-LN(2)/25))/(LN(2)/25)*Calculateur!V136*Calculateur!X136*VLOOKUP('Données projet'!$B$9,Paramètres!$A$1:$I$88,3,0)*0.475*44/12</f>
        <v>25.045251037778311</v>
      </c>
      <c r="AB136" s="23">
        <f>EXP(-LN(2)/2)*AB135+(1-EXP(-LN(2)/2))/(LN(2)/2)*V136*Y136*VLOOKUP('Données projet'!$B$9,Paramètres!$A$1:$I$88,3,0)*0.475*44/12</f>
        <v>0</v>
      </c>
      <c r="AC136" s="24">
        <f t="shared" si="111"/>
        <v>104.95016714047836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projet'!$B$10,Paramètres!$A$1:$I$88,3,0)*VLOOKUP('Données projet'!$B$10,Paramètres!$A$1:$I$88,5,0)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82.840015321739202</v>
      </c>
      <c r="AO136" s="62">
        <f t="shared" si="144"/>
        <v>101.40622074610098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17.961702390559729</v>
      </c>
      <c r="AV136" s="23">
        <f>EXP(-LN(2)/25)*AV135+(1-EXP(-LN(2)/25))/(LN(2)/25)*Calculateur!AQ136*Calculateur!AS136*VLOOKUP('Données projet'!$B$10,Paramètres!$A$1:$I$88,3,0)*0.475*44/12</f>
        <v>5.2074297862912324</v>
      </c>
      <c r="AW136" s="23">
        <f>EXP(-LN(2)/2)*AW135+(1-EXP(-LN(2)/2))/(LN(2)/2)*AQ136*AT136*VLOOKUP('Données projet'!$B$10,Paramètres!$A$1:$I$88,3,0)*0.475*44/12</f>
        <v>0</v>
      </c>
      <c r="AX136" s="23">
        <f t="shared" si="114"/>
        <v>23.169132176850962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169.99999999999983</v>
      </c>
      <c r="BE136" s="14">
        <f>BD136*VLOOKUP('Données projet'!$B$11,Paramètres!$A$1:$I$88,3,0)*VLOOKUP('Données projet'!$B$11,Paramètres!$A$1:$I$88,5,0)</f>
        <v>101.65999999999991</v>
      </c>
      <c r="BF136" s="14">
        <f t="shared" si="145"/>
        <v>27.357089923704745</v>
      </c>
      <c r="BG136" s="22">
        <f t="shared" si="115"/>
        <v>224.70476495045224</v>
      </c>
      <c r="BH136" s="62">
        <f t="shared" si="116"/>
        <v>518.03809828378553</v>
      </c>
      <c r="BI136" s="62">
        <f ca="1">AVERAGE(OFFSET($BH$3,0,0,'Données projet'!$E$11+1,1))-AVERAGE(OFFSET($H$3,0,0,'Données projet'!$E$11+1,1))</f>
        <v>83.354474428753292</v>
      </c>
      <c r="BJ136" s="62">
        <f t="shared" si="146"/>
        <v>97.75861379589162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3.0280366165800179</v>
      </c>
      <c r="BQ136" s="23">
        <f>EXP(-LN(2)/25)*BQ135+(1-EXP(-LN(2)/25))/(LN(2)/25)*Calculateur!BL136*Calculateur!BN136*VLOOKUP('Données projet'!$B$11,Paramètres!$A$1:$I$88,3,0)*0.475*44/12</f>
        <v>1.5406115811725327</v>
      </c>
      <c r="BR136" s="23">
        <f>EXP(-LN(2)/2)*BR135+(1-EXP(-LN(2)/2))/(LN(2)/2)*BL136*BO136*VLOOKUP('Données projet'!$B$11,Paramètres!$A$1:$I$88,3,0)*0.475*44/12</f>
        <v>0</v>
      </c>
      <c r="BS136" s="24">
        <f t="shared" si="117"/>
        <v>4.5686481977525508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projet'!$B$12,Paramètres!$A$1:$I$88,3,0)*0.475*44/12</f>
        <v>#N/A</v>
      </c>
      <c r="CL136" s="23" t="e">
        <f>EXP(-LN(2)/25)*CL135+(1-EXP(-LN(2)/25))/(LN(2)/25)*Calculateur!CG136*Calculateur!CI136*VLOOKUP('Données projet'!$B$12,Paramètres!$A$1:$I$88,3,0)*0.475*44/12</f>
        <v>#N/A</v>
      </c>
      <c r="CM136" s="23" t="e">
        <f>EXP(-LN(2)/2)*CM135+(1-EXP(-LN(2)/2))/(LN(2)/2)*CG136*CJ136*VLOOKUP('Données projet'!$B$12,Paramètres!$A$1:$I$88,3,0)*0.475*44/12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98.24879999999969</v>
      </c>
      <c r="D137" s="12">
        <f t="shared" si="140"/>
        <v>26.544370291039762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963.31570049223421</v>
      </c>
      <c r="H137" s="70">
        <f t="shared" si="110"/>
        <v>510.68143825689367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2.8421709430404007E-13</v>
      </c>
      <c r="O137" s="14">
        <f>N137*VLOOKUP('Données projet'!$B$9,Paramètres!$A$1:$I$88,3,0)*VLOOKUP('Données projet'!$B$9,Paramètres!$A$1:$I$88,5,0)</f>
        <v>1.588773557159584E-13</v>
      </c>
      <c r="P137" s="14">
        <f t="shared" si="141"/>
        <v>2.2615721672198623E-12</v>
      </c>
      <c r="Q137" s="22">
        <f t="shared" si="108"/>
        <v>4.2156162524465543E-12</v>
      </c>
      <c r="R137" s="62">
        <f t="shared" si="109"/>
        <v>293.33333333333752</v>
      </c>
      <c r="S137" s="62">
        <f ca="1">AVERAGE(OFFSET($R$3,0,0,'Données projet'!$E$9+1,1))-AVERAGE(OFFSET($H$3,0,0,'Données projet'!$E$9+1,1))</f>
        <v>222.18341301864729</v>
      </c>
      <c r="T137" s="62">
        <f t="shared" si="142"/>
        <v>172.63628480089358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78.338029435112517</v>
      </c>
      <c r="AA137" s="23">
        <f>EXP(-LN(2)/25)*AA136+(1-EXP(-LN(2)/25))/(LN(2)/25)*Calculateur!V137*Calculateur!X137*VLOOKUP('Données projet'!$B$9,Paramètres!$A$1:$I$88,3,0)*0.475*44/12</f>
        <v>24.360387331077753</v>
      </c>
      <c r="AB137" s="23">
        <f>EXP(-LN(2)/2)*AB136+(1-EXP(-LN(2)/2))/(LN(2)/2)*V137*Y137*VLOOKUP('Données projet'!$B$9,Paramètres!$A$1:$I$88,3,0)*0.475*44/12</f>
        <v>0</v>
      </c>
      <c r="AC137" s="24">
        <f t="shared" si="111"/>
        <v>102.69841676619026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projet'!$B$10,Paramètres!$A$1:$I$88,3,0)*VLOOKUP('Données projet'!$B$10,Paramètres!$A$1:$I$88,5,0)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82.840015321739202</v>
      </c>
      <c r="AO137" s="62">
        <f t="shared" si="144"/>
        <v>101.40622074610098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17.609484362237541</v>
      </c>
      <c r="AV137" s="23">
        <f>EXP(-LN(2)/25)*AV136+(1-EXP(-LN(2)/25))/(LN(2)/25)*Calculateur!AQ137*Calculateur!AS137*VLOOKUP('Données projet'!$B$10,Paramètres!$A$1:$I$88,3,0)*0.475*44/12</f>
        <v>5.0650323449382677</v>
      </c>
      <c r="AW137" s="23">
        <f>EXP(-LN(2)/2)*AW136+(1-EXP(-LN(2)/2))/(LN(2)/2)*AQ137*AT137*VLOOKUP('Données projet'!$B$10,Paramètres!$A$1:$I$88,3,0)*0.475*44/12</f>
        <v>0</v>
      </c>
      <c r="AX137" s="23">
        <f t="shared" si="114"/>
        <v>22.674516707175808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169.99999999999983</v>
      </c>
      <c r="BE137" s="14">
        <f>BD137*VLOOKUP('Données projet'!$B$11,Paramètres!$A$1:$I$88,3,0)*VLOOKUP('Données projet'!$B$11,Paramètres!$A$1:$I$88,5,0)</f>
        <v>101.65999999999991</v>
      </c>
      <c r="BF137" s="14">
        <f t="shared" si="145"/>
        <v>27.357089923704745</v>
      </c>
      <c r="BG137" s="22">
        <f t="shared" si="115"/>
        <v>224.70476495045224</v>
      </c>
      <c r="BH137" s="62">
        <f t="shared" si="116"/>
        <v>518.03809828378553</v>
      </c>
      <c r="BI137" s="62">
        <f ca="1">AVERAGE(OFFSET($BH$3,0,0,'Données projet'!$E$11+1,1))-AVERAGE(OFFSET($H$3,0,0,'Données projet'!$E$11+1,1))</f>
        <v>83.354474428753292</v>
      </c>
      <c r="BJ137" s="62">
        <f t="shared" si="146"/>
        <v>97.75861379589162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2.9686586654488516</v>
      </c>
      <c r="BQ137" s="23">
        <f>EXP(-LN(2)/25)*BQ136+(1-EXP(-LN(2)/25))/(LN(2)/25)*Calculateur!BL137*Calculateur!BN137*VLOOKUP('Données projet'!$B$11,Paramètres!$A$1:$I$88,3,0)*0.475*44/12</f>
        <v>1.4984834764681279</v>
      </c>
      <c r="BR137" s="23">
        <f>EXP(-LN(2)/2)*BR136+(1-EXP(-LN(2)/2))/(LN(2)/2)*BL137*BO137*VLOOKUP('Données projet'!$B$11,Paramètres!$A$1:$I$88,3,0)*0.475*44/12</f>
        <v>0</v>
      </c>
      <c r="BS137" s="24">
        <f t="shared" si="117"/>
        <v>4.4671421419169794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projet'!$B$12,Paramètres!$A$1:$I$88,3,0)*0.475*44/12</f>
        <v>#N/A</v>
      </c>
      <c r="CL137" s="23" t="e">
        <f>EXP(-LN(2)/25)*CL136+(1-EXP(-LN(2)/25))/(LN(2)/25)*Calculateur!CG137*Calculateur!CI137*VLOOKUP('Données projet'!$B$12,Paramètres!$A$1:$I$88,3,0)*0.475*44/12</f>
        <v>#N/A</v>
      </c>
      <c r="CM137" s="23" t="e">
        <f>EXP(-LN(2)/2)*CM136+(1-EXP(-LN(2)/2))/(LN(2)/2)*CG137*CJ137*VLOOKUP('Données projet'!$B$12,Paramètres!$A$1:$I$88,3,0)*0.475*44/12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98.981999999999687</v>
      </c>
      <c r="D138" s="12">
        <f t="shared" si="140"/>
        <v>26.719328849010672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970.3260472555188</v>
      </c>
      <c r="H138" s="70">
        <f t="shared" si="110"/>
        <v>512.26314774535967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2.8421709430404007E-13</v>
      </c>
      <c r="O138" s="14">
        <f>N138*VLOOKUP('Données projet'!$B$9,Paramètres!$A$1:$I$88,3,0)*VLOOKUP('Données projet'!$B$9,Paramètres!$A$1:$I$88,5,0)</f>
        <v>1.588773557159584E-13</v>
      </c>
      <c r="P138" s="14">
        <f t="shared" si="141"/>
        <v>2.2615721672198623E-12</v>
      </c>
      <c r="Q138" s="22">
        <f t="shared" si="108"/>
        <v>4.2156162524465543E-12</v>
      </c>
      <c r="R138" s="62">
        <f t="shared" si="109"/>
        <v>293.33333333333752</v>
      </c>
      <c r="S138" s="62">
        <f ca="1">AVERAGE(OFFSET($R$3,0,0,'Données projet'!$E$9+1,1))-AVERAGE(OFFSET($H$3,0,0,'Données projet'!$E$9+1,1))</f>
        <v>222.18341301864729</v>
      </c>
      <c r="T138" s="62">
        <f t="shared" si="142"/>
        <v>172.63628480089358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76.801868459369885</v>
      </c>
      <c r="AA138" s="23">
        <f>EXP(-LN(2)/25)*AA137+(1-EXP(-LN(2)/25))/(LN(2)/25)*Calculateur!V138*Calculateur!X138*VLOOKUP('Données projet'!$B$9,Paramètres!$A$1:$I$88,3,0)*0.475*44/12</f>
        <v>23.69425125845234</v>
      </c>
      <c r="AB138" s="23">
        <f>EXP(-LN(2)/2)*AB137+(1-EXP(-LN(2)/2))/(LN(2)/2)*V138*Y138*VLOOKUP('Données projet'!$B$9,Paramètres!$A$1:$I$88,3,0)*0.475*44/12</f>
        <v>0</v>
      </c>
      <c r="AC138" s="24">
        <f t="shared" si="111"/>
        <v>100.49611971782222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projet'!$B$10,Paramètres!$A$1:$I$88,3,0)*VLOOKUP('Données projet'!$B$10,Paramètres!$A$1:$I$88,5,0)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82.840015321739202</v>
      </c>
      <c r="AO138" s="62">
        <f t="shared" si="144"/>
        <v>101.40622074610098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17.264173114618966</v>
      </c>
      <c r="AV138" s="23">
        <f>EXP(-LN(2)/25)*AV137+(1-EXP(-LN(2)/25))/(LN(2)/25)*Calculateur!AQ138*Calculateur!AS138*VLOOKUP('Données projet'!$B$10,Paramètres!$A$1:$I$88,3,0)*0.475*44/12</f>
        <v>4.9265287691074562</v>
      </c>
      <c r="AW138" s="23">
        <f>EXP(-LN(2)/2)*AW137+(1-EXP(-LN(2)/2))/(LN(2)/2)*AQ138*AT138*VLOOKUP('Données projet'!$B$10,Paramètres!$A$1:$I$88,3,0)*0.475*44/12</f>
        <v>0</v>
      </c>
      <c r="AX138" s="23">
        <f t="shared" si="114"/>
        <v>22.190701883726422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169.99999999999983</v>
      </c>
      <c r="BE138" s="14">
        <f>BD138*VLOOKUP('Données projet'!$B$11,Paramètres!$A$1:$I$88,3,0)*VLOOKUP('Données projet'!$B$11,Paramètres!$A$1:$I$88,5,0)</f>
        <v>101.65999999999991</v>
      </c>
      <c r="BF138" s="14">
        <f t="shared" si="145"/>
        <v>27.357089923704745</v>
      </c>
      <c r="BG138" s="22">
        <f t="shared" si="115"/>
        <v>224.70476495045224</v>
      </c>
      <c r="BH138" s="62">
        <f t="shared" si="116"/>
        <v>518.03809828378553</v>
      </c>
      <c r="BI138" s="62">
        <f ca="1">AVERAGE(OFFSET($BH$3,0,0,'Données projet'!$E$11+1,1))-AVERAGE(OFFSET($H$3,0,0,'Données projet'!$E$11+1,1))</f>
        <v>83.354474428753292</v>
      </c>
      <c r="BJ138" s="62">
        <f t="shared" si="146"/>
        <v>97.75861379589162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2.9104450797223933</v>
      </c>
      <c r="BQ138" s="23">
        <f>EXP(-LN(2)/25)*BQ137+(1-EXP(-LN(2)/25))/(LN(2)/25)*Calculateur!BL138*Calculateur!BN138*VLOOKUP('Données projet'!$B$11,Paramètres!$A$1:$I$88,3,0)*0.475*44/12</f>
        <v>1.4575073670022858</v>
      </c>
      <c r="BR138" s="23">
        <f>EXP(-LN(2)/2)*BR137+(1-EXP(-LN(2)/2))/(LN(2)/2)*BL138*BO138*VLOOKUP('Données projet'!$B$11,Paramètres!$A$1:$I$88,3,0)*0.475*44/12</f>
        <v>0</v>
      </c>
      <c r="BS138" s="24">
        <f t="shared" si="117"/>
        <v>4.3679524467246793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projet'!$B$12,Paramètres!$A$1:$I$88,3,0)*0.475*44/12</f>
        <v>#N/A</v>
      </c>
      <c r="CL138" s="23" t="e">
        <f>EXP(-LN(2)/25)*CL137+(1-EXP(-LN(2)/25))/(LN(2)/25)*Calculateur!CG138*Calculateur!CI138*VLOOKUP('Données projet'!$B$12,Paramètres!$A$1:$I$88,3,0)*0.475*44/12</f>
        <v>#N/A</v>
      </c>
      <c r="CM138" s="23" t="e">
        <f>EXP(-LN(2)/2)*CM137+(1-EXP(-LN(2)/2))/(LN(2)/2)*CG138*CJ138*VLOOKUP('Données projet'!$B$12,Paramètres!$A$1:$I$88,3,0)*0.475*44/12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99.715199999999683</v>
      </c>
      <c r="D139" s="12">
        <f t="shared" si="140"/>
        <v>26.894136617382109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977.33523002891206</v>
      </c>
      <c r="H139" s="70">
        <f t="shared" si="110"/>
        <v>513.8445946086066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2.8421709430404007E-13</v>
      </c>
      <c r="O139" s="14">
        <f>N139*VLOOKUP('Données projet'!$B$9,Paramètres!$A$1:$I$88,3,0)*VLOOKUP('Données projet'!$B$9,Paramètres!$A$1:$I$88,5,0)</f>
        <v>1.588773557159584E-13</v>
      </c>
      <c r="P139" s="14">
        <f t="shared" si="141"/>
        <v>2.2615721672198623E-12</v>
      </c>
      <c r="Q139" s="22">
        <f t="shared" si="108"/>
        <v>4.2156162524465543E-12</v>
      </c>
      <c r="R139" s="62">
        <f t="shared" si="109"/>
        <v>293.33333333333752</v>
      </c>
      <c r="S139" s="62">
        <f ca="1">AVERAGE(OFFSET($R$3,0,0,'Données projet'!$E$9+1,1))-AVERAGE(OFFSET($H$3,0,0,'Données projet'!$E$9+1,1))</f>
        <v>222.18341301864729</v>
      </c>
      <c r="T139" s="62">
        <f t="shared" si="142"/>
        <v>172.63628480089358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75.29583066339589</v>
      </c>
      <c r="AA139" s="23">
        <f>EXP(-LN(2)/25)*AA138+(1-EXP(-LN(2)/25))/(LN(2)/25)*Calculateur!V139*Calculateur!X139*VLOOKUP('Données projet'!$B$9,Paramètres!$A$1:$I$88,3,0)*0.475*44/12</f>
        <v>23.046330711763442</v>
      </c>
      <c r="AB139" s="23">
        <f>EXP(-LN(2)/2)*AB138+(1-EXP(-LN(2)/2))/(LN(2)/2)*V139*Y139*VLOOKUP('Données projet'!$B$9,Paramètres!$A$1:$I$88,3,0)*0.475*44/12</f>
        <v>0</v>
      </c>
      <c r="AC139" s="24">
        <f t="shared" si="111"/>
        <v>98.342161375159336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projet'!$B$10,Paramètres!$A$1:$I$88,3,0)*VLOOKUP('Données projet'!$B$10,Paramètres!$A$1:$I$88,5,0)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82.840015321739202</v>
      </c>
      <c r="AO139" s="62">
        <f t="shared" si="144"/>
        <v>101.40622074610098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16.925633209947126</v>
      </c>
      <c r="AV139" s="23">
        <f>EXP(-LN(2)/25)*AV138+(1-EXP(-LN(2)/25))/(LN(2)/25)*Calculateur!AQ139*Calculateur!AS139*VLOOKUP('Données projet'!$B$10,Paramètres!$A$1:$I$88,3,0)*0.475*44/12</f>
        <v>4.7918125808413246</v>
      </c>
      <c r="AW139" s="23">
        <f>EXP(-LN(2)/2)*AW138+(1-EXP(-LN(2)/2))/(LN(2)/2)*AQ139*AT139*VLOOKUP('Données projet'!$B$10,Paramètres!$A$1:$I$88,3,0)*0.475*44/12</f>
        <v>0</v>
      </c>
      <c r="AX139" s="23">
        <f t="shared" si="114"/>
        <v>21.71744579078845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169.99999999999983</v>
      </c>
      <c r="BE139" s="14">
        <f>BD139*VLOOKUP('Données projet'!$B$11,Paramètres!$A$1:$I$88,3,0)*VLOOKUP('Données projet'!$B$11,Paramètres!$A$1:$I$88,5,0)</f>
        <v>101.65999999999991</v>
      </c>
      <c r="BF139" s="14">
        <f t="shared" si="145"/>
        <v>27.357089923704745</v>
      </c>
      <c r="BG139" s="22">
        <f t="shared" si="115"/>
        <v>224.70476495045224</v>
      </c>
      <c r="BH139" s="62">
        <f t="shared" si="116"/>
        <v>518.03809828378553</v>
      </c>
      <c r="BI139" s="62">
        <f ca="1">AVERAGE(OFFSET($BH$3,0,0,'Données projet'!$E$11+1,1))-AVERAGE(OFFSET($H$3,0,0,'Données projet'!$E$11+1,1))</f>
        <v>83.354474428753292</v>
      </c>
      <c r="BJ139" s="62">
        <f t="shared" si="146"/>
        <v>97.75861379589162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2.8533730269052495</v>
      </c>
      <c r="BQ139" s="23">
        <f>EXP(-LN(2)/25)*BQ138+(1-EXP(-LN(2)/25))/(LN(2)/25)*Calculateur!BL139*Calculateur!BN139*VLOOKUP('Données projet'!$B$11,Paramètres!$A$1:$I$88,3,0)*0.475*44/12</f>
        <v>1.417651751404627</v>
      </c>
      <c r="BR139" s="23">
        <f>EXP(-LN(2)/2)*BR138+(1-EXP(-LN(2)/2))/(LN(2)/2)*BL139*BO139*VLOOKUP('Données projet'!$B$11,Paramètres!$A$1:$I$88,3,0)*0.475*44/12</f>
        <v>0</v>
      </c>
      <c r="BS139" s="24">
        <f t="shared" si="117"/>
        <v>4.2710247783098767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projet'!$B$12,Paramètres!$A$1:$I$88,3,0)*0.475*44/12</f>
        <v>#N/A</v>
      </c>
      <c r="CL139" s="23" t="e">
        <f>EXP(-LN(2)/25)*CL138+(1-EXP(-LN(2)/25))/(LN(2)/25)*Calculateur!CG139*Calculateur!CI139*VLOOKUP('Données projet'!$B$12,Paramètres!$A$1:$I$88,3,0)*0.475*44/12</f>
        <v>#N/A</v>
      </c>
      <c r="CM139" s="23" t="e">
        <f>EXP(-LN(2)/2)*CM138+(1-EXP(-LN(2)/2))/(LN(2)/2)*CG139*CJ139*VLOOKUP('Données projet'!$B$12,Paramètres!$A$1:$I$88,3,0)*0.475*44/12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100.44839999999968</v>
      </c>
      <c r="D140" s="12">
        <f t="shared" si="140"/>
        <v>27.068794833452092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984.34325836348728</v>
      </c>
      <c r="H140" s="70">
        <f t="shared" si="110"/>
        <v>515.42578100159517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2.8421709430404007E-13</v>
      </c>
      <c r="O140" s="14">
        <f>N140*VLOOKUP('Données projet'!$B$9,Paramètres!$A$1:$I$88,3,0)*VLOOKUP('Données projet'!$B$9,Paramètres!$A$1:$I$88,5,0)</f>
        <v>1.588773557159584E-13</v>
      </c>
      <c r="P140" s="14">
        <f t="shared" si="141"/>
        <v>2.2615721672198623E-12</v>
      </c>
      <c r="Q140" s="22">
        <f t="shared" si="108"/>
        <v>4.2156162524465543E-12</v>
      </c>
      <c r="R140" s="62">
        <f t="shared" si="109"/>
        <v>293.33333333333752</v>
      </c>
      <c r="S140" s="62">
        <f ca="1">AVERAGE(OFFSET($R$3,0,0,'Données projet'!$E$9+1,1))-AVERAGE(OFFSET($H$3,0,0,'Données projet'!$E$9+1,1))</f>
        <v>222.18341301864729</v>
      </c>
      <c r="T140" s="62">
        <f t="shared" si="142"/>
        <v>172.63628480089358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73.819325350008597</v>
      </c>
      <c r="AA140" s="23">
        <f>EXP(-LN(2)/25)*AA139+(1-EXP(-LN(2)/25))/(LN(2)/25)*Calculateur!V140*Calculateur!X140*VLOOKUP('Données projet'!$B$9,Paramètres!$A$1:$I$88,3,0)*0.475*44/12</f>
        <v>22.416127586496412</v>
      </c>
      <c r="AB140" s="23">
        <f>EXP(-LN(2)/2)*AB139+(1-EXP(-LN(2)/2))/(LN(2)/2)*V140*Y140*VLOOKUP('Données projet'!$B$9,Paramètres!$A$1:$I$88,3,0)*0.475*44/12</f>
        <v>0</v>
      </c>
      <c r="AC140" s="24">
        <f t="shared" si="111"/>
        <v>96.235452936505013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projet'!$B$10,Paramètres!$A$1:$I$88,3,0)*VLOOKUP('Données projet'!$B$10,Paramètres!$A$1:$I$88,5,0)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82.840015321739202</v>
      </c>
      <c r="AO140" s="62">
        <f t="shared" si="144"/>
        <v>101.40622074610098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16.593731866316947</v>
      </c>
      <c r="AV140" s="23">
        <f>EXP(-LN(2)/25)*AV139+(1-EXP(-LN(2)/25))/(LN(2)/25)*Calculateur!AQ140*Calculateur!AS140*VLOOKUP('Données projet'!$B$10,Paramètres!$A$1:$I$88,3,0)*0.475*44/12</f>
        <v>4.6607802138277465</v>
      </c>
      <c r="AW140" s="23">
        <f>EXP(-LN(2)/2)*AW139+(1-EXP(-LN(2)/2))/(LN(2)/2)*AQ140*AT140*VLOOKUP('Données projet'!$B$10,Paramètres!$A$1:$I$88,3,0)*0.475*44/12</f>
        <v>0</v>
      </c>
      <c r="AX140" s="23">
        <f t="shared" si="114"/>
        <v>21.254512080144693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169.99999999999983</v>
      </c>
      <c r="BE140" s="14">
        <f>BD140*VLOOKUP('Données projet'!$B$11,Paramètres!$A$1:$I$88,3,0)*VLOOKUP('Données projet'!$B$11,Paramètres!$A$1:$I$88,5,0)</f>
        <v>101.65999999999991</v>
      </c>
      <c r="BF140" s="14">
        <f t="shared" si="145"/>
        <v>27.357089923704745</v>
      </c>
      <c r="BG140" s="22">
        <f t="shared" si="115"/>
        <v>224.70476495045224</v>
      </c>
      <c r="BH140" s="62">
        <f t="shared" si="116"/>
        <v>518.03809828378553</v>
      </c>
      <c r="BI140" s="62">
        <f ca="1">AVERAGE(OFFSET($BH$3,0,0,'Données projet'!$E$11+1,1))-AVERAGE(OFFSET($H$3,0,0,'Données projet'!$E$11+1,1))</f>
        <v>83.354474428753292</v>
      </c>
      <c r="BJ140" s="62">
        <f t="shared" si="146"/>
        <v>97.75861379589162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2.7974201222333352</v>
      </c>
      <c r="BQ140" s="23">
        <f>EXP(-LN(2)/25)*BQ139+(1-EXP(-LN(2)/25))/(LN(2)/25)*Calculateur!BL140*Calculateur!BN140*VLOOKUP('Données projet'!$B$11,Paramètres!$A$1:$I$88,3,0)*0.475*44/12</f>
        <v>1.3788859897114019</v>
      </c>
      <c r="BR140" s="23">
        <f>EXP(-LN(2)/2)*BR139+(1-EXP(-LN(2)/2))/(LN(2)/2)*BL140*BO140*VLOOKUP('Données projet'!$B$11,Paramètres!$A$1:$I$88,3,0)*0.475*44/12</f>
        <v>0</v>
      </c>
      <c r="BS140" s="24">
        <f t="shared" si="117"/>
        <v>4.1763061119447373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projet'!$B$12,Paramètres!$A$1:$I$88,3,0)*0.475*44/12</f>
        <v>#N/A</v>
      </c>
      <c r="CL140" s="23" t="e">
        <f>EXP(-LN(2)/25)*CL139+(1-EXP(-LN(2)/25))/(LN(2)/25)*Calculateur!CG140*Calculateur!CI140*VLOOKUP('Données projet'!$B$12,Paramètres!$A$1:$I$88,3,0)*0.475*44/12</f>
        <v>#N/A</v>
      </c>
      <c r="CM140" s="23" t="e">
        <f>EXP(-LN(2)/2)*CM139+(1-EXP(-LN(2)/2))/(LN(2)/2)*CG140*CJ140*VLOOKUP('Données projet'!$B$12,Paramètres!$A$1:$I$88,3,0)*0.475*44/12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101.18159999999968</v>
      </c>
      <c r="D141" s="12">
        <f t="shared" si="140"/>
        <v>27.243304715412286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991.35014166282929</v>
      </c>
      <c r="H141" s="70">
        <f t="shared" si="110"/>
        <v>517.00670904600918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2.8421709430404007E-13</v>
      </c>
      <c r="O141" s="14">
        <f>N141*VLOOKUP('Données projet'!$B$9,Paramètres!$A$1:$I$88,3,0)*VLOOKUP('Données projet'!$B$9,Paramètres!$A$1:$I$88,5,0)</f>
        <v>1.588773557159584E-13</v>
      </c>
      <c r="P141" s="14">
        <f t="shared" si="141"/>
        <v>2.2615721672198623E-12</v>
      </c>
      <c r="Q141" s="22">
        <f t="shared" si="108"/>
        <v>4.2156162524465543E-12</v>
      </c>
      <c r="R141" s="62">
        <f t="shared" si="109"/>
        <v>293.33333333333752</v>
      </c>
      <c r="S141" s="62">
        <f ca="1">AVERAGE(OFFSET($R$3,0,0,'Données projet'!$E$9+1,1))-AVERAGE(OFFSET($H$3,0,0,'Données projet'!$E$9+1,1))</f>
        <v>222.18341301864729</v>
      </c>
      <c r="T141" s="62">
        <f t="shared" si="142"/>
        <v>172.63628480089358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72.371773405237505</v>
      </c>
      <c r="AA141" s="23">
        <f>EXP(-LN(2)/25)*AA140+(1-EXP(-LN(2)/25))/(LN(2)/25)*Calculateur!V141*Calculateur!X141*VLOOKUP('Données projet'!$B$9,Paramètres!$A$1:$I$88,3,0)*0.475*44/12</f>
        <v>21.803157398830752</v>
      </c>
      <c r="AB141" s="23">
        <f>EXP(-LN(2)/2)*AB140+(1-EXP(-LN(2)/2))/(LN(2)/2)*V141*Y141*VLOOKUP('Données projet'!$B$9,Paramètres!$A$1:$I$88,3,0)*0.475*44/12</f>
        <v>0</v>
      </c>
      <c r="AC141" s="24">
        <f t="shared" si="111"/>
        <v>94.174930804068254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projet'!$B$10,Paramètres!$A$1:$I$88,3,0)*VLOOKUP('Données projet'!$B$10,Paramètres!$A$1:$I$88,5,0)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82.840015321739202</v>
      </c>
      <c r="AO141" s="62">
        <f t="shared" si="144"/>
        <v>101.40622074610098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16.268338905595527</v>
      </c>
      <c r="AV141" s="23">
        <f>EXP(-LN(2)/25)*AV140+(1-EXP(-LN(2)/25))/(LN(2)/25)*Calculateur!AQ141*Calculateur!AS141*VLOOKUP('Données projet'!$B$10,Paramètres!$A$1:$I$88,3,0)*0.475*44/12</f>
        <v>4.5333309337808476</v>
      </c>
      <c r="AW141" s="23">
        <f>EXP(-LN(2)/2)*AW140+(1-EXP(-LN(2)/2))/(LN(2)/2)*AQ141*AT141*VLOOKUP('Données projet'!$B$10,Paramètres!$A$1:$I$88,3,0)*0.475*44/12</f>
        <v>0</v>
      </c>
      <c r="AX141" s="23">
        <f t="shared" si="114"/>
        <v>20.801669839376373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169.99999999999983</v>
      </c>
      <c r="BE141" s="14">
        <f>BD141*VLOOKUP('Données projet'!$B$11,Paramètres!$A$1:$I$88,3,0)*VLOOKUP('Données projet'!$B$11,Paramètres!$A$1:$I$88,5,0)</f>
        <v>101.65999999999991</v>
      </c>
      <c r="BF141" s="14">
        <f t="shared" si="145"/>
        <v>27.357089923704745</v>
      </c>
      <c r="BG141" s="22">
        <f t="shared" si="115"/>
        <v>224.70476495045224</v>
      </c>
      <c r="BH141" s="62">
        <f t="shared" si="116"/>
        <v>518.03809828378553</v>
      </c>
      <c r="BI141" s="62">
        <f ca="1">AVERAGE(OFFSET($BH$3,0,0,'Données projet'!$E$11+1,1))-AVERAGE(OFFSET($H$3,0,0,'Données projet'!$E$11+1,1))</f>
        <v>83.354474428753292</v>
      </c>
      <c r="BJ141" s="62">
        <f t="shared" si="146"/>
        <v>97.75861379589162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2.7425644198941352</v>
      </c>
      <c r="BQ141" s="23">
        <f>EXP(-LN(2)/25)*BQ140+(1-EXP(-LN(2)/25))/(LN(2)/25)*Calculateur!BL141*Calculateur!BN141*VLOOKUP('Données projet'!$B$11,Paramètres!$A$1:$I$88,3,0)*0.475*44/12</f>
        <v>1.3411802798102808</v>
      </c>
      <c r="BR141" s="23">
        <f>EXP(-LN(2)/2)*BR140+(1-EXP(-LN(2)/2))/(LN(2)/2)*BL141*BO141*VLOOKUP('Données projet'!$B$11,Paramètres!$A$1:$I$88,3,0)*0.475*44/12</f>
        <v>0</v>
      </c>
      <c r="BS141" s="24">
        <f t="shared" si="117"/>
        <v>4.0837446997044164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projet'!$B$12,Paramètres!$A$1:$I$88,3,0)*0.475*44/12</f>
        <v>#N/A</v>
      </c>
      <c r="CL141" s="23" t="e">
        <f>EXP(-LN(2)/25)*CL140+(1-EXP(-LN(2)/25))/(LN(2)/25)*Calculateur!CG141*Calculateur!CI141*VLOOKUP('Données projet'!$B$12,Paramètres!$A$1:$I$88,3,0)*0.475*44/12</f>
        <v>#N/A</v>
      </c>
      <c r="CM141" s="23" t="e">
        <f>EXP(-LN(2)/2)*CM140+(1-EXP(-LN(2)/2))/(LN(2)/2)*CG141*CJ141*VLOOKUP('Données projet'!$B$12,Paramètres!$A$1:$I$88,3,0)*0.475*44/12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101.91479999999967</v>
      </c>
      <c r="D142" s="12">
        <f t="shared" si="140"/>
        <v>27.417667462779246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998.35588918636347</v>
      </c>
      <c r="H142" s="70">
        <f t="shared" si="110"/>
        <v>518.58738083100661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2.8421709430404007E-13</v>
      </c>
      <c r="O142" s="14">
        <f>N142*VLOOKUP('Données projet'!$B$9,Paramètres!$A$1:$I$88,3,0)*VLOOKUP('Données projet'!$B$9,Paramètres!$A$1:$I$88,5,0)</f>
        <v>1.588773557159584E-13</v>
      </c>
      <c r="P142" s="14">
        <f t="shared" si="141"/>
        <v>2.2615721672198623E-12</v>
      </c>
      <c r="Q142" s="22">
        <f t="shared" si="108"/>
        <v>4.2156162524465543E-12</v>
      </c>
      <c r="R142" s="62">
        <f t="shared" si="109"/>
        <v>293.33333333333752</v>
      </c>
      <c r="S142" s="62">
        <f ca="1">AVERAGE(OFFSET($R$3,0,0,'Données projet'!$E$9+1,1))-AVERAGE(OFFSET($H$3,0,0,'Données projet'!$E$9+1,1))</f>
        <v>222.18341301864729</v>
      </c>
      <c r="T142" s="62">
        <f t="shared" si="142"/>
        <v>172.63628480089358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70.952607071183877</v>
      </c>
      <c r="AA142" s="23">
        <f>EXP(-LN(2)/25)*AA141+(1-EXP(-LN(2)/25))/(LN(2)/25)*Calculateur!V142*Calculateur!X142*VLOOKUP('Données projet'!$B$9,Paramètres!$A$1:$I$88,3,0)*0.475*44/12</f>
        <v>21.20694891318151</v>
      </c>
      <c r="AB142" s="23">
        <f>EXP(-LN(2)/2)*AB141+(1-EXP(-LN(2)/2))/(LN(2)/2)*V142*Y142*VLOOKUP('Données projet'!$B$9,Paramètres!$A$1:$I$88,3,0)*0.475*44/12</f>
        <v>0</v>
      </c>
      <c r="AC142" s="24">
        <f t="shared" si="111"/>
        <v>92.159555984365383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projet'!$B$10,Paramètres!$A$1:$I$88,3,0)*VLOOKUP('Données projet'!$B$10,Paramètres!$A$1:$I$88,5,0)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82.840015321739202</v>
      </c>
      <c r="AO142" s="62">
        <f t="shared" si="144"/>
        <v>101.40622074610098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15.949326702363745</v>
      </c>
      <c r="AV142" s="23">
        <f>EXP(-LN(2)/25)*AV141+(1-EXP(-LN(2)/25))/(LN(2)/25)*Calculateur!AQ142*Calculateur!AS142*VLOOKUP('Données projet'!$B$10,Paramètres!$A$1:$I$88,3,0)*0.475*44/12</f>
        <v>4.4093667609990979</v>
      </c>
      <c r="AW142" s="23">
        <f>EXP(-LN(2)/2)*AW141+(1-EXP(-LN(2)/2))/(LN(2)/2)*AQ142*AT142*VLOOKUP('Données projet'!$B$10,Paramètres!$A$1:$I$88,3,0)*0.475*44/12</f>
        <v>0</v>
      </c>
      <c r="AX142" s="23">
        <f t="shared" si="114"/>
        <v>20.358693463362844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169.99999999999983</v>
      </c>
      <c r="BE142" s="14">
        <f>BD142*VLOOKUP('Données projet'!$B$11,Paramètres!$A$1:$I$88,3,0)*VLOOKUP('Données projet'!$B$11,Paramètres!$A$1:$I$88,5,0)</f>
        <v>101.65999999999991</v>
      </c>
      <c r="BF142" s="14">
        <f t="shared" si="145"/>
        <v>27.357089923704745</v>
      </c>
      <c r="BG142" s="22">
        <f t="shared" si="115"/>
        <v>224.70476495045224</v>
      </c>
      <c r="BH142" s="62">
        <f t="shared" si="116"/>
        <v>518.03809828378553</v>
      </c>
      <c r="BI142" s="62">
        <f ca="1">AVERAGE(OFFSET($BH$3,0,0,'Données projet'!$E$11+1,1))-AVERAGE(OFFSET($H$3,0,0,'Données projet'!$E$11+1,1))</f>
        <v>83.354474428753292</v>
      </c>
      <c r="BJ142" s="62">
        <f t="shared" si="146"/>
        <v>97.75861379589162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2.688784404419132</v>
      </c>
      <c r="BQ142" s="23">
        <f>EXP(-LN(2)/25)*BQ141+(1-EXP(-LN(2)/25))/(LN(2)/25)*Calculateur!BL142*Calculateur!BN142*VLOOKUP('Données projet'!$B$11,Paramètres!$A$1:$I$88,3,0)*0.475*44/12</f>
        <v>1.3045056345292629</v>
      </c>
      <c r="BR142" s="23">
        <f>EXP(-LN(2)/2)*BR141+(1-EXP(-LN(2)/2))/(LN(2)/2)*BL142*BO142*VLOOKUP('Données projet'!$B$11,Paramètres!$A$1:$I$88,3,0)*0.475*44/12</f>
        <v>0</v>
      </c>
      <c r="BS142" s="24">
        <f t="shared" si="117"/>
        <v>3.9932900389483947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projet'!$B$12,Paramètres!$A$1:$I$88,3,0)*0.475*44/12</f>
        <v>#N/A</v>
      </c>
      <c r="CL142" s="23" t="e">
        <f>EXP(-LN(2)/25)*CL141+(1-EXP(-LN(2)/25))/(LN(2)/25)*Calculateur!CG142*Calculateur!CI142*VLOOKUP('Données projet'!$B$12,Paramètres!$A$1:$I$88,3,0)*0.475*44/12</f>
        <v>#N/A</v>
      </c>
      <c r="CM142" s="23" t="e">
        <f>EXP(-LN(2)/2)*CM141+(1-EXP(-LN(2)/2))/(LN(2)/2)*CG142*CJ142*VLOOKUP('Données projet'!$B$12,Paramètres!$A$1:$I$88,3,0)*0.475*44/12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102.64799999999967</v>
      </c>
      <c r="D143" s="12">
        <f t="shared" si="140"/>
        <v>27.591884256812975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1005.3605100525888</v>
      </c>
      <c r="H143" s="70">
        <f t="shared" si="110"/>
        <v>520.16779841394873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2.8421709430404007E-13</v>
      </c>
      <c r="O143" s="14">
        <f>N143*VLOOKUP('Données projet'!$B$9,Paramètres!$A$1:$I$88,3,0)*VLOOKUP('Données projet'!$B$9,Paramètres!$A$1:$I$88,5,0)</f>
        <v>1.588773557159584E-13</v>
      </c>
      <c r="P143" s="14">
        <f t="shared" si="141"/>
        <v>2.2615721672198623E-12</v>
      </c>
      <c r="Q143" s="22">
        <f t="shared" si="108"/>
        <v>4.2156162524465543E-12</v>
      </c>
      <c r="R143" s="62">
        <f t="shared" si="109"/>
        <v>293.33333333333752</v>
      </c>
      <c r="S143" s="62">
        <f ca="1">AVERAGE(OFFSET($R$3,0,0,'Données projet'!$E$9+1,1))-AVERAGE(OFFSET($H$3,0,0,'Données projet'!$E$9+1,1))</f>
        <v>222.18341301864729</v>
      </c>
      <c r="T143" s="62">
        <f t="shared" si="142"/>
        <v>172.63628480089358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69.561269723335045</v>
      </c>
      <c r="AA143" s="23">
        <f>EXP(-LN(2)/25)*AA142+(1-EXP(-LN(2)/25))/(LN(2)/25)*Calculateur!V143*Calculateur!X143*VLOOKUP('Données projet'!$B$9,Paramètres!$A$1:$I$88,3,0)*0.475*44/12</f>
        <v>20.627043779925586</v>
      </c>
      <c r="AB143" s="23">
        <f>EXP(-LN(2)/2)*AB142+(1-EXP(-LN(2)/2))/(LN(2)/2)*V143*Y143*VLOOKUP('Données projet'!$B$9,Paramètres!$A$1:$I$88,3,0)*0.475*44/12</f>
        <v>0</v>
      </c>
      <c r="AC143" s="24">
        <f t="shared" si="111"/>
        <v>90.18831350326063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projet'!$B$10,Paramètres!$A$1:$I$88,3,0)*VLOOKUP('Données projet'!$B$10,Paramètres!$A$1:$I$88,5,0)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82.840015321739202</v>
      </c>
      <c r="AO143" s="62">
        <f t="shared" si="144"/>
        <v>101.40622074610098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15.636570133859108</v>
      </c>
      <c r="AV143" s="23">
        <f>EXP(-LN(2)/25)*AV142+(1-EXP(-LN(2)/25))/(LN(2)/25)*Calculateur!AQ143*Calculateur!AS143*VLOOKUP('Données projet'!$B$10,Paramètres!$A$1:$I$88,3,0)*0.475*44/12</f>
        <v>4.2887923950410576</v>
      </c>
      <c r="AW143" s="23">
        <f>EXP(-LN(2)/2)*AW142+(1-EXP(-LN(2)/2))/(LN(2)/2)*AQ143*AT143*VLOOKUP('Données projet'!$B$10,Paramètres!$A$1:$I$88,3,0)*0.475*44/12</f>
        <v>0</v>
      </c>
      <c r="AX143" s="23">
        <f t="shared" si="114"/>
        <v>19.925362528900166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169.99999999999983</v>
      </c>
      <c r="BE143" s="14">
        <f>BD143*VLOOKUP('Données projet'!$B$11,Paramètres!$A$1:$I$88,3,0)*VLOOKUP('Données projet'!$B$11,Paramètres!$A$1:$I$88,5,0)</f>
        <v>101.65999999999991</v>
      </c>
      <c r="BF143" s="14">
        <f t="shared" si="145"/>
        <v>27.357089923704745</v>
      </c>
      <c r="BG143" s="22">
        <f t="shared" si="115"/>
        <v>224.70476495045224</v>
      </c>
      <c r="BH143" s="62">
        <f t="shared" si="116"/>
        <v>518.03809828378553</v>
      </c>
      <c r="BI143" s="62">
        <f ca="1">AVERAGE(OFFSET($BH$3,0,0,'Données projet'!$E$11+1,1))-AVERAGE(OFFSET($H$3,0,0,'Données projet'!$E$11+1,1))</f>
        <v>83.354474428753292</v>
      </c>
      <c r="BJ143" s="62">
        <f t="shared" si="146"/>
        <v>97.75861379589162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2.6360589822450233</v>
      </c>
      <c r="BQ143" s="23">
        <f>EXP(-LN(2)/25)*BQ142+(1-EXP(-LN(2)/25))/(LN(2)/25)*Calculateur!BL143*Calculateur!BN143*VLOOKUP('Données projet'!$B$11,Paramètres!$A$1:$I$88,3,0)*0.475*44/12</f>
        <v>1.2688338593520905</v>
      </c>
      <c r="BR143" s="23">
        <f>EXP(-LN(2)/2)*BR142+(1-EXP(-LN(2)/2))/(LN(2)/2)*BL143*BO143*VLOOKUP('Données projet'!$B$11,Paramètres!$A$1:$I$88,3,0)*0.475*44/12</f>
        <v>0</v>
      </c>
      <c r="BS143" s="24">
        <f t="shared" si="117"/>
        <v>3.904892841597114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projet'!$B$12,Paramètres!$A$1:$I$88,3,0)*0.475*44/12</f>
        <v>#N/A</v>
      </c>
      <c r="CL143" s="23" t="e">
        <f>EXP(-LN(2)/25)*CL142+(1-EXP(-LN(2)/25))/(LN(2)/25)*Calculateur!CG143*Calculateur!CI143*VLOOKUP('Données projet'!$B$12,Paramètres!$A$1:$I$88,3,0)*0.475*44/12</f>
        <v>#N/A</v>
      </c>
      <c r="CM143" s="23" t="e">
        <f>EXP(-LN(2)/2)*CM142+(1-EXP(-LN(2)/2))/(LN(2)/2)*CG143*CJ143*VLOOKUP('Données projet'!$B$12,Paramètres!$A$1:$I$88,3,0)*0.475*44/12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103.38119999999967</v>
      </c>
      <c r="D144" s="12">
        <f t="shared" si="140"/>
        <v>27.765956260923254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1012.3640132422121</v>
      </c>
      <c r="H144" s="70">
        <f t="shared" si="110"/>
        <v>521.74796382110731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2.8421709430404007E-13</v>
      </c>
      <c r="O144" s="14">
        <f>N144*VLOOKUP('Données projet'!$B$9,Paramètres!$A$1:$I$88,3,0)*VLOOKUP('Données projet'!$B$9,Paramètres!$A$1:$I$88,5,0)</f>
        <v>1.588773557159584E-13</v>
      </c>
      <c r="P144" s="14">
        <f t="shared" si="141"/>
        <v>2.2615721672198623E-12</v>
      </c>
      <c r="Q144" s="22">
        <f t="shared" si="108"/>
        <v>4.2156162524465543E-12</v>
      </c>
      <c r="R144" s="62">
        <f t="shared" si="109"/>
        <v>293.33333333333752</v>
      </c>
      <c r="S144" s="62">
        <f ca="1">AVERAGE(OFFSET($R$3,0,0,'Données projet'!$E$9+1,1))-AVERAGE(OFFSET($H$3,0,0,'Données projet'!$E$9+1,1))</f>
        <v>222.18341301864729</v>
      </c>
      <c r="T144" s="62">
        <f t="shared" si="142"/>
        <v>172.63628480089358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68.197215652245546</v>
      </c>
      <c r="AA144" s="23">
        <f>EXP(-LN(2)/25)*AA143+(1-EXP(-LN(2)/25))/(LN(2)/25)*Calculateur!V144*Calculateur!X144*VLOOKUP('Données projet'!$B$9,Paramètres!$A$1:$I$88,3,0)*0.475*44/12</f>
        <v>20.062996183034432</v>
      </c>
      <c r="AB144" s="23">
        <f>EXP(-LN(2)/2)*AB143+(1-EXP(-LN(2)/2))/(LN(2)/2)*V144*Y144*VLOOKUP('Données projet'!$B$9,Paramètres!$A$1:$I$88,3,0)*0.475*44/12</f>
        <v>0</v>
      </c>
      <c r="AC144" s="24">
        <f t="shared" si="111"/>
        <v>88.260211835279975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projet'!$B$10,Paramètres!$A$1:$I$88,3,0)*VLOOKUP('Données projet'!$B$10,Paramètres!$A$1:$I$88,5,0)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82.840015321739202</v>
      </c>
      <c r="AO144" s="62">
        <f t="shared" si="144"/>
        <v>101.40622074610098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15.329946530900175</v>
      </c>
      <c r="AV144" s="23">
        <f>EXP(-LN(2)/25)*AV143+(1-EXP(-LN(2)/25))/(LN(2)/25)*Calculateur!AQ144*Calculateur!AS144*VLOOKUP('Données projet'!$B$10,Paramètres!$A$1:$I$88,3,0)*0.475*44/12</f>
        <v>4.17151514146087</v>
      </c>
      <c r="AW144" s="23">
        <f>EXP(-LN(2)/2)*AW143+(1-EXP(-LN(2)/2))/(LN(2)/2)*AQ144*AT144*VLOOKUP('Données projet'!$B$10,Paramètres!$A$1:$I$88,3,0)*0.475*44/12</f>
        <v>0</v>
      </c>
      <c r="AX144" s="23">
        <f t="shared" si="114"/>
        <v>19.501461672361046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169.99999999999983</v>
      </c>
      <c r="BE144" s="14">
        <f>BD144*VLOOKUP('Données projet'!$B$11,Paramètres!$A$1:$I$88,3,0)*VLOOKUP('Données projet'!$B$11,Paramètres!$A$1:$I$88,5,0)</f>
        <v>101.65999999999991</v>
      </c>
      <c r="BF144" s="14">
        <f t="shared" si="145"/>
        <v>27.357089923704745</v>
      </c>
      <c r="BG144" s="22">
        <f t="shared" si="115"/>
        <v>224.70476495045224</v>
      </c>
      <c r="BH144" s="62">
        <f t="shared" si="116"/>
        <v>518.03809828378553</v>
      </c>
      <c r="BI144" s="62">
        <f ca="1">AVERAGE(OFFSET($BH$3,0,0,'Données projet'!$E$11+1,1))-AVERAGE(OFFSET($H$3,0,0,'Données projet'!$E$11+1,1))</f>
        <v>83.354474428753292</v>
      </c>
      <c r="BJ144" s="62">
        <f t="shared" si="146"/>
        <v>97.75861379589162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2.584367473440417</v>
      </c>
      <c r="BQ144" s="23">
        <f>EXP(-LN(2)/25)*BQ143+(1-EXP(-LN(2)/25))/(LN(2)/25)*Calculateur!BL144*Calculateur!BN144*VLOOKUP('Données projet'!$B$11,Paramètres!$A$1:$I$88,3,0)*0.475*44/12</f>
        <v>1.2341375307430349</v>
      </c>
      <c r="BR144" s="23">
        <f>EXP(-LN(2)/2)*BR143+(1-EXP(-LN(2)/2))/(LN(2)/2)*BL144*BO144*VLOOKUP('Données projet'!$B$11,Paramètres!$A$1:$I$88,3,0)*0.475*44/12</f>
        <v>0</v>
      </c>
      <c r="BS144" s="24">
        <f t="shared" si="117"/>
        <v>3.8185050041834518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projet'!$B$12,Paramètres!$A$1:$I$88,3,0)*0.475*44/12</f>
        <v>#N/A</v>
      </c>
      <c r="CL144" s="23" t="e">
        <f>EXP(-LN(2)/25)*CL143+(1-EXP(-LN(2)/25))/(LN(2)/25)*Calculateur!CG144*Calculateur!CI144*VLOOKUP('Données projet'!$B$12,Paramètres!$A$1:$I$88,3,0)*0.475*44/12</f>
        <v>#N/A</v>
      </c>
      <c r="CM144" s="23" t="e">
        <f>EXP(-LN(2)/2)*CM143+(1-EXP(-LN(2)/2))/(LN(2)/2)*CG144*CJ144*VLOOKUP('Données projet'!$B$12,Paramètres!$A$1:$I$88,3,0)*0.475*44/12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104.11439999999966</v>
      </c>
      <c r="D145" s="12">
        <f t="shared" si="140"/>
        <v>27.939884621063818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1019.3664076011919</v>
      </c>
      <c r="H145" s="70">
        <f t="shared" si="110"/>
        <v>523.3278790483522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2.8421709430404007E-13</v>
      </c>
      <c r="O145" s="14">
        <f>N145*VLOOKUP('Données projet'!$B$9,Paramètres!$A$1:$I$88,3,0)*VLOOKUP('Données projet'!$B$9,Paramètres!$A$1:$I$88,5,0)</f>
        <v>1.588773557159584E-13</v>
      </c>
      <c r="P145" s="14">
        <f t="shared" si="141"/>
        <v>2.2615721672198623E-12</v>
      </c>
      <c r="Q145" s="22">
        <f t="shared" si="108"/>
        <v>4.2156162524465543E-12</v>
      </c>
      <c r="R145" s="62">
        <f t="shared" si="109"/>
        <v>293.33333333333752</v>
      </c>
      <c r="S145" s="62">
        <f ca="1">AVERAGE(OFFSET($R$3,0,0,'Données projet'!$E$9+1,1))-AVERAGE(OFFSET($H$3,0,0,'Données projet'!$E$9+1,1))</f>
        <v>222.18341301864729</v>
      </c>
      <c r="T145" s="62">
        <f t="shared" si="142"/>
        <v>172.63628480089358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66.859909849499275</v>
      </c>
      <c r="AA145" s="23">
        <f>EXP(-LN(2)/25)*AA144+(1-EXP(-LN(2)/25))/(LN(2)/25)*Calculateur!V145*Calculateur!X145*VLOOKUP('Données projet'!$B$9,Paramètres!$A$1:$I$88,3,0)*0.475*44/12</f>
        <v>19.51437249734224</v>
      </c>
      <c r="AB145" s="23">
        <f>EXP(-LN(2)/2)*AB144+(1-EXP(-LN(2)/2))/(LN(2)/2)*V145*Y145*VLOOKUP('Données projet'!$B$9,Paramètres!$A$1:$I$88,3,0)*0.475*44/12</f>
        <v>0</v>
      </c>
      <c r="AC145" s="24">
        <f t="shared" si="111"/>
        <v>86.374282346841511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projet'!$B$10,Paramètres!$A$1:$I$88,3,0)*VLOOKUP('Données projet'!$B$10,Paramètres!$A$1:$I$88,5,0)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82.840015321739202</v>
      </c>
      <c r="AO145" s="62">
        <f t="shared" si="144"/>
        <v>101.40622074610098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15.029335629773337</v>
      </c>
      <c r="AV145" s="23">
        <f>EXP(-LN(2)/25)*AV144+(1-EXP(-LN(2)/25))/(LN(2)/25)*Calculateur!AQ145*Calculateur!AS145*VLOOKUP('Données projet'!$B$10,Paramètres!$A$1:$I$88,3,0)*0.475*44/12</f>
        <v>4.0574448405471752</v>
      </c>
      <c r="AW145" s="23">
        <f>EXP(-LN(2)/2)*AW144+(1-EXP(-LN(2)/2))/(LN(2)/2)*AQ145*AT145*VLOOKUP('Données projet'!$B$10,Paramètres!$A$1:$I$88,3,0)*0.475*44/12</f>
        <v>0</v>
      </c>
      <c r="AX145" s="23">
        <f t="shared" si="114"/>
        <v>19.086780470320512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169.99999999999983</v>
      </c>
      <c r="BE145" s="14">
        <f>BD145*VLOOKUP('Données projet'!$B$11,Paramètres!$A$1:$I$88,3,0)*VLOOKUP('Données projet'!$B$11,Paramètres!$A$1:$I$88,5,0)</f>
        <v>101.65999999999991</v>
      </c>
      <c r="BF145" s="14">
        <f t="shared" si="145"/>
        <v>27.357089923704745</v>
      </c>
      <c r="BG145" s="22">
        <f t="shared" si="115"/>
        <v>224.70476495045224</v>
      </c>
      <c r="BH145" s="62">
        <f t="shared" si="116"/>
        <v>518.03809828378553</v>
      </c>
      <c r="BI145" s="62">
        <f ca="1">AVERAGE(OFFSET($BH$3,0,0,'Données projet'!$E$11+1,1))-AVERAGE(OFFSET($H$3,0,0,'Données projet'!$E$11+1,1))</f>
        <v>83.354474428753292</v>
      </c>
      <c r="BJ145" s="62">
        <f t="shared" si="146"/>
        <v>97.75861379589162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2.5336896035947616</v>
      </c>
      <c r="BQ145" s="23">
        <f>EXP(-LN(2)/25)*BQ144+(1-EXP(-LN(2)/25))/(LN(2)/25)*Calculateur!BL145*Calculateur!BN145*VLOOKUP('Données projet'!$B$11,Paramètres!$A$1:$I$88,3,0)*0.475*44/12</f>
        <v>1.2003899750643945</v>
      </c>
      <c r="BR145" s="23">
        <f>EXP(-LN(2)/2)*BR144+(1-EXP(-LN(2)/2))/(LN(2)/2)*BL145*BO145*VLOOKUP('Données projet'!$B$11,Paramètres!$A$1:$I$88,3,0)*0.475*44/12</f>
        <v>0</v>
      </c>
      <c r="BS145" s="24">
        <f t="shared" si="117"/>
        <v>3.7340795786591561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projet'!$B$12,Paramètres!$A$1:$I$88,3,0)*0.475*44/12</f>
        <v>#N/A</v>
      </c>
      <c r="CL145" s="23" t="e">
        <f>EXP(-LN(2)/25)*CL144+(1-EXP(-LN(2)/25))/(LN(2)/25)*Calculateur!CG145*Calculateur!CI145*VLOOKUP('Données projet'!$B$12,Paramètres!$A$1:$I$88,3,0)*0.475*44/12</f>
        <v>#N/A</v>
      </c>
      <c r="CM145" s="23" t="e">
        <f>EXP(-LN(2)/2)*CM144+(1-EXP(-LN(2)/2))/(LN(2)/2)*CG145*CJ145*VLOOKUP('Données projet'!$B$12,Paramètres!$A$1:$I$88,3,0)*0.475*44/12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104.84759999999966</v>
      </c>
      <c r="D146" s="12">
        <f t="shared" si="140"/>
        <v>28.113670466115568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1026.3677018436965</v>
      </c>
      <c r="H146" s="70">
        <f t="shared" si="110"/>
        <v>524.90754606181736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2.8421709430404007E-13</v>
      </c>
      <c r="O146" s="14">
        <f>N146*VLOOKUP('Données projet'!$B$9,Paramètres!$A$1:$I$88,3,0)*VLOOKUP('Données projet'!$B$9,Paramètres!$A$1:$I$88,5,0)</f>
        <v>1.588773557159584E-13</v>
      </c>
      <c r="P146" s="14">
        <f t="shared" si="141"/>
        <v>2.2615721672198623E-12</v>
      </c>
      <c r="Q146" s="22">
        <f t="shared" si="108"/>
        <v>4.2156162524465543E-12</v>
      </c>
      <c r="R146" s="62">
        <f t="shared" si="109"/>
        <v>293.33333333333752</v>
      </c>
      <c r="S146" s="62">
        <f ca="1">AVERAGE(OFFSET($R$3,0,0,'Données projet'!$E$9+1,1))-AVERAGE(OFFSET($H$3,0,0,'Données projet'!$E$9+1,1))</f>
        <v>222.18341301864729</v>
      </c>
      <c r="T146" s="62">
        <f t="shared" si="142"/>
        <v>172.63628480089358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65.548827797868867</v>
      </c>
      <c r="AA146" s="23">
        <f>EXP(-LN(2)/25)*AA145+(1-EXP(-LN(2)/25))/(LN(2)/25)*Calculateur!V146*Calculateur!X146*VLOOKUP('Données projet'!$B$9,Paramètres!$A$1:$I$88,3,0)*0.475*44/12</f>
        <v>18.980750955186167</v>
      </c>
      <c r="AB146" s="23">
        <f>EXP(-LN(2)/2)*AB145+(1-EXP(-LN(2)/2))/(LN(2)/2)*V146*Y146*VLOOKUP('Données projet'!$B$9,Paramètres!$A$1:$I$88,3,0)*0.475*44/12</f>
        <v>0</v>
      </c>
      <c r="AC146" s="24">
        <f t="shared" si="111"/>
        <v>84.529578753055034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projet'!$B$10,Paramètres!$A$1:$I$88,3,0)*VLOOKUP('Données projet'!$B$10,Paramètres!$A$1:$I$88,5,0)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82.840015321739202</v>
      </c>
      <c r="AO146" s="62">
        <f t="shared" si="144"/>
        <v>101.40622074610098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14.734619525063051</v>
      </c>
      <c r="AV146" s="23">
        <f>EXP(-LN(2)/25)*AV145+(1-EXP(-LN(2)/25))/(LN(2)/25)*Calculateur!AQ146*Calculateur!AS146*VLOOKUP('Données projet'!$B$10,Paramètres!$A$1:$I$88,3,0)*0.475*44/12</f>
        <v>3.9464937980106618</v>
      </c>
      <c r="AW146" s="23">
        <f>EXP(-LN(2)/2)*AW145+(1-EXP(-LN(2)/2))/(LN(2)/2)*AQ146*AT146*VLOOKUP('Données projet'!$B$10,Paramètres!$A$1:$I$88,3,0)*0.475*44/12</f>
        <v>0</v>
      </c>
      <c r="AX146" s="23">
        <f t="shared" si="114"/>
        <v>18.681113323073713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169.99999999999983</v>
      </c>
      <c r="BE146" s="14">
        <f>BD146*VLOOKUP('Données projet'!$B$11,Paramètres!$A$1:$I$88,3,0)*VLOOKUP('Données projet'!$B$11,Paramètres!$A$1:$I$88,5,0)</f>
        <v>101.65999999999991</v>
      </c>
      <c r="BF146" s="14">
        <f t="shared" si="145"/>
        <v>27.357089923704745</v>
      </c>
      <c r="BG146" s="22">
        <f t="shared" si="115"/>
        <v>224.70476495045224</v>
      </c>
      <c r="BH146" s="62">
        <f t="shared" si="116"/>
        <v>518.03809828378553</v>
      </c>
      <c r="BI146" s="62">
        <f ca="1">AVERAGE(OFFSET($BH$3,0,0,'Données projet'!$E$11+1,1))-AVERAGE(OFFSET($H$3,0,0,'Données projet'!$E$11+1,1))</f>
        <v>83.354474428753292</v>
      </c>
      <c r="BJ146" s="62">
        <f t="shared" si="146"/>
        <v>97.75861379589162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2.4840054958663309</v>
      </c>
      <c r="BQ146" s="23">
        <f>EXP(-LN(2)/25)*BQ145+(1-EXP(-LN(2)/25))/(LN(2)/25)*Calculateur!BL146*Calculateur!BN146*VLOOKUP('Données projet'!$B$11,Paramètres!$A$1:$I$88,3,0)*0.475*44/12</f>
        <v>1.1675652480704934</v>
      </c>
      <c r="BR146" s="23">
        <f>EXP(-LN(2)/2)*BR145+(1-EXP(-LN(2)/2))/(LN(2)/2)*BL146*BO146*VLOOKUP('Données projet'!$B$11,Paramètres!$A$1:$I$88,3,0)*0.475*44/12</f>
        <v>0</v>
      </c>
      <c r="BS146" s="24">
        <f t="shared" si="117"/>
        <v>3.6515707439368246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projet'!$B$12,Paramètres!$A$1:$I$88,3,0)*0.475*44/12</f>
        <v>#N/A</v>
      </c>
      <c r="CL146" s="23" t="e">
        <f>EXP(-LN(2)/25)*CL145+(1-EXP(-LN(2)/25))/(LN(2)/25)*Calculateur!CG146*Calculateur!CI146*VLOOKUP('Données projet'!$B$12,Paramètres!$A$1:$I$88,3,0)*0.475*44/12</f>
        <v>#N/A</v>
      </c>
      <c r="CM146" s="23" t="e">
        <f>EXP(-LN(2)/2)*CM145+(1-EXP(-LN(2)/2))/(LN(2)/2)*CG146*CJ146*VLOOKUP('Données projet'!$B$12,Paramètres!$A$1:$I$88,3,0)*0.475*44/12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105.58079999999966</v>
      </c>
      <c r="D147" s="12">
        <f t="shared" si="140"/>
        <v>28.287314908258214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1033.3679045549729</v>
      </c>
      <c r="H147" s="70">
        <f t="shared" si="110"/>
        <v>526.48696679854902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2.8421709430404007E-13</v>
      </c>
      <c r="O147" s="14">
        <f>N147*VLOOKUP('Données projet'!$B$9,Paramètres!$A$1:$I$88,3,0)*VLOOKUP('Données projet'!$B$9,Paramètres!$A$1:$I$88,5,0)</f>
        <v>1.588773557159584E-13</v>
      </c>
      <c r="P147" s="14">
        <f t="shared" si="141"/>
        <v>2.2615721672198623E-12</v>
      </c>
      <c r="Q147" s="22">
        <f t="shared" si="108"/>
        <v>4.2156162524465543E-12</v>
      </c>
      <c r="R147" s="62">
        <f t="shared" si="109"/>
        <v>293.33333333333752</v>
      </c>
      <c r="S147" s="62">
        <f ca="1">AVERAGE(OFFSET($R$3,0,0,'Données projet'!$E$9+1,1))-AVERAGE(OFFSET($H$3,0,0,'Données projet'!$E$9+1,1))</f>
        <v>222.18341301864729</v>
      </c>
      <c r="T147" s="62">
        <f t="shared" si="142"/>
        <v>172.63628480089358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64.26345526558984</v>
      </c>
      <c r="AA147" s="23">
        <f>EXP(-LN(2)/25)*AA146+(1-EXP(-LN(2)/25))/(LN(2)/25)*Calculateur!V147*Calculateur!X147*VLOOKUP('Données projet'!$B$9,Paramètres!$A$1:$I$88,3,0)*0.475*44/12</f>
        <v>18.46172132216229</v>
      </c>
      <c r="AB147" s="23">
        <f>EXP(-LN(2)/2)*AB146+(1-EXP(-LN(2)/2))/(LN(2)/2)*V147*Y147*VLOOKUP('Données projet'!$B$9,Paramètres!$A$1:$I$88,3,0)*0.475*44/12</f>
        <v>0</v>
      </c>
      <c r="AC147" s="24">
        <f t="shared" si="111"/>
        <v>82.725176587752131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projet'!$B$10,Paramètres!$A$1:$I$88,3,0)*VLOOKUP('Données projet'!$B$10,Paramètres!$A$1:$I$88,5,0)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82.840015321739202</v>
      </c>
      <c r="AO147" s="62">
        <f t="shared" si="144"/>
        <v>101.40622074610098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14.445682623407059</v>
      </c>
      <c r="AV147" s="23">
        <f>EXP(-LN(2)/25)*AV146+(1-EXP(-LN(2)/25))/(LN(2)/25)*Calculateur!AQ147*Calculateur!AS147*VLOOKUP('Données projet'!$B$10,Paramètres!$A$1:$I$88,3,0)*0.475*44/12</f>
        <v>3.8385767175669714</v>
      </c>
      <c r="AW147" s="23">
        <f>EXP(-LN(2)/2)*AW146+(1-EXP(-LN(2)/2))/(LN(2)/2)*AQ147*AT147*VLOOKUP('Données projet'!$B$10,Paramètres!$A$1:$I$88,3,0)*0.475*44/12</f>
        <v>0</v>
      </c>
      <c r="AX147" s="23">
        <f t="shared" si="114"/>
        <v>18.284259340974032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169.99999999999983</v>
      </c>
      <c r="BE147" s="14">
        <f>BD147*VLOOKUP('Données projet'!$B$11,Paramètres!$A$1:$I$88,3,0)*VLOOKUP('Données projet'!$B$11,Paramètres!$A$1:$I$88,5,0)</f>
        <v>101.65999999999991</v>
      </c>
      <c r="BF147" s="14">
        <f t="shared" si="145"/>
        <v>27.357089923704745</v>
      </c>
      <c r="BG147" s="22">
        <f t="shared" si="115"/>
        <v>224.70476495045224</v>
      </c>
      <c r="BH147" s="62">
        <f t="shared" si="116"/>
        <v>518.03809828378553</v>
      </c>
      <c r="BI147" s="62">
        <f ca="1">AVERAGE(OFFSET($BH$3,0,0,'Données projet'!$E$11+1,1))-AVERAGE(OFFSET($H$3,0,0,'Données projet'!$E$11+1,1))</f>
        <v>83.354474428753292</v>
      </c>
      <c r="BJ147" s="62">
        <f t="shared" si="146"/>
        <v>97.75861379589162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2.4352956631861415</v>
      </c>
      <c r="BQ147" s="23">
        <f>EXP(-LN(2)/25)*BQ146+(1-EXP(-LN(2)/25))/(LN(2)/25)*Calculateur!BL147*Calculateur!BN147*VLOOKUP('Données projet'!$B$11,Paramètres!$A$1:$I$88,3,0)*0.475*44/12</f>
        <v>1.135638114962418</v>
      </c>
      <c r="BR147" s="23">
        <f>EXP(-LN(2)/2)*BR146+(1-EXP(-LN(2)/2))/(LN(2)/2)*BL147*BO147*VLOOKUP('Données projet'!$B$11,Paramètres!$A$1:$I$88,3,0)*0.475*44/12</f>
        <v>0</v>
      </c>
      <c r="BS147" s="24">
        <f t="shared" si="117"/>
        <v>3.5709337781485595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projet'!$B$12,Paramètres!$A$1:$I$88,3,0)*0.475*44/12</f>
        <v>#N/A</v>
      </c>
      <c r="CL147" s="23" t="e">
        <f>EXP(-LN(2)/25)*CL146+(1-EXP(-LN(2)/25))/(LN(2)/25)*Calculateur!CG147*Calculateur!CI147*VLOOKUP('Données projet'!$B$12,Paramètres!$A$1:$I$88,3,0)*0.475*44/12</f>
        <v>#N/A</v>
      </c>
      <c r="CM147" s="23" t="e">
        <f>EXP(-LN(2)/2)*CM146+(1-EXP(-LN(2)/2))/(LN(2)/2)*CG147*CJ147*VLOOKUP('Données projet'!$B$12,Paramètres!$A$1:$I$88,3,0)*0.475*44/12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106.31399999999965</v>
      </c>
      <c r="D148" s="12">
        <f t="shared" si="140"/>
        <v>28.460819043331849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1040.3670241941379</v>
      </c>
      <c r="H148" s="70">
        <f t="shared" si="110"/>
        <v>528.06614316713558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2.8421709430404007E-13</v>
      </c>
      <c r="O148" s="14">
        <f>N148*VLOOKUP('Données projet'!$B$9,Paramètres!$A$1:$I$88,3,0)*VLOOKUP('Données projet'!$B$9,Paramètres!$A$1:$I$88,5,0)</f>
        <v>1.588773557159584E-13</v>
      </c>
      <c r="P148" s="14">
        <f t="shared" si="141"/>
        <v>2.2615721672198623E-12</v>
      </c>
      <c r="Q148" s="22">
        <f t="shared" si="108"/>
        <v>4.2156162524465543E-12</v>
      </c>
      <c r="R148" s="62">
        <f t="shared" si="109"/>
        <v>293.33333333333752</v>
      </c>
      <c r="S148" s="62">
        <f ca="1">AVERAGE(OFFSET($R$3,0,0,'Données projet'!$E$9+1,1))-AVERAGE(OFFSET($H$3,0,0,'Données projet'!$E$9+1,1))</f>
        <v>222.18341301864729</v>
      </c>
      <c r="T148" s="62">
        <f t="shared" si="142"/>
        <v>172.63628480089358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63.003288104668968</v>
      </c>
      <c r="AA148" s="23">
        <f>EXP(-LN(2)/25)*AA147+(1-EXP(-LN(2)/25))/(LN(2)/25)*Calculateur!V148*Calculateur!X148*VLOOKUP('Données projet'!$B$9,Paramètres!$A$1:$I$88,3,0)*0.475*44/12</f>
        <v>17.956884581748032</v>
      </c>
      <c r="AB148" s="23">
        <f>EXP(-LN(2)/2)*AB147+(1-EXP(-LN(2)/2))/(LN(2)/2)*V148*Y148*VLOOKUP('Données projet'!$B$9,Paramètres!$A$1:$I$88,3,0)*0.475*44/12</f>
        <v>0</v>
      </c>
      <c r="AC148" s="24">
        <f t="shared" si="111"/>
        <v>80.960172686416996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projet'!$B$10,Paramètres!$A$1:$I$88,3,0)*VLOOKUP('Données projet'!$B$10,Paramètres!$A$1:$I$88,5,0)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82.840015321739202</v>
      </c>
      <c r="AO148" s="62">
        <f t="shared" si="144"/>
        <v>101.40622074610098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14.162411598158434</v>
      </c>
      <c r="AV148" s="23">
        <f>EXP(-LN(2)/25)*AV147+(1-EXP(-LN(2)/25))/(LN(2)/25)*Calculateur!AQ148*Calculateur!AS148*VLOOKUP('Données projet'!$B$10,Paramètres!$A$1:$I$88,3,0)*0.475*44/12</f>
        <v>3.7336106353631262</v>
      </c>
      <c r="AW148" s="23">
        <f>EXP(-LN(2)/2)*AW147+(1-EXP(-LN(2)/2))/(LN(2)/2)*AQ148*AT148*VLOOKUP('Données projet'!$B$10,Paramètres!$A$1:$I$88,3,0)*0.475*44/12</f>
        <v>0</v>
      </c>
      <c r="AX148" s="23">
        <f t="shared" si="114"/>
        <v>17.89602223352156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169.99999999999983</v>
      </c>
      <c r="BE148" s="14">
        <f>BD148*VLOOKUP('Données projet'!$B$11,Paramètres!$A$1:$I$88,3,0)*VLOOKUP('Données projet'!$B$11,Paramètres!$A$1:$I$88,5,0)</f>
        <v>101.65999999999991</v>
      </c>
      <c r="BF148" s="14">
        <f t="shared" si="145"/>
        <v>27.357089923704745</v>
      </c>
      <c r="BG148" s="22">
        <f t="shared" si="115"/>
        <v>224.70476495045224</v>
      </c>
      <c r="BH148" s="62">
        <f t="shared" si="116"/>
        <v>518.03809828378553</v>
      </c>
      <c r="BI148" s="62">
        <f ca="1">AVERAGE(OFFSET($BH$3,0,0,'Données projet'!$E$11+1,1))-AVERAGE(OFFSET($H$3,0,0,'Données projet'!$E$11+1,1))</f>
        <v>83.354474428753292</v>
      </c>
      <c r="BJ148" s="62">
        <f t="shared" si="146"/>
        <v>97.75861379589162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2.3875410006147466</v>
      </c>
      <c r="BQ148" s="23">
        <f>EXP(-LN(2)/25)*BQ147+(1-EXP(-LN(2)/25))/(LN(2)/25)*Calculateur!BL148*Calculateur!BN148*VLOOKUP('Données projet'!$B$11,Paramètres!$A$1:$I$88,3,0)*0.475*44/12</f>
        <v>1.1045840309881576</v>
      </c>
      <c r="BR148" s="23">
        <f>EXP(-LN(2)/2)*BR147+(1-EXP(-LN(2)/2))/(LN(2)/2)*BL148*BO148*VLOOKUP('Données projet'!$B$11,Paramètres!$A$1:$I$88,3,0)*0.475*44/12</f>
        <v>0</v>
      </c>
      <c r="BS148" s="24">
        <f t="shared" si="117"/>
        <v>3.492125031602904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projet'!$B$12,Paramètres!$A$1:$I$88,3,0)*0.475*44/12</f>
        <v>#N/A</v>
      </c>
      <c r="CL148" s="23" t="e">
        <f>EXP(-LN(2)/25)*CL147+(1-EXP(-LN(2)/25))/(LN(2)/25)*Calculateur!CG148*Calculateur!CI148*VLOOKUP('Données projet'!$B$12,Paramètres!$A$1:$I$88,3,0)*0.475*44/12</f>
        <v>#N/A</v>
      </c>
      <c r="CM148" s="23" t="e">
        <f>EXP(-LN(2)/2)*CM147+(1-EXP(-LN(2)/2))/(LN(2)/2)*CG148*CJ148*VLOOKUP('Données projet'!$B$12,Paramètres!$A$1:$I$88,3,0)*0.475*44/12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107.04719999999965</v>
      </c>
      <c r="D149" s="12">
        <f t="shared" si="140"/>
        <v>28.634183951187829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1047.3650690968859</v>
      </c>
      <c r="H149" s="70">
        <f t="shared" si="110"/>
        <v>529.64507704831817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2.8421709430404007E-13</v>
      </c>
      <c r="O149" s="14">
        <f>N149*VLOOKUP('Données projet'!$B$9,Paramètres!$A$1:$I$88,3,0)*VLOOKUP('Données projet'!$B$9,Paramètres!$A$1:$I$88,5,0)</f>
        <v>1.588773557159584E-13</v>
      </c>
      <c r="P149" s="14">
        <f t="shared" si="141"/>
        <v>2.2615721672198623E-12</v>
      </c>
      <c r="Q149" s="22">
        <f t="shared" si="108"/>
        <v>4.2156162524465543E-12</v>
      </c>
      <c r="R149" s="62">
        <f t="shared" si="109"/>
        <v>293.33333333333752</v>
      </c>
      <c r="S149" s="62">
        <f ca="1">AVERAGE(OFFSET($R$3,0,0,'Données projet'!$E$9+1,1))-AVERAGE(OFFSET($H$3,0,0,'Données projet'!$E$9+1,1))</f>
        <v>222.18341301864729</v>
      </c>
      <c r="T149" s="62">
        <f t="shared" si="142"/>
        <v>172.63628480089358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61.767832053147686</v>
      </c>
      <c r="AA149" s="23">
        <f>EXP(-LN(2)/25)*AA148+(1-EXP(-LN(2)/25))/(LN(2)/25)*Calculateur!V149*Calculateur!X149*VLOOKUP('Données projet'!$B$9,Paramètres!$A$1:$I$88,3,0)*0.475*44/12</f>
        <v>17.465852628548614</v>
      </c>
      <c r="AB149" s="23">
        <f>EXP(-LN(2)/2)*AB148+(1-EXP(-LN(2)/2))/(LN(2)/2)*V149*Y149*VLOOKUP('Données projet'!$B$9,Paramètres!$A$1:$I$88,3,0)*0.475*44/12</f>
        <v>0</v>
      </c>
      <c r="AC149" s="24">
        <f t="shared" si="111"/>
        <v>79.233684681696303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projet'!$B$10,Paramètres!$A$1:$I$88,3,0)*VLOOKUP('Données projet'!$B$10,Paramètres!$A$1:$I$88,5,0)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82.840015321739202</v>
      </c>
      <c r="AO149" s="62">
        <f t="shared" si="144"/>
        <v>101.40622074610098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13.884695344936668</v>
      </c>
      <c r="AV149" s="23">
        <f>EXP(-LN(2)/25)*AV148+(1-EXP(-LN(2)/25))/(LN(2)/25)*Calculateur!AQ149*Calculateur!AS149*VLOOKUP('Données projet'!$B$10,Paramètres!$A$1:$I$88,3,0)*0.475*44/12</f>
        <v>3.6315148561970716</v>
      </c>
      <c r="AW149" s="23">
        <f>EXP(-LN(2)/2)*AW148+(1-EXP(-LN(2)/2))/(LN(2)/2)*AQ149*AT149*VLOOKUP('Données projet'!$B$10,Paramètres!$A$1:$I$88,3,0)*0.475*44/12</f>
        <v>0</v>
      </c>
      <c r="AX149" s="23">
        <f t="shared" si="114"/>
        <v>17.516210201133738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169.99999999999983</v>
      </c>
      <c r="BE149" s="14">
        <f>BD149*VLOOKUP('Données projet'!$B$11,Paramètres!$A$1:$I$88,3,0)*VLOOKUP('Données projet'!$B$11,Paramètres!$A$1:$I$88,5,0)</f>
        <v>101.65999999999991</v>
      </c>
      <c r="BF149" s="14">
        <f t="shared" si="145"/>
        <v>27.357089923704745</v>
      </c>
      <c r="BG149" s="22">
        <f t="shared" si="115"/>
        <v>224.70476495045224</v>
      </c>
      <c r="BH149" s="62">
        <f t="shared" si="116"/>
        <v>518.03809828378553</v>
      </c>
      <c r="BI149" s="62">
        <f ca="1">AVERAGE(OFFSET($BH$3,0,0,'Données projet'!$E$11+1,1))-AVERAGE(OFFSET($H$3,0,0,'Données projet'!$E$11+1,1))</f>
        <v>83.354474428753292</v>
      </c>
      <c r="BJ149" s="62">
        <f t="shared" si="146"/>
        <v>97.75861379589162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2.3407227778489084</v>
      </c>
      <c r="BQ149" s="23">
        <f>EXP(-LN(2)/25)*BQ148+(1-EXP(-LN(2)/25))/(LN(2)/25)*Calculateur!BL149*Calculateur!BN149*VLOOKUP('Données projet'!$B$11,Paramètres!$A$1:$I$88,3,0)*0.475*44/12</f>
        <v>1.0743791225732369</v>
      </c>
      <c r="BR149" s="23">
        <f>EXP(-LN(2)/2)*BR148+(1-EXP(-LN(2)/2))/(LN(2)/2)*BL149*BO149*VLOOKUP('Données projet'!$B$11,Paramètres!$A$1:$I$88,3,0)*0.475*44/12</f>
        <v>0</v>
      </c>
      <c r="BS149" s="24">
        <f t="shared" si="117"/>
        <v>3.4151019004221452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projet'!$B$12,Paramètres!$A$1:$I$88,3,0)*0.475*44/12</f>
        <v>#N/A</v>
      </c>
      <c r="CL149" s="23" t="e">
        <f>EXP(-LN(2)/25)*CL148+(1-EXP(-LN(2)/25))/(LN(2)/25)*Calculateur!CG149*Calculateur!CI149*VLOOKUP('Données projet'!$B$12,Paramètres!$A$1:$I$88,3,0)*0.475*44/12</f>
        <v>#N/A</v>
      </c>
      <c r="CM149" s="23" t="e">
        <f>EXP(-LN(2)/2)*CM148+(1-EXP(-LN(2)/2))/(LN(2)/2)*CG149*CJ149*VLOOKUP('Données projet'!$B$12,Paramètres!$A$1:$I$88,3,0)*0.475*44/12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107.78039999999964</v>
      </c>
      <c r="D150" s="12">
        <f t="shared" si="140"/>
        <v>28.807410696029962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1054.3620474781235</v>
      </c>
      <c r="H150" s="70">
        <f t="shared" si="110"/>
        <v>531.22377029558493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2.8421709430404007E-13</v>
      </c>
      <c r="O150" s="14">
        <f>N150*VLOOKUP('Données projet'!$B$9,Paramètres!$A$1:$I$88,3,0)*VLOOKUP('Données projet'!$B$9,Paramètres!$A$1:$I$88,5,0)</f>
        <v>1.588773557159584E-13</v>
      </c>
      <c r="P150" s="14">
        <f t="shared" si="141"/>
        <v>2.2615721672198623E-12</v>
      </c>
      <c r="Q150" s="22">
        <f t="shared" si="108"/>
        <v>4.2156162524465543E-12</v>
      </c>
      <c r="R150" s="62">
        <f t="shared" si="109"/>
        <v>293.33333333333752</v>
      </c>
      <c r="S150" s="62">
        <f ca="1">AVERAGE(OFFSET($R$3,0,0,'Données projet'!$E$9+1,1))-AVERAGE(OFFSET($H$3,0,0,'Données projet'!$E$9+1,1))</f>
        <v>222.18341301864729</v>
      </c>
      <c r="T150" s="62">
        <f t="shared" si="142"/>
        <v>172.63628480089358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60.556602541242945</v>
      </c>
      <c r="AA150" s="23">
        <f>EXP(-LN(2)/25)*AA149+(1-EXP(-LN(2)/25))/(LN(2)/25)*Calculateur!V150*Calculateur!X150*VLOOKUP('Données projet'!$B$9,Paramètres!$A$1:$I$88,3,0)*0.475*44/12</f>
        <v>16.988247969931681</v>
      </c>
      <c r="AB150" s="23">
        <f>EXP(-LN(2)/2)*AB149+(1-EXP(-LN(2)/2))/(LN(2)/2)*V150*Y150*VLOOKUP('Données projet'!$B$9,Paramètres!$A$1:$I$88,3,0)*0.475*44/12</f>
        <v>0</v>
      </c>
      <c r="AC150" s="24">
        <f t="shared" si="111"/>
        <v>77.54485051117463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projet'!$B$10,Paramètres!$A$1:$I$88,3,0)*VLOOKUP('Données projet'!$B$10,Paramètres!$A$1:$I$88,5,0)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82.840015321739202</v>
      </c>
      <c r="AO150" s="62">
        <f t="shared" si="144"/>
        <v>101.40622074610098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13.612424938050394</v>
      </c>
      <c r="AV150" s="23">
        <f>EXP(-LN(2)/25)*AV149+(1-EXP(-LN(2)/25))/(LN(2)/25)*Calculateur!AQ150*Calculateur!AS150*VLOOKUP('Données projet'!$B$10,Paramètres!$A$1:$I$88,3,0)*0.475*44/12</f>
        <v>3.5322108914812964</v>
      </c>
      <c r="AW150" s="23">
        <f>EXP(-LN(2)/2)*AW149+(1-EXP(-LN(2)/2))/(LN(2)/2)*AQ150*AT150*VLOOKUP('Données projet'!$B$10,Paramètres!$A$1:$I$88,3,0)*0.475*44/12</f>
        <v>0</v>
      </c>
      <c r="AX150" s="23">
        <f t="shared" si="114"/>
        <v>17.144635829531691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169.99999999999983</v>
      </c>
      <c r="BE150" s="14">
        <f>BD150*VLOOKUP('Données projet'!$B$11,Paramètres!$A$1:$I$88,3,0)*VLOOKUP('Données projet'!$B$11,Paramètres!$A$1:$I$88,5,0)</f>
        <v>101.65999999999991</v>
      </c>
      <c r="BF150" s="14">
        <f t="shared" si="145"/>
        <v>27.357089923704745</v>
      </c>
      <c r="BG150" s="22">
        <f t="shared" si="115"/>
        <v>224.70476495045224</v>
      </c>
      <c r="BH150" s="62">
        <f t="shared" si="116"/>
        <v>518.03809828378553</v>
      </c>
      <c r="BI150" s="62">
        <f ca="1">AVERAGE(OFFSET($BH$3,0,0,'Données projet'!$E$11+1,1))-AVERAGE(OFFSET($H$3,0,0,'Données projet'!$E$11+1,1))</f>
        <v>83.354474428753292</v>
      </c>
      <c r="BJ150" s="62">
        <f t="shared" si="146"/>
        <v>97.75861379589162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2.2948226318752121</v>
      </c>
      <c r="BQ150" s="23">
        <f>EXP(-LN(2)/25)*BQ149+(1-EXP(-LN(2)/25))/(LN(2)/25)*Calculateur!BL150*Calculateur!BN150*VLOOKUP('Données projet'!$B$11,Paramètres!$A$1:$I$88,3,0)*0.475*44/12</f>
        <v>1.0450001689673292</v>
      </c>
      <c r="BR150" s="23">
        <f>EXP(-LN(2)/2)*BR149+(1-EXP(-LN(2)/2))/(LN(2)/2)*BL150*BO150*VLOOKUP('Données projet'!$B$11,Paramètres!$A$1:$I$88,3,0)*0.475*44/12</f>
        <v>0</v>
      </c>
      <c r="BS150" s="24">
        <f t="shared" si="117"/>
        <v>3.3398228008425415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projet'!$B$12,Paramètres!$A$1:$I$88,3,0)*0.475*44/12</f>
        <v>#N/A</v>
      </c>
      <c r="CL150" s="23" t="e">
        <f>EXP(-LN(2)/25)*CL149+(1-EXP(-LN(2)/25))/(LN(2)/25)*Calculateur!CG150*Calculateur!CI150*VLOOKUP('Données projet'!$B$12,Paramètres!$A$1:$I$88,3,0)*0.475*44/12</f>
        <v>#N/A</v>
      </c>
      <c r="CM150" s="23" t="e">
        <f>EXP(-LN(2)/2)*CM149+(1-EXP(-LN(2)/2))/(LN(2)/2)*CG150*CJ150*VLOOKUP('Données projet'!$B$12,Paramètres!$A$1:$I$88,3,0)*0.475*44/12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108.51359999999964</v>
      </c>
      <c r="D151" s="12">
        <f t="shared" si="140"/>
        <v>28.980500326746164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1061.357967434529</v>
      </c>
      <c r="H151" s="70">
        <f t="shared" si="110"/>
        <v>532.80222473574895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2.8421709430404007E-13</v>
      </c>
      <c r="O151" s="14">
        <f>N151*VLOOKUP('Données projet'!$B$9,Paramètres!$A$1:$I$88,3,0)*VLOOKUP('Données projet'!$B$9,Paramètres!$A$1:$I$88,5,0)</f>
        <v>1.588773557159584E-13</v>
      </c>
      <c r="P151" s="14">
        <f t="shared" si="141"/>
        <v>2.2615721672198623E-12</v>
      </c>
      <c r="Q151" s="22">
        <f t="shared" si="108"/>
        <v>4.2156162524465543E-12</v>
      </c>
      <c r="R151" s="62">
        <f t="shared" si="109"/>
        <v>293.33333333333752</v>
      </c>
      <c r="S151" s="62">
        <f ca="1">AVERAGE(OFFSET($R$3,0,0,'Données projet'!$E$9+1,1))-AVERAGE(OFFSET($H$3,0,0,'Données projet'!$E$9+1,1))</f>
        <v>222.18341301864729</v>
      </c>
      <c r="T151" s="62">
        <f t="shared" si="142"/>
        <v>172.63628480089358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59.369124501289605</v>
      </c>
      <c r="AA151" s="23">
        <f>EXP(-LN(2)/25)*AA150+(1-EXP(-LN(2)/25))/(LN(2)/25)*Calculateur!V151*Calculateur!X151*VLOOKUP('Données projet'!$B$9,Paramètres!$A$1:$I$88,3,0)*0.475*44/12</f>
        <v>16.523703435820767</v>
      </c>
      <c r="AB151" s="23">
        <f>EXP(-LN(2)/2)*AB150+(1-EXP(-LN(2)/2))/(LN(2)/2)*V151*Y151*VLOOKUP('Données projet'!$B$9,Paramètres!$A$1:$I$88,3,0)*0.475*44/12</f>
        <v>0</v>
      </c>
      <c r="AC151" s="24">
        <f t="shared" si="111"/>
        <v>75.892827937110368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projet'!$B$10,Paramètres!$A$1:$I$88,3,0)*VLOOKUP('Données projet'!$B$10,Paramètres!$A$1:$I$88,5,0)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82.840015321739202</v>
      </c>
      <c r="AO151" s="62">
        <f t="shared" si="144"/>
        <v>101.40622074610098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13.345493587774609</v>
      </c>
      <c r="AV151" s="23">
        <f>EXP(-LN(2)/25)*AV150+(1-EXP(-LN(2)/25))/(LN(2)/25)*Calculateur!AQ151*Calculateur!AS151*VLOOKUP('Données projet'!$B$10,Paramètres!$A$1:$I$88,3,0)*0.475*44/12</f>
        <v>3.4356223989028427</v>
      </c>
      <c r="AW151" s="23">
        <f>EXP(-LN(2)/2)*AW150+(1-EXP(-LN(2)/2))/(LN(2)/2)*AQ151*AT151*VLOOKUP('Données projet'!$B$10,Paramètres!$A$1:$I$88,3,0)*0.475*44/12</f>
        <v>0</v>
      </c>
      <c r="AX151" s="23">
        <f t="shared" si="114"/>
        <v>16.781115986677452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169.99999999999983</v>
      </c>
      <c r="BE151" s="14">
        <f>BD151*VLOOKUP('Données projet'!$B$11,Paramètres!$A$1:$I$88,3,0)*VLOOKUP('Données projet'!$B$11,Paramètres!$A$1:$I$88,5,0)</f>
        <v>101.65999999999991</v>
      </c>
      <c r="BF151" s="14">
        <f t="shared" si="145"/>
        <v>27.357089923704745</v>
      </c>
      <c r="BG151" s="22">
        <f t="shared" si="115"/>
        <v>224.70476495045224</v>
      </c>
      <c r="BH151" s="62">
        <f t="shared" si="116"/>
        <v>518.03809828378553</v>
      </c>
      <c r="BI151" s="62">
        <f ca="1">AVERAGE(OFFSET($BH$3,0,0,'Données projet'!$E$11+1,1))-AVERAGE(OFFSET($H$3,0,0,'Données projet'!$E$11+1,1))</f>
        <v>83.354474428753292</v>
      </c>
      <c r="BJ151" s="62">
        <f t="shared" si="146"/>
        <v>97.75861379589162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2.2498225597677353</v>
      </c>
      <c r="BQ151" s="23">
        <f>EXP(-LN(2)/25)*BQ150+(1-EXP(-LN(2)/25))/(LN(2)/25)*Calculateur!BL151*Calculateur!BN151*VLOOKUP('Données projet'!$B$11,Paramètres!$A$1:$I$88,3,0)*0.475*44/12</f>
        <v>1.0164245843927471</v>
      </c>
      <c r="BR151" s="23">
        <f>EXP(-LN(2)/2)*BR150+(1-EXP(-LN(2)/2))/(LN(2)/2)*BL151*BO151*VLOOKUP('Données projet'!$B$11,Paramètres!$A$1:$I$88,3,0)*0.475*44/12</f>
        <v>0</v>
      </c>
      <c r="BS151" s="24">
        <f t="shared" si="117"/>
        <v>3.2662471441604826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projet'!$B$12,Paramètres!$A$1:$I$88,3,0)*0.475*44/12</f>
        <v>#N/A</v>
      </c>
      <c r="CL151" s="23" t="e">
        <f>EXP(-LN(2)/25)*CL150+(1-EXP(-LN(2)/25))/(LN(2)/25)*Calculateur!CG151*Calculateur!CI151*VLOOKUP('Données projet'!$B$12,Paramètres!$A$1:$I$88,3,0)*0.475*44/12</f>
        <v>#N/A</v>
      </c>
      <c r="CM151" s="23" t="e">
        <f>EXP(-LN(2)/2)*CM150+(1-EXP(-LN(2)/2))/(LN(2)/2)*CG151*CJ151*VLOOKUP('Données projet'!$B$12,Paramètres!$A$1:$I$88,3,0)*0.475*44/12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109.24679999999964</v>
      </c>
      <c r="D152" s="12">
        <f t="shared" si="140"/>
        <v>29.153453877230778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1068.3528369470421</v>
      </c>
      <c r="H152" s="70">
        <f t="shared" si="110"/>
        <v>534.38044216950959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2.8421709430404007E-13</v>
      </c>
      <c r="O152" s="14">
        <f>N152*VLOOKUP('Données projet'!$B$9,Paramètres!$A$1:$I$88,3,0)*VLOOKUP('Données projet'!$B$9,Paramètres!$A$1:$I$88,5,0)</f>
        <v>1.588773557159584E-13</v>
      </c>
      <c r="P152" s="14">
        <f t="shared" si="141"/>
        <v>2.2615721672198623E-12</v>
      </c>
      <c r="Q152" s="22">
        <f t="shared" si="108"/>
        <v>4.2156162524465543E-12</v>
      </c>
      <c r="R152" s="62">
        <f t="shared" si="109"/>
        <v>293.33333333333752</v>
      </c>
      <c r="S152" s="62">
        <f ca="1">AVERAGE(OFFSET($R$3,0,0,'Données projet'!$E$9+1,1))-AVERAGE(OFFSET($H$3,0,0,'Données projet'!$E$9+1,1))</f>
        <v>222.18341301864729</v>
      </c>
      <c r="T152" s="62">
        <f t="shared" si="142"/>
        <v>172.63628480089358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58.204932181409667</v>
      </c>
      <c r="AA152" s="23">
        <f>EXP(-LN(2)/25)*AA151+(1-EXP(-LN(2)/25))/(LN(2)/25)*Calculateur!V152*Calculateur!X152*VLOOKUP('Données projet'!$B$9,Paramètres!$A$1:$I$88,3,0)*0.475*44/12</f>
        <v>16.071861896424451</v>
      </c>
      <c r="AB152" s="23">
        <f>EXP(-LN(2)/2)*AB151+(1-EXP(-LN(2)/2))/(LN(2)/2)*V152*Y152*VLOOKUP('Données projet'!$B$9,Paramètres!$A$1:$I$88,3,0)*0.475*44/12</f>
        <v>0</v>
      </c>
      <c r="AC152" s="24">
        <f t="shared" si="111"/>
        <v>74.276794077834126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projet'!$B$10,Paramètres!$A$1:$I$88,3,0)*VLOOKUP('Données projet'!$B$10,Paramètres!$A$1:$I$88,5,0)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82.840015321739202</v>
      </c>
      <c r="AO152" s="62">
        <f t="shared" si="144"/>
        <v>101.40622074610098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13.083796598465684</v>
      </c>
      <c r="AV152" s="23">
        <f>EXP(-LN(2)/25)*AV151+(1-EXP(-LN(2)/25))/(LN(2)/25)*Calculateur!AQ152*Calculateur!AS152*VLOOKUP('Données projet'!$B$10,Paramètres!$A$1:$I$88,3,0)*0.475*44/12</f>
        <v>3.3416751237333147</v>
      </c>
      <c r="AW152" s="23">
        <f>EXP(-LN(2)/2)*AW151+(1-EXP(-LN(2)/2))/(LN(2)/2)*AQ152*AT152*VLOOKUP('Données projet'!$B$10,Paramètres!$A$1:$I$88,3,0)*0.475*44/12</f>
        <v>0</v>
      </c>
      <c r="AX152" s="23">
        <f t="shared" si="114"/>
        <v>16.425471722198999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169.99999999999983</v>
      </c>
      <c r="BE152" s="14">
        <f>BD152*VLOOKUP('Données projet'!$B$11,Paramètres!$A$1:$I$88,3,0)*VLOOKUP('Données projet'!$B$11,Paramètres!$A$1:$I$88,5,0)</f>
        <v>101.65999999999991</v>
      </c>
      <c r="BF152" s="14">
        <f t="shared" si="145"/>
        <v>27.357089923704745</v>
      </c>
      <c r="BG152" s="22">
        <f t="shared" si="115"/>
        <v>224.70476495045224</v>
      </c>
      <c r="BH152" s="62">
        <f t="shared" si="116"/>
        <v>518.03809828378553</v>
      </c>
      <c r="BI152" s="62">
        <f ca="1">AVERAGE(OFFSET($BH$3,0,0,'Données projet'!$E$11+1,1))-AVERAGE(OFFSET($H$3,0,0,'Données projet'!$E$11+1,1))</f>
        <v>83.354474428753292</v>
      </c>
      <c r="BJ152" s="62">
        <f t="shared" si="146"/>
        <v>97.75861379589162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2.2057049116269525</v>
      </c>
      <c r="BQ152" s="23">
        <f>EXP(-LN(2)/25)*BQ151+(1-EXP(-LN(2)/25))/(LN(2)/25)*Calculateur!BL152*Calculateur!BN152*VLOOKUP('Données projet'!$B$11,Paramètres!$A$1:$I$88,3,0)*0.475*44/12</f>
        <v>0.98863040068108154</v>
      </c>
      <c r="BR152" s="23">
        <f>EXP(-LN(2)/2)*BR151+(1-EXP(-LN(2)/2))/(LN(2)/2)*BL152*BO152*VLOOKUP('Données projet'!$B$11,Paramètres!$A$1:$I$88,3,0)*0.475*44/12</f>
        <v>0</v>
      </c>
      <c r="BS152" s="24">
        <f t="shared" si="117"/>
        <v>3.1943353123080342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projet'!$B$12,Paramètres!$A$1:$I$88,3,0)*0.475*44/12</f>
        <v>#N/A</v>
      </c>
      <c r="CL152" s="23" t="e">
        <f>EXP(-LN(2)/25)*CL151+(1-EXP(-LN(2)/25))/(LN(2)/25)*Calculateur!CG152*Calculateur!CI152*VLOOKUP('Données projet'!$B$12,Paramètres!$A$1:$I$88,3,0)*0.475*44/12</f>
        <v>#N/A</v>
      </c>
      <c r="CM152" s="23" t="e">
        <f>EXP(-LN(2)/2)*CM151+(1-EXP(-LN(2)/2))/(LN(2)/2)*CG152*CJ152*VLOOKUP('Données projet'!$B$12,Paramètres!$A$1:$I$88,3,0)*0.475*44/12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109.97999999999963</v>
      </c>
      <c r="D153" s="12">
        <f t="shared" si="140"/>
        <v>29.326272366698181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1075.3466638832815</v>
      </c>
      <c r="H153" s="70">
        <f t="shared" si="110"/>
        <v>535.95842437199872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2.8421709430404007E-13</v>
      </c>
      <c r="O153" s="14">
        <f>N153*VLOOKUP('Données projet'!$B$9,Paramètres!$A$1:$I$88,3,0)*VLOOKUP('Données projet'!$B$9,Paramètres!$A$1:$I$88,5,0)</f>
        <v>1.588773557159584E-13</v>
      </c>
      <c r="P153" s="14">
        <f t="shared" si="141"/>
        <v>2.2615721672198623E-12</v>
      </c>
      <c r="Q153" s="22">
        <f t="shared" si="108"/>
        <v>4.2156162524465543E-12</v>
      </c>
      <c r="R153" s="62">
        <f t="shared" si="109"/>
        <v>293.33333333333752</v>
      </c>
      <c r="S153" s="62">
        <f ca="1">AVERAGE(OFFSET($R$3,0,0,'Données projet'!$E$9+1,1))-AVERAGE(OFFSET($H$3,0,0,'Données projet'!$E$9+1,1))</f>
        <v>222.18341301864729</v>
      </c>
      <c r="T153" s="62">
        <f t="shared" si="142"/>
        <v>172.63628480089358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57.063568962835369</v>
      </c>
      <c r="AA153" s="23">
        <f>EXP(-LN(2)/25)*AA152+(1-EXP(-LN(2)/25))/(LN(2)/25)*Calculateur!V153*Calculateur!X153*VLOOKUP('Données projet'!$B$9,Paramètres!$A$1:$I$88,3,0)*0.475*44/12</f>
        <v>15.63237598768424</v>
      </c>
      <c r="AB153" s="23">
        <f>EXP(-LN(2)/2)*AB152+(1-EXP(-LN(2)/2))/(LN(2)/2)*V153*Y153*VLOOKUP('Données projet'!$B$9,Paramètres!$A$1:$I$88,3,0)*0.475*44/12</f>
        <v>0</v>
      </c>
      <c r="AC153" s="24">
        <f t="shared" si="111"/>
        <v>72.695944950519603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projet'!$B$10,Paramètres!$A$1:$I$88,3,0)*VLOOKUP('Données projet'!$B$10,Paramètres!$A$1:$I$88,5,0)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82.840015321739202</v>
      </c>
      <c r="AO153" s="62">
        <f t="shared" si="144"/>
        <v>101.40622074610098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12.827231327497705</v>
      </c>
      <c r="AV153" s="23">
        <f>EXP(-LN(2)/25)*AV152+(1-EXP(-LN(2)/25))/(LN(2)/25)*Calculateur!AQ153*Calculateur!AS153*VLOOKUP('Données projet'!$B$10,Paramètres!$A$1:$I$88,3,0)*0.475*44/12</f>
        <v>3.2502968417437699</v>
      </c>
      <c r="AW153" s="23">
        <f>EXP(-LN(2)/2)*AW152+(1-EXP(-LN(2)/2))/(LN(2)/2)*AQ153*AT153*VLOOKUP('Données projet'!$B$10,Paramètres!$A$1:$I$88,3,0)*0.475*44/12</f>
        <v>0</v>
      </c>
      <c r="AX153" s="23">
        <f t="shared" si="114"/>
        <v>16.077528169241475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169.99999999999983</v>
      </c>
      <c r="BE153" s="14">
        <f>BD153*VLOOKUP('Données projet'!$B$11,Paramètres!$A$1:$I$88,3,0)*VLOOKUP('Données projet'!$B$11,Paramètres!$A$1:$I$88,5,0)</f>
        <v>101.65999999999991</v>
      </c>
      <c r="BF153" s="14">
        <f t="shared" si="145"/>
        <v>27.357089923704745</v>
      </c>
      <c r="BG153" s="22">
        <f t="shared" si="115"/>
        <v>224.70476495045224</v>
      </c>
      <c r="BH153" s="62">
        <f t="shared" si="116"/>
        <v>518.03809828378553</v>
      </c>
      <c r="BI153" s="62">
        <f ca="1">AVERAGE(OFFSET($BH$3,0,0,'Données projet'!$E$11+1,1))-AVERAGE(OFFSET($H$3,0,0,'Données projet'!$E$11+1,1))</f>
        <v>83.354474428753292</v>
      </c>
      <c r="BJ153" s="62">
        <f t="shared" si="146"/>
        <v>97.75861379589162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2.1624523836571021</v>
      </c>
      <c r="BQ153" s="23">
        <f>EXP(-LN(2)/25)*BQ152+(1-EXP(-LN(2)/25))/(LN(2)/25)*Calculateur!BL153*Calculateur!BN153*VLOOKUP('Données projet'!$B$11,Paramètres!$A$1:$I$88,3,0)*0.475*44/12</f>
        <v>0.96159625038464414</v>
      </c>
      <c r="BR153" s="23">
        <f>EXP(-LN(2)/2)*BR152+(1-EXP(-LN(2)/2))/(LN(2)/2)*BL153*BO153*VLOOKUP('Données projet'!$B$11,Paramètres!$A$1:$I$88,3,0)*0.475*44/12</f>
        <v>0</v>
      </c>
      <c r="BS153" s="24">
        <f t="shared" si="117"/>
        <v>3.1240486340417464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projet'!$B$12,Paramètres!$A$1:$I$88,3,0)*0.475*44/12</f>
        <v>#N/A</v>
      </c>
      <c r="CL153" s="23" t="e">
        <f>EXP(-LN(2)/25)*CL152+(1-EXP(-LN(2)/25))/(LN(2)/25)*Calculateur!CG153*Calculateur!CI153*VLOOKUP('Données projet'!$B$12,Paramètres!$A$1:$I$88,3,0)*0.475*44/12</f>
        <v>#N/A</v>
      </c>
      <c r="CM153" s="23" t="e">
        <f>EXP(-LN(2)/2)*CM152+(1-EXP(-LN(2)/2))/(LN(2)/2)*CG153*CJ153*VLOOKUP('Données projet'!$B$12,Paramètres!$A$1:$I$88,3,0)*0.475*44/12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110.71319999999963</v>
      </c>
      <c r="D154" s="12">
        <f t="shared" si="140"/>
        <v>29.498956799987411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1082.3394559998999</v>
      </c>
      <c r="H154" s="70">
        <f t="shared" si="110"/>
        <v>537.53617309331071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2.8421709430404007E-13</v>
      </c>
      <c r="O154" s="14">
        <f>N154*VLOOKUP('Données projet'!$B$9,Paramètres!$A$1:$I$88,3,0)*VLOOKUP('Données projet'!$B$9,Paramètres!$A$1:$I$88,5,0)</f>
        <v>1.588773557159584E-13</v>
      </c>
      <c r="P154" s="14">
        <f t="shared" si="141"/>
        <v>2.2615721672198623E-12</v>
      </c>
      <c r="Q154" s="22">
        <f t="shared" ref="Q154:Q203" si="162">(O154+P154)*0.475*44/12</f>
        <v>4.2156162524465543E-12</v>
      </c>
      <c r="R154" s="62">
        <f t="shared" si="109"/>
        <v>293.33333333333752</v>
      </c>
      <c r="S154" s="62">
        <f ca="1">AVERAGE(OFFSET($R$3,0,0,'Données projet'!$E$9+1,1))-AVERAGE(OFFSET($H$3,0,0,'Données projet'!$E$9+1,1))</f>
        <v>222.18341301864729</v>
      </c>
      <c r="T154" s="62">
        <f t="shared" si="142"/>
        <v>172.63628480089358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55.944587180814494</v>
      </c>
      <c r="AA154" s="23">
        <f>EXP(-LN(2)/25)*AA153+(1-EXP(-LN(2)/25))/(LN(2)/25)*Calculateur!V154*Calculateur!X154*VLOOKUP('Données projet'!$B$9,Paramètres!$A$1:$I$88,3,0)*0.475*44/12</f>
        <v>15.204907844230089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71.149495025044587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projet'!$B$10,Paramètres!$A$1:$I$88,3,0)*VLOOKUP('Données projet'!$B$10,Paramètres!$A$1:$I$88,5,0)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82.840015321739202</v>
      </c>
      <c r="AO154" s="62">
        <f t="shared" si="144"/>
        <v>101.40622074610098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12.575697145004044</v>
      </c>
      <c r="AV154" s="23">
        <f>EXP(-LN(2)/25)*AV153+(1-EXP(-LN(2)/25))/(LN(2)/25)*Calculateur!AQ154*Calculateur!AS154*VLOOKUP('Données projet'!$B$10,Paramètres!$A$1:$I$88,3,0)*0.475*44/12</f>
        <v>3.1614173036806044</v>
      </c>
      <c r="AW154" s="23">
        <f>EXP(-LN(2)/2)*AW153+(1-EXP(-LN(2)/2))/(LN(2)/2)*AQ154*AT154*VLOOKUP('Données projet'!$B$10,Paramètres!$A$1:$I$88,3,0)*0.475*44/12</f>
        <v>0</v>
      </c>
      <c r="AX154" s="23">
        <f t="shared" ref="AX154:AX203" si="166">SUM(AU154:AW154)</f>
        <v>15.737114448684649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169.99999999999983</v>
      </c>
      <c r="BE154" s="14">
        <f>BD154*VLOOKUP('Données projet'!$B$11,Paramètres!$A$1:$I$88,3,0)*VLOOKUP('Données projet'!$B$11,Paramètres!$A$1:$I$88,5,0)</f>
        <v>101.65999999999991</v>
      </c>
      <c r="BF154" s="14">
        <f t="shared" ref="BF154:BF203" si="167">EXP(-1.0587+0.8836*LN(BE154)+0.284)</f>
        <v>27.357089923704745</v>
      </c>
      <c r="BG154" s="22">
        <f t="shared" ref="BG154:BG203" si="168">(BE154+BF154)*0.475*44/12</f>
        <v>224.70476495045224</v>
      </c>
      <c r="BH154" s="62">
        <f t="shared" si="116"/>
        <v>518.03809828378553</v>
      </c>
      <c r="BI154" s="62">
        <f ca="1">AVERAGE(OFFSET($BH$3,0,0,'Données projet'!$E$11+1,1))-AVERAGE(OFFSET($H$3,0,0,'Données projet'!$E$11+1,1))</f>
        <v>83.354474428753292</v>
      </c>
      <c r="BJ154" s="62">
        <f t="shared" si="146"/>
        <v>97.75861379589162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2.1200480113793034</v>
      </c>
      <c r="BQ154" s="23">
        <f>EXP(-LN(2)/25)*BQ153+(1-EXP(-LN(2)/25))/(LN(2)/25)*Calculateur!BL154*Calculateur!BN154*VLOOKUP('Données projet'!$B$11,Paramètres!$A$1:$I$88,3,0)*0.475*44/12</f>
        <v>0.93530135034972695</v>
      </c>
      <c r="BR154" s="23">
        <f>EXP(-LN(2)/2)*BR153+(1-EXP(-LN(2)/2))/(LN(2)/2)*BL154*BO154*VLOOKUP('Données projet'!$B$11,Paramètres!$A$1:$I$88,3,0)*0.475*44/12</f>
        <v>0</v>
      </c>
      <c r="BS154" s="24">
        <f t="shared" ref="BS154:BS203" si="169">SUM(BP154:BR154)</f>
        <v>3.0553493617290304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projet'!$B$12,Paramètres!$A$1:$I$88,3,0)*0.475*44/12</f>
        <v>#N/A</v>
      </c>
      <c r="CL154" s="23" t="e">
        <f>EXP(-LN(2)/25)*CL153+(1-EXP(-LN(2)/25))/(LN(2)/25)*Calculateur!CG154*Calculateur!CI154*VLOOKUP('Données projet'!$B$12,Paramètres!$A$1:$I$88,3,0)*0.475*44/12</f>
        <v>#N/A</v>
      </c>
      <c r="CM154" s="23" t="e">
        <f>EXP(-LN(2)/2)*CM153+(1-EXP(-LN(2)/2))/(LN(2)/2)*CG154*CJ154*VLOOKUP('Données projet'!$B$12,Paramètres!$A$1:$I$88,3,0)*0.475*44/12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111.44639999999963</v>
      </c>
      <c r="D155" s="12">
        <f t="shared" si="140"/>
        <v>29.671508167859105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1089.3312209448743</v>
      </c>
      <c r="H155" s="70">
        <f t="shared" si="110"/>
        <v>539.11369005902054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2.8421709430404007E-13</v>
      </c>
      <c r="O155" s="14">
        <f>N155*VLOOKUP('Données projet'!$B$9,Paramètres!$A$1:$I$88,3,0)*VLOOKUP('Données projet'!$B$9,Paramètres!$A$1:$I$88,5,0)</f>
        <v>1.588773557159584E-13</v>
      </c>
      <c r="P155" s="14">
        <f t="shared" si="141"/>
        <v>2.2615721672198623E-12</v>
      </c>
      <c r="Q155" s="22">
        <f t="shared" si="162"/>
        <v>4.2156162524465543E-12</v>
      </c>
      <c r="R155" s="62">
        <f t="shared" si="109"/>
        <v>293.33333333333752</v>
      </c>
      <c r="S155" s="62">
        <f ca="1">AVERAGE(OFFSET($R$3,0,0,'Données projet'!$E$9+1,1))-AVERAGE(OFFSET($H$3,0,0,'Données projet'!$E$9+1,1))</f>
        <v>222.18341301864729</v>
      </c>
      <c r="T155" s="62">
        <f t="shared" si="142"/>
        <v>172.63628480089358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54.84754794902755</v>
      </c>
      <c r="AA155" s="23">
        <f>EXP(-LN(2)/25)*AA154+(1-EXP(-LN(2)/25))/(LN(2)/25)*Calculateur!V155*Calculateur!X155*VLOOKUP('Données projet'!$B$9,Paramètres!$A$1:$I$88,3,0)*0.475*44/12</f>
        <v>14.789128839638265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69.63667678866581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projet'!$B$10,Paramètres!$A$1:$I$88,3,0)*VLOOKUP('Données projet'!$B$10,Paramètres!$A$1:$I$88,5,0)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82.840015321739202</v>
      </c>
      <c r="AO155" s="62">
        <f t="shared" si="144"/>
        <v>101.40622074610098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12.329095394408382</v>
      </c>
      <c r="AV155" s="23">
        <f>EXP(-LN(2)/25)*AV154+(1-EXP(-LN(2)/25))/(LN(2)/25)*Calculateur!AQ155*Calculateur!AS155*VLOOKUP('Données projet'!$B$10,Paramètres!$A$1:$I$88,3,0)*0.475*44/12</f>
        <v>3.0749681812597478</v>
      </c>
      <c r="AW155" s="23">
        <f>EXP(-LN(2)/2)*AW154+(1-EXP(-LN(2)/2))/(LN(2)/2)*AQ155*AT155*VLOOKUP('Données projet'!$B$10,Paramètres!$A$1:$I$88,3,0)*0.475*44/12</f>
        <v>0</v>
      </c>
      <c r="AX155" s="23">
        <f t="shared" si="166"/>
        <v>15.404063575668129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169.99999999999983</v>
      </c>
      <c r="BE155" s="14">
        <f>BD155*VLOOKUP('Données projet'!$B$11,Paramètres!$A$1:$I$88,3,0)*VLOOKUP('Données projet'!$B$11,Paramètres!$A$1:$I$88,5,0)</f>
        <v>101.65999999999991</v>
      </c>
      <c r="BF155" s="14">
        <f t="shared" si="167"/>
        <v>27.357089923704745</v>
      </c>
      <c r="BG155" s="22">
        <f t="shared" si="168"/>
        <v>224.70476495045224</v>
      </c>
      <c r="BH155" s="62">
        <f t="shared" si="116"/>
        <v>518.03809828378553</v>
      </c>
      <c r="BI155" s="62">
        <f ca="1">AVERAGE(OFFSET($BH$3,0,0,'Données projet'!$E$11+1,1))-AVERAGE(OFFSET($H$3,0,0,'Données projet'!$E$11+1,1))</f>
        <v>83.354474428753292</v>
      </c>
      <c r="BJ155" s="62">
        <f t="shared" si="146"/>
        <v>97.75861379589162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2.0784751629777589</v>
      </c>
      <c r="BQ155" s="23">
        <f>EXP(-LN(2)/25)*BQ154+(1-EXP(-LN(2)/25))/(LN(2)/25)*Calculateur!BL155*Calculateur!BN155*VLOOKUP('Données projet'!$B$11,Paramètres!$A$1:$I$88,3,0)*0.475*44/12</f>
        <v>0.90972548573905332</v>
      </c>
      <c r="BR155" s="23">
        <f>EXP(-LN(2)/2)*BR154+(1-EXP(-LN(2)/2))/(LN(2)/2)*BL155*BO155*VLOOKUP('Données projet'!$B$11,Paramètres!$A$1:$I$88,3,0)*0.475*44/12</f>
        <v>0</v>
      </c>
      <c r="BS155" s="24">
        <f t="shared" si="169"/>
        <v>2.9882006487168122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projet'!$B$12,Paramètres!$A$1:$I$88,3,0)*0.475*44/12</f>
        <v>#N/A</v>
      </c>
      <c r="CL155" s="23" t="e">
        <f>EXP(-LN(2)/25)*CL154+(1-EXP(-LN(2)/25))/(LN(2)/25)*Calculateur!CG155*Calculateur!CI155*VLOOKUP('Données projet'!$B$12,Paramètres!$A$1:$I$88,3,0)*0.475*44/12</f>
        <v>#N/A</v>
      </c>
      <c r="CM155" s="23" t="e">
        <f>EXP(-LN(2)/2)*CM154+(1-EXP(-LN(2)/2))/(LN(2)/2)*CG155*CJ155*VLOOKUP('Données projet'!$B$12,Paramètres!$A$1:$I$88,3,0)*0.475*44/12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112.17959999999962</v>
      </c>
      <c r="D156" s="12">
        <f t="shared" si="140"/>
        <v>29.843927447283722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1096.3219662597312</v>
      </c>
      <c r="H156" s="70">
        <f t="shared" si="110"/>
        <v>540.69097697068514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2.8421709430404007E-13</v>
      </c>
      <c r="O156" s="14">
        <f>N156*VLOOKUP('Données projet'!$B$9,Paramètres!$A$1:$I$88,3,0)*VLOOKUP('Données projet'!$B$9,Paramètres!$A$1:$I$88,5,0)</f>
        <v>1.588773557159584E-13</v>
      </c>
      <c r="P156" s="14">
        <f t="shared" si="141"/>
        <v>2.2615721672198623E-12</v>
      </c>
      <c r="Q156" s="22">
        <f t="shared" si="162"/>
        <v>4.2156162524465543E-12</v>
      </c>
      <c r="R156" s="62">
        <f t="shared" si="109"/>
        <v>293.33333333333752</v>
      </c>
      <c r="S156" s="62">
        <f ca="1">AVERAGE(OFFSET($R$3,0,0,'Données projet'!$E$9+1,1))-AVERAGE(OFFSET($H$3,0,0,'Données projet'!$E$9+1,1))</f>
        <v>222.18341301864729</v>
      </c>
      <c r="T156" s="62">
        <f t="shared" si="142"/>
        <v>172.63628480089358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53.772020987448087</v>
      </c>
      <c r="AA156" s="23">
        <f>EXP(-LN(2)/25)*AA155+(1-EXP(-LN(2)/25))/(LN(2)/25)*Calculateur!V156*Calculateur!X156*VLOOKUP('Données projet'!$B$9,Paramètres!$A$1:$I$88,3,0)*0.475*44/12</f>
        <v>14.384719333791871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68.156740321239965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projet'!$B$10,Paramètres!$A$1:$I$88,3,0)*VLOOKUP('Données projet'!$B$10,Paramètres!$A$1:$I$88,5,0)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82.840015321739202</v>
      </c>
      <c r="AO156" s="62">
        <f t="shared" si="144"/>
        <v>101.40622074610098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12.087329353729686</v>
      </c>
      <c r="AV156" s="23">
        <f>EXP(-LN(2)/25)*AV155+(1-EXP(-LN(2)/25))/(LN(2)/25)*Calculateur!AQ156*Calculateur!AS156*VLOOKUP('Données projet'!$B$10,Paramètres!$A$1:$I$88,3,0)*0.475*44/12</f>
        <v>2.9908830146376513</v>
      </c>
      <c r="AW156" s="23">
        <f>EXP(-LN(2)/2)*AW155+(1-EXP(-LN(2)/2))/(LN(2)/2)*AQ156*AT156*VLOOKUP('Données projet'!$B$10,Paramètres!$A$1:$I$88,3,0)*0.475*44/12</f>
        <v>0</v>
      </c>
      <c r="AX156" s="23">
        <f t="shared" si="166"/>
        <v>15.078212368367337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169.99999999999983</v>
      </c>
      <c r="BE156" s="14">
        <f>BD156*VLOOKUP('Données projet'!$B$11,Paramètres!$A$1:$I$88,3,0)*VLOOKUP('Données projet'!$B$11,Paramètres!$A$1:$I$88,5,0)</f>
        <v>101.65999999999991</v>
      </c>
      <c r="BF156" s="14">
        <f t="shared" si="167"/>
        <v>27.357089923704745</v>
      </c>
      <c r="BG156" s="22">
        <f t="shared" si="168"/>
        <v>224.70476495045224</v>
      </c>
      <c r="BH156" s="62">
        <f t="shared" si="116"/>
        <v>518.03809828378553</v>
      </c>
      <c r="BI156" s="62">
        <f ca="1">AVERAGE(OFFSET($BH$3,0,0,'Données projet'!$E$11+1,1))-AVERAGE(OFFSET($H$3,0,0,'Données projet'!$E$11+1,1))</f>
        <v>83.354474428753292</v>
      </c>
      <c r="BJ156" s="62">
        <f t="shared" si="146"/>
        <v>97.75861379589162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2.0377175327764352</v>
      </c>
      <c r="BQ156" s="23">
        <f>EXP(-LN(2)/25)*BQ155+(1-EXP(-LN(2)/25))/(LN(2)/25)*Calculateur!BL156*Calculateur!BN156*VLOOKUP('Données projet'!$B$11,Paramètres!$A$1:$I$88,3,0)*0.475*44/12</f>
        <v>0.88484899449113485</v>
      </c>
      <c r="BR156" s="23">
        <f>EXP(-LN(2)/2)*BR155+(1-EXP(-LN(2)/2))/(LN(2)/2)*BL156*BO156*VLOOKUP('Données projet'!$B$11,Paramètres!$A$1:$I$88,3,0)*0.475*44/12</f>
        <v>0</v>
      </c>
      <c r="BS156" s="24">
        <f t="shared" si="169"/>
        <v>2.9225665272675698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projet'!$B$12,Paramètres!$A$1:$I$88,3,0)*0.475*44/12</f>
        <v>#N/A</v>
      </c>
      <c r="CL156" s="23" t="e">
        <f>EXP(-LN(2)/25)*CL155+(1-EXP(-LN(2)/25))/(LN(2)/25)*Calculateur!CG156*Calculateur!CI156*VLOOKUP('Données projet'!$B$12,Paramètres!$A$1:$I$88,3,0)*0.475*44/12</f>
        <v>#N/A</v>
      </c>
      <c r="CM156" s="23" t="e">
        <f>EXP(-LN(2)/2)*CM155+(1-EXP(-LN(2)/2))/(LN(2)/2)*CG156*CJ156*VLOOKUP('Données projet'!$B$12,Paramètres!$A$1:$I$88,3,0)*0.475*44/12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112.91279999999962</v>
      </c>
      <c r="D157" s="12">
        <f t="shared" si="140"/>
        <v>30.016215601722468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1103.3116993817143</v>
      </c>
      <c r="H157" s="70">
        <f t="shared" si="110"/>
        <v>542.26803550633258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2.8421709430404007E-13</v>
      </c>
      <c r="O157" s="14">
        <f>N157*VLOOKUP('Données projet'!$B$9,Paramètres!$A$1:$I$88,3,0)*VLOOKUP('Données projet'!$B$9,Paramètres!$A$1:$I$88,5,0)</f>
        <v>1.588773557159584E-13</v>
      </c>
      <c r="P157" s="14">
        <f t="shared" si="141"/>
        <v>2.2615721672198623E-12</v>
      </c>
      <c r="Q157" s="22">
        <f t="shared" si="162"/>
        <v>4.2156162524465543E-12</v>
      </c>
      <c r="R157" s="62">
        <f t="shared" si="109"/>
        <v>293.33333333333752</v>
      </c>
      <c r="S157" s="62">
        <f ca="1">AVERAGE(OFFSET($R$3,0,0,'Données projet'!$E$9+1,1))-AVERAGE(OFFSET($H$3,0,0,'Données projet'!$E$9+1,1))</f>
        <v>222.18341301864729</v>
      </c>
      <c r="T157" s="62">
        <f t="shared" si="142"/>
        <v>172.63628480089358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52.717584453578532</v>
      </c>
      <c r="AA157" s="23">
        <f>EXP(-LN(2)/25)*AA156+(1-EXP(-LN(2)/25))/(LN(2)/25)*Calculateur!V157*Calculateur!X157*VLOOKUP('Données projet'!$B$9,Paramètres!$A$1:$I$88,3,0)*0.475*44/12</f>
        <v>13.991368427149819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66.708952880728347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projet'!$B$10,Paramètres!$A$1:$I$88,3,0)*VLOOKUP('Données projet'!$B$10,Paramètres!$A$1:$I$88,5,0)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82.840015321739202</v>
      </c>
      <c r="AO157" s="62">
        <f t="shared" si="144"/>
        <v>101.40622074610098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11.850304197645974</v>
      </c>
      <c r="AV157" s="23">
        <f>EXP(-LN(2)/25)*AV156+(1-EXP(-LN(2)/25))/(LN(2)/25)*Calculateur!AQ157*Calculateur!AS157*VLOOKUP('Données projet'!$B$10,Paramètres!$A$1:$I$88,3,0)*0.475*44/12</f>
        <v>2.9090971613186829</v>
      </c>
      <c r="AW157" s="23">
        <f>EXP(-LN(2)/2)*AW156+(1-EXP(-LN(2)/2))/(LN(2)/2)*AQ157*AT157*VLOOKUP('Données projet'!$B$10,Paramètres!$A$1:$I$88,3,0)*0.475*44/12</f>
        <v>0</v>
      </c>
      <c r="AX157" s="23">
        <f t="shared" si="166"/>
        <v>14.759401358964656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169.99999999999983</v>
      </c>
      <c r="BE157" s="14">
        <f>BD157*VLOOKUP('Données projet'!$B$11,Paramètres!$A$1:$I$88,3,0)*VLOOKUP('Données projet'!$B$11,Paramètres!$A$1:$I$88,5,0)</f>
        <v>101.65999999999991</v>
      </c>
      <c r="BF157" s="14">
        <f t="shared" si="167"/>
        <v>27.357089923704745</v>
      </c>
      <c r="BG157" s="22">
        <f t="shared" si="168"/>
        <v>224.70476495045224</v>
      </c>
      <c r="BH157" s="62">
        <f t="shared" si="116"/>
        <v>518.03809828378553</v>
      </c>
      <c r="BI157" s="62">
        <f ca="1">AVERAGE(OFFSET($BH$3,0,0,'Données projet'!$E$11+1,1))-AVERAGE(OFFSET($H$3,0,0,'Données projet'!$E$11+1,1))</f>
        <v>83.354474428753292</v>
      </c>
      <c r="BJ157" s="62">
        <f t="shared" si="146"/>
        <v>97.75861379589162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1.9977591348436596</v>
      </c>
      <c r="BQ157" s="23">
        <f>EXP(-LN(2)/25)*BQ156+(1-EXP(-LN(2)/25))/(LN(2)/25)*Calculateur!BL157*Calculateur!BN157*VLOOKUP('Données projet'!$B$11,Paramètres!$A$1:$I$88,3,0)*0.475*44/12</f>
        <v>0.86065275220458848</v>
      </c>
      <c r="BR157" s="23">
        <f>EXP(-LN(2)/2)*BR156+(1-EXP(-LN(2)/2))/(LN(2)/2)*BL157*BO157*VLOOKUP('Données projet'!$B$11,Paramètres!$A$1:$I$88,3,0)*0.475*44/12</f>
        <v>0</v>
      </c>
      <c r="BS157" s="24">
        <f t="shared" si="169"/>
        <v>2.858411887048248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projet'!$B$12,Paramètres!$A$1:$I$88,3,0)*0.475*44/12</f>
        <v>#N/A</v>
      </c>
      <c r="CL157" s="23" t="e">
        <f>EXP(-LN(2)/25)*CL156+(1-EXP(-LN(2)/25))/(LN(2)/25)*Calculateur!CG157*Calculateur!CI157*VLOOKUP('Données projet'!$B$12,Paramètres!$A$1:$I$88,3,0)*0.475*44/12</f>
        <v>#N/A</v>
      </c>
      <c r="CM157" s="23" t="e">
        <f>EXP(-LN(2)/2)*CM156+(1-EXP(-LN(2)/2))/(LN(2)/2)*CG157*CJ157*VLOOKUP('Données projet'!$B$12,Paramètres!$A$1:$I$88,3,0)*0.475*44/12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113.64599999999962</v>
      </c>
      <c r="D158" s="12">
        <f t="shared" si="140"/>
        <v>30.188373581400619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1110.3004276458964</v>
      </c>
      <c r="H158" s="70">
        <f t="shared" si="110"/>
        <v>543.84486732093865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2.8421709430404007E-13</v>
      </c>
      <c r="O158" s="14">
        <f>N158*VLOOKUP('Données projet'!$B$9,Paramètres!$A$1:$I$88,3,0)*VLOOKUP('Données projet'!$B$9,Paramètres!$A$1:$I$88,5,0)</f>
        <v>1.588773557159584E-13</v>
      </c>
      <c r="P158" s="14">
        <f t="shared" si="141"/>
        <v>2.2615721672198623E-12</v>
      </c>
      <c r="Q158" s="22">
        <f t="shared" si="162"/>
        <v>4.2156162524465543E-12</v>
      </c>
      <c r="R158" s="62">
        <f t="shared" si="109"/>
        <v>293.33333333333752</v>
      </c>
      <c r="S158" s="62">
        <f ca="1">AVERAGE(OFFSET($R$3,0,0,'Données projet'!$E$9+1,1))-AVERAGE(OFFSET($H$3,0,0,'Données projet'!$E$9+1,1))</f>
        <v>222.18341301864729</v>
      </c>
      <c r="T158" s="62">
        <f t="shared" si="142"/>
        <v>172.63628480089358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51.683824776995372</v>
      </c>
      <c r="AA158" s="23">
        <f>EXP(-LN(2)/25)*AA157+(1-EXP(-LN(2)/25))/(LN(2)/25)*Calculateur!V158*Calculateur!X158*VLOOKUP('Données projet'!$B$9,Paramètres!$A$1:$I$88,3,0)*0.475*44/12</f>
        <v>13.60877372173532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65.292598498730698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projet'!$B$10,Paramètres!$A$1:$I$88,3,0)*VLOOKUP('Données projet'!$B$10,Paramètres!$A$1:$I$88,5,0)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82.840015321739202</v>
      </c>
      <c r="AO158" s="62">
        <f t="shared" si="144"/>
        <v>101.40622074610098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11.617926960301993</v>
      </c>
      <c r="AV158" s="23">
        <f>EXP(-LN(2)/25)*AV157+(1-EXP(-LN(2)/25))/(LN(2)/25)*Calculateur!AQ158*Calculateur!AS158*VLOOKUP('Données projet'!$B$10,Paramètres!$A$1:$I$88,3,0)*0.475*44/12</f>
        <v>2.8295477464596526</v>
      </c>
      <c r="AW158" s="23">
        <f>EXP(-LN(2)/2)*AW157+(1-EXP(-LN(2)/2))/(LN(2)/2)*AQ158*AT158*VLOOKUP('Données projet'!$B$10,Paramètres!$A$1:$I$88,3,0)*0.475*44/12</f>
        <v>0</v>
      </c>
      <c r="AX158" s="23">
        <f t="shared" si="166"/>
        <v>14.447474706761646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169.99999999999983</v>
      </c>
      <c r="BE158" s="14">
        <f>BD158*VLOOKUP('Données projet'!$B$11,Paramètres!$A$1:$I$88,3,0)*VLOOKUP('Données projet'!$B$11,Paramètres!$A$1:$I$88,5,0)</f>
        <v>101.65999999999991</v>
      </c>
      <c r="BF158" s="14">
        <f t="shared" si="167"/>
        <v>27.357089923704745</v>
      </c>
      <c r="BG158" s="22">
        <f t="shared" si="168"/>
        <v>224.70476495045224</v>
      </c>
      <c r="BH158" s="62">
        <f t="shared" si="116"/>
        <v>518.03809828378553</v>
      </c>
      <c r="BI158" s="62">
        <f ca="1">AVERAGE(OFFSET($BH$3,0,0,'Données projet'!$E$11+1,1))-AVERAGE(OFFSET($H$3,0,0,'Données projet'!$E$11+1,1))</f>
        <v>83.354474428753292</v>
      </c>
      <c r="BJ158" s="62">
        <f t="shared" si="146"/>
        <v>97.75861379589162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1.9585842967221296</v>
      </c>
      <c r="BQ158" s="23">
        <f>EXP(-LN(2)/25)*BQ157+(1-EXP(-LN(2)/25))/(LN(2)/25)*Calculateur!BL158*Calculateur!BN158*VLOOKUP('Données projet'!$B$11,Paramètres!$A$1:$I$88,3,0)*0.475*44/12</f>
        <v>0.83711815743579276</v>
      </c>
      <c r="BR158" s="23">
        <f>EXP(-LN(2)/2)*BR157+(1-EXP(-LN(2)/2))/(LN(2)/2)*BL158*BO158*VLOOKUP('Données projet'!$B$11,Paramètres!$A$1:$I$88,3,0)*0.475*44/12</f>
        <v>0</v>
      </c>
      <c r="BS158" s="24">
        <f t="shared" si="169"/>
        <v>2.7957024541579223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projet'!$B$12,Paramètres!$A$1:$I$88,3,0)*0.475*44/12</f>
        <v>#N/A</v>
      </c>
      <c r="CL158" s="23" t="e">
        <f>EXP(-LN(2)/25)*CL157+(1-EXP(-LN(2)/25))/(LN(2)/25)*Calculateur!CG158*Calculateur!CI158*VLOOKUP('Données projet'!$B$12,Paramètres!$A$1:$I$88,3,0)*0.475*44/12</f>
        <v>#N/A</v>
      </c>
      <c r="CM158" s="23" t="e">
        <f>EXP(-LN(2)/2)*CM157+(1-EXP(-LN(2)/2))/(LN(2)/2)*CG158*CJ158*VLOOKUP('Données projet'!$B$12,Paramètres!$A$1:$I$88,3,0)*0.475*44/12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114.37919999999961</v>
      </c>
      <c r="D159" s="12">
        <f t="shared" si="140"/>
        <v>30.360402323573442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1117.2881582872308</v>
      </c>
      <c r="H159" s="70">
        <f t="shared" si="110"/>
        <v>545.42147404688967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2.8421709430404007E-13</v>
      </c>
      <c r="O159" s="14">
        <f>N159*VLOOKUP('Données projet'!$B$9,Paramètres!$A$1:$I$88,3,0)*VLOOKUP('Données projet'!$B$9,Paramètres!$A$1:$I$88,5,0)</f>
        <v>1.588773557159584E-13</v>
      </c>
      <c r="P159" s="14">
        <f t="shared" si="141"/>
        <v>2.2615721672198623E-12</v>
      </c>
      <c r="Q159" s="22">
        <f t="shared" si="162"/>
        <v>4.2156162524465543E-12</v>
      </c>
      <c r="R159" s="62">
        <f t="shared" si="109"/>
        <v>293.33333333333752</v>
      </c>
      <c r="S159" s="62">
        <f ca="1">AVERAGE(OFFSET($R$3,0,0,'Données projet'!$E$9+1,1))-AVERAGE(OFFSET($H$3,0,0,'Données projet'!$E$9+1,1))</f>
        <v>222.18341301864729</v>
      </c>
      <c r="T159" s="62">
        <f t="shared" si="142"/>
        <v>172.63628480089358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50.670336497138869</v>
      </c>
      <c r="AA159" s="23">
        <f>EXP(-LN(2)/25)*AA158+(1-EXP(-LN(2)/25))/(LN(2)/25)*Calculateur!V159*Calculateur!X159*VLOOKUP('Données projet'!$B$9,Paramètres!$A$1:$I$88,3,0)*0.475*44/12</f>
        <v>13.236641088660161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63.906977585799027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projet'!$B$10,Paramètres!$A$1:$I$88,3,0)*VLOOKUP('Données projet'!$B$10,Paramètres!$A$1:$I$88,5,0)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82.840015321739202</v>
      </c>
      <c r="AO159" s="62">
        <f t="shared" si="144"/>
        <v>101.40622074610098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11.39010649884621</v>
      </c>
      <c r="AV159" s="23">
        <f>EXP(-LN(2)/25)*AV158+(1-EXP(-LN(2)/25))/(LN(2)/25)*Calculateur!AQ159*Calculateur!AS159*VLOOKUP('Données projet'!$B$10,Paramètres!$A$1:$I$88,3,0)*0.475*44/12</f>
        <v>2.7521736145332643</v>
      </c>
      <c r="AW159" s="23">
        <f>EXP(-LN(2)/2)*AW158+(1-EXP(-LN(2)/2))/(LN(2)/2)*AQ159*AT159*VLOOKUP('Données projet'!$B$10,Paramètres!$A$1:$I$88,3,0)*0.475*44/12</f>
        <v>0</v>
      </c>
      <c r="AX159" s="23">
        <f t="shared" si="166"/>
        <v>14.142280113379474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169.99999999999983</v>
      </c>
      <c r="BE159" s="14">
        <f>BD159*VLOOKUP('Données projet'!$B$11,Paramètres!$A$1:$I$88,3,0)*VLOOKUP('Données projet'!$B$11,Paramètres!$A$1:$I$88,5,0)</f>
        <v>101.65999999999991</v>
      </c>
      <c r="BF159" s="14">
        <f t="shared" si="167"/>
        <v>27.357089923704745</v>
      </c>
      <c r="BG159" s="22">
        <f t="shared" si="168"/>
        <v>224.70476495045224</v>
      </c>
      <c r="BH159" s="62">
        <f t="shared" si="116"/>
        <v>518.03809828378553</v>
      </c>
      <c r="BI159" s="62">
        <f ca="1">AVERAGE(OFFSET($BH$3,0,0,'Données projet'!$E$11+1,1))-AVERAGE(OFFSET($H$3,0,0,'Données projet'!$E$11+1,1))</f>
        <v>83.354474428753292</v>
      </c>
      <c r="BJ159" s="62">
        <f t="shared" si="146"/>
        <v>97.75861379589162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1.9201776532818708</v>
      </c>
      <c r="BQ159" s="23">
        <f>EXP(-LN(2)/25)*BQ158+(1-EXP(-LN(2)/25))/(LN(2)/25)*Calculateur!BL159*Calculateur!BN159*VLOOKUP('Données projet'!$B$11,Paramètres!$A$1:$I$88,3,0)*0.475*44/12</f>
        <v>0.81422711739858034</v>
      </c>
      <c r="BR159" s="23">
        <f>EXP(-LN(2)/2)*BR158+(1-EXP(-LN(2)/2))/(LN(2)/2)*BL159*BO159*VLOOKUP('Données projet'!$B$11,Paramètres!$A$1:$I$88,3,0)*0.475*44/12</f>
        <v>0</v>
      </c>
      <c r="BS159" s="24">
        <f t="shared" si="169"/>
        <v>2.7344047706804511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projet'!$B$12,Paramètres!$A$1:$I$88,3,0)*0.475*44/12</f>
        <v>#N/A</v>
      </c>
      <c r="CL159" s="23" t="e">
        <f>EXP(-LN(2)/25)*CL158+(1-EXP(-LN(2)/25))/(LN(2)/25)*Calculateur!CG159*Calculateur!CI159*VLOOKUP('Données projet'!$B$12,Paramètres!$A$1:$I$88,3,0)*0.475*44/12</f>
        <v>#N/A</v>
      </c>
      <c r="CM159" s="23" t="e">
        <f>EXP(-LN(2)/2)*CM158+(1-EXP(-LN(2)/2))/(LN(2)/2)*CG159*CJ159*VLOOKUP('Données projet'!$B$12,Paramètres!$A$1:$I$88,3,0)*0.475*44/12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115.11239999999961</v>
      </c>
      <c r="D160" s="12">
        <f t="shared" si="140"/>
        <v>30.532302752785306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1124.2748984425502</v>
      </c>
      <c r="H160" s="70">
        <f t="shared" si="110"/>
        <v>546.99785729443374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2.8421709430404007E-13</v>
      </c>
      <c r="O160" s="14">
        <f>N160*VLOOKUP('Données projet'!$B$9,Paramètres!$A$1:$I$88,3,0)*VLOOKUP('Données projet'!$B$9,Paramètres!$A$1:$I$88,5,0)</f>
        <v>1.588773557159584E-13</v>
      </c>
      <c r="P160" s="14">
        <f t="shared" si="141"/>
        <v>2.2615721672198623E-12</v>
      </c>
      <c r="Q160" s="22">
        <f t="shared" si="162"/>
        <v>4.2156162524465543E-12</v>
      </c>
      <c r="R160" s="62">
        <f t="shared" si="109"/>
        <v>293.33333333333752</v>
      </c>
      <c r="S160" s="62">
        <f ca="1">AVERAGE(OFFSET($R$3,0,0,'Données projet'!$E$9+1,1))-AVERAGE(OFFSET($H$3,0,0,'Données projet'!$E$9+1,1))</f>
        <v>222.18341301864729</v>
      </c>
      <c r="T160" s="62">
        <f t="shared" si="142"/>
        <v>172.63628480089358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49.676722104283542</v>
      </c>
      <c r="AA160" s="23">
        <f>EXP(-LN(2)/25)*AA159+(1-EXP(-LN(2)/25))/(LN(2)/25)*Calculateur!V160*Calculateur!X160*VLOOKUP('Données projet'!$B$9,Paramètres!$A$1:$I$88,3,0)*0.475*44/12</f>
        <v>12.874684442006046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62.551406546289584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projet'!$B$10,Paramètres!$A$1:$I$88,3,0)*VLOOKUP('Données projet'!$B$10,Paramètres!$A$1:$I$88,5,0)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82.840015321739202</v>
      </c>
      <c r="AO160" s="62">
        <f t="shared" si="144"/>
        <v>101.40622074610098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11.166753457682812</v>
      </c>
      <c r="AV160" s="23">
        <f>EXP(-LN(2)/25)*AV159+(1-EXP(-LN(2)/25))/(LN(2)/25)*Calculateur!AQ160*Calculateur!AS160*VLOOKUP('Données projet'!$B$10,Paramètres!$A$1:$I$88,3,0)*0.475*44/12</f>
        <v>2.676915282313332</v>
      </c>
      <c r="AW160" s="23">
        <f>EXP(-LN(2)/2)*AW159+(1-EXP(-LN(2)/2))/(LN(2)/2)*AQ160*AT160*VLOOKUP('Données projet'!$B$10,Paramètres!$A$1:$I$88,3,0)*0.475*44/12</f>
        <v>0</v>
      </c>
      <c r="AX160" s="23">
        <f t="shared" si="166"/>
        <v>13.843668739996144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169.99999999999983</v>
      </c>
      <c r="BE160" s="14">
        <f>BD160*VLOOKUP('Données projet'!$B$11,Paramètres!$A$1:$I$88,3,0)*VLOOKUP('Données projet'!$B$11,Paramètres!$A$1:$I$88,5,0)</f>
        <v>101.65999999999991</v>
      </c>
      <c r="BF160" s="14">
        <f t="shared" si="167"/>
        <v>27.357089923704745</v>
      </c>
      <c r="BG160" s="22">
        <f t="shared" si="168"/>
        <v>224.70476495045224</v>
      </c>
      <c r="BH160" s="62">
        <f t="shared" si="116"/>
        <v>518.03809828378553</v>
      </c>
      <c r="BI160" s="62">
        <f ca="1">AVERAGE(OFFSET($BH$3,0,0,'Données projet'!$E$11+1,1))-AVERAGE(OFFSET($H$3,0,0,'Données projet'!$E$11+1,1))</f>
        <v>83.354474428753292</v>
      </c>
      <c r="BJ160" s="62">
        <f t="shared" si="146"/>
        <v>97.75861379589162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1.8825241406937361</v>
      </c>
      <c r="BQ160" s="23">
        <f>EXP(-LN(2)/25)*BQ159+(1-EXP(-LN(2)/25))/(LN(2)/25)*Calculateur!BL160*Calculateur!BN160*VLOOKUP('Données projet'!$B$11,Paramètres!$A$1:$I$88,3,0)*0.475*44/12</f>
        <v>0.79196203405497301</v>
      </c>
      <c r="BR160" s="23">
        <f>EXP(-LN(2)/2)*BR159+(1-EXP(-LN(2)/2))/(LN(2)/2)*BL160*BO160*VLOOKUP('Données projet'!$B$11,Paramètres!$A$1:$I$88,3,0)*0.475*44/12</f>
        <v>0</v>
      </c>
      <c r="BS160" s="24">
        <f t="shared" si="169"/>
        <v>2.6744861747487092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projet'!$B$12,Paramètres!$A$1:$I$88,3,0)*0.475*44/12</f>
        <v>#N/A</v>
      </c>
      <c r="CL160" s="23" t="e">
        <f>EXP(-LN(2)/25)*CL159+(1-EXP(-LN(2)/25))/(LN(2)/25)*Calculateur!CG160*Calculateur!CI160*VLOOKUP('Données projet'!$B$12,Paramètres!$A$1:$I$88,3,0)*0.475*44/12</f>
        <v>#N/A</v>
      </c>
      <c r="CM160" s="23" t="e">
        <f>EXP(-LN(2)/2)*CM159+(1-EXP(-LN(2)/2))/(LN(2)/2)*CG160*CJ160*VLOOKUP('Données projet'!$B$12,Paramètres!$A$1:$I$88,3,0)*0.475*44/12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115.84559999999961</v>
      </c>
      <c r="D161" s="12">
        <f t="shared" si="140"/>
        <v>30.704075781121787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1131.2606551525159</v>
      </c>
      <c r="H161" s="70">
        <f t="shared" si="110"/>
        <v>548.57401865211966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2.8421709430404007E-13</v>
      </c>
      <c r="O161" s="14">
        <f>N161*VLOOKUP('Données projet'!$B$9,Paramètres!$A$1:$I$88,3,0)*VLOOKUP('Données projet'!$B$9,Paramètres!$A$1:$I$88,5,0)</f>
        <v>1.588773557159584E-13</v>
      </c>
      <c r="P161" s="14">
        <f t="shared" si="141"/>
        <v>2.2615721672198623E-12</v>
      </c>
      <c r="Q161" s="22">
        <f t="shared" si="162"/>
        <v>4.2156162524465543E-12</v>
      </c>
      <c r="R161" s="62">
        <f t="shared" si="109"/>
        <v>293.33333333333752</v>
      </c>
      <c r="S161" s="62">
        <f ca="1">AVERAGE(OFFSET($R$3,0,0,'Données projet'!$E$9+1,1))-AVERAGE(OFFSET($H$3,0,0,'Données projet'!$E$9+1,1))</f>
        <v>222.18341301864729</v>
      </c>
      <c r="T161" s="62">
        <f t="shared" si="142"/>
        <v>172.63628480089358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48.702591883627164</v>
      </c>
      <c r="AA161" s="23">
        <f>EXP(-LN(2)/25)*AA160+(1-EXP(-LN(2)/25))/(LN(2)/25)*Calculateur!V161*Calculateur!X161*VLOOKUP('Données projet'!$B$9,Paramètres!$A$1:$I$88,3,0)*0.475*44/12</f>
        <v>12.522625518889162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61.225217402516328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projet'!$B$10,Paramètres!$A$1:$I$88,3,0)*VLOOKUP('Données projet'!$B$10,Paramètres!$A$1:$I$88,5,0)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82.840015321739202</v>
      </c>
      <c r="AO161" s="62">
        <f t="shared" si="144"/>
        <v>101.40622074610098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10.947780233424727</v>
      </c>
      <c r="AV161" s="23">
        <f>EXP(-LN(2)/25)*AV160+(1-EXP(-LN(2)/25))/(LN(2)/25)*Calculateur!AQ161*Calculateur!AS161*VLOOKUP('Données projet'!$B$10,Paramètres!$A$1:$I$88,3,0)*0.475*44/12</f>
        <v>2.6037148931456175</v>
      </c>
      <c r="AW161" s="23">
        <f>EXP(-LN(2)/2)*AW160+(1-EXP(-LN(2)/2))/(LN(2)/2)*AQ161*AT161*VLOOKUP('Données projet'!$B$10,Paramètres!$A$1:$I$88,3,0)*0.475*44/12</f>
        <v>0</v>
      </c>
      <c r="AX161" s="23">
        <f t="shared" si="166"/>
        <v>13.551495126570344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169.99999999999983</v>
      </c>
      <c r="BE161" s="14">
        <f>BD161*VLOOKUP('Données projet'!$B$11,Paramètres!$A$1:$I$88,3,0)*VLOOKUP('Données projet'!$B$11,Paramètres!$A$1:$I$88,5,0)</f>
        <v>101.65999999999991</v>
      </c>
      <c r="BF161" s="14">
        <f t="shared" si="167"/>
        <v>27.357089923704745</v>
      </c>
      <c r="BG161" s="22">
        <f t="shared" si="168"/>
        <v>224.70476495045224</v>
      </c>
      <c r="BH161" s="62">
        <f t="shared" si="116"/>
        <v>518.03809828378553</v>
      </c>
      <c r="BI161" s="62">
        <f ca="1">AVERAGE(OFFSET($BH$3,0,0,'Données projet'!$E$11+1,1))-AVERAGE(OFFSET($H$3,0,0,'Données projet'!$E$11+1,1))</f>
        <v>83.354474428753292</v>
      </c>
      <c r="BJ161" s="62">
        <f t="shared" si="146"/>
        <v>97.75861379589162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1.8456089905210797</v>
      </c>
      <c r="BQ161" s="23">
        <f>EXP(-LN(2)/25)*BQ160+(1-EXP(-LN(2)/25))/(LN(2)/25)*Calculateur!BL161*Calculateur!BN161*VLOOKUP('Données projet'!$B$11,Paramètres!$A$1:$I$88,3,0)*0.475*44/12</f>
        <v>0.77030579058626647</v>
      </c>
      <c r="BR161" s="23">
        <f>EXP(-LN(2)/2)*BR160+(1-EXP(-LN(2)/2))/(LN(2)/2)*BL161*BO161*VLOOKUP('Données projet'!$B$11,Paramètres!$A$1:$I$88,3,0)*0.475*44/12</f>
        <v>0</v>
      </c>
      <c r="BS161" s="24">
        <f t="shared" si="169"/>
        <v>2.615914781107346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projet'!$B$12,Paramètres!$A$1:$I$88,3,0)*0.475*44/12</f>
        <v>#N/A</v>
      </c>
      <c r="CL161" s="23" t="e">
        <f>EXP(-LN(2)/25)*CL160+(1-EXP(-LN(2)/25))/(LN(2)/25)*Calculateur!CG161*Calculateur!CI161*VLOOKUP('Données projet'!$B$12,Paramètres!$A$1:$I$88,3,0)*0.475*44/12</f>
        <v>#N/A</v>
      </c>
      <c r="CM161" s="23" t="e">
        <f>EXP(-LN(2)/2)*CM160+(1-EXP(-LN(2)/2))/(LN(2)/2)*CG161*CJ161*VLOOKUP('Données projet'!$B$12,Paramètres!$A$1:$I$88,3,0)*0.475*44/12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116.5787999999996</v>
      </c>
      <c r="D162" s="12">
        <f t="shared" si="140"/>
        <v>30.875722308455476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1138.2454353635128</v>
      </c>
      <c r="H162" s="70">
        <f t="shared" si="110"/>
        <v>550.14995968722587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2.8421709430404007E-13</v>
      </c>
      <c r="O162" s="14">
        <f>N162*VLOOKUP('Données projet'!$B$9,Paramètres!$A$1:$I$88,3,0)*VLOOKUP('Données projet'!$B$9,Paramètres!$A$1:$I$88,5,0)</f>
        <v>1.588773557159584E-13</v>
      </c>
      <c r="P162" s="14">
        <f t="shared" si="141"/>
        <v>2.2615721672198623E-12</v>
      </c>
      <c r="Q162" s="22">
        <f t="shared" si="162"/>
        <v>4.2156162524465543E-12</v>
      </c>
      <c r="R162" s="62">
        <f t="shared" si="109"/>
        <v>293.33333333333752</v>
      </c>
      <c r="S162" s="62">
        <f ca="1">AVERAGE(OFFSET($R$3,0,0,'Données projet'!$E$9+1,1))-AVERAGE(OFFSET($H$3,0,0,'Données projet'!$E$9+1,1))</f>
        <v>222.18341301864729</v>
      </c>
      <c r="T162" s="62">
        <f t="shared" si="142"/>
        <v>172.63628480089358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47.747563762437096</v>
      </c>
      <c r="AA162" s="23">
        <f>EXP(-LN(2)/25)*AA161+(1-EXP(-LN(2)/25))/(LN(2)/25)*Calculateur!V162*Calculateur!X162*VLOOKUP('Données projet'!$B$9,Paramètres!$A$1:$I$88,3,0)*0.475*44/12</f>
        <v>12.180193665538884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59.927757427975976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projet'!$B$10,Paramètres!$A$1:$I$88,3,0)*VLOOKUP('Données projet'!$B$10,Paramètres!$A$1:$I$88,5,0)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82.840015321739202</v>
      </c>
      <c r="AO162" s="62">
        <f t="shared" si="144"/>
        <v>101.40622074610098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10.733100940533863</v>
      </c>
      <c r="AV162" s="23">
        <f>EXP(-LN(2)/25)*AV161+(1-EXP(-LN(2)/25))/(LN(2)/25)*Calculateur!AQ162*Calculateur!AS162*VLOOKUP('Données projet'!$B$10,Paramètres!$A$1:$I$88,3,0)*0.475*44/12</f>
        <v>2.5325161724691352</v>
      </c>
      <c r="AW162" s="23">
        <f>EXP(-LN(2)/2)*AW161+(1-EXP(-LN(2)/2))/(LN(2)/2)*AQ162*AT162*VLOOKUP('Données projet'!$B$10,Paramètres!$A$1:$I$88,3,0)*0.475*44/12</f>
        <v>0</v>
      </c>
      <c r="AX162" s="23">
        <f t="shared" si="166"/>
        <v>13.265617113002998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169.99999999999983</v>
      </c>
      <c r="BE162" s="14">
        <f>BD162*VLOOKUP('Données projet'!$B$11,Paramètres!$A$1:$I$88,3,0)*VLOOKUP('Données projet'!$B$11,Paramètres!$A$1:$I$88,5,0)</f>
        <v>101.65999999999991</v>
      </c>
      <c r="BF162" s="14">
        <f t="shared" si="167"/>
        <v>27.357089923704745</v>
      </c>
      <c r="BG162" s="22">
        <f t="shared" si="168"/>
        <v>224.70476495045224</v>
      </c>
      <c r="BH162" s="62">
        <f t="shared" si="116"/>
        <v>518.03809828378553</v>
      </c>
      <c r="BI162" s="62">
        <f ca="1">AVERAGE(OFFSET($BH$3,0,0,'Données projet'!$E$11+1,1))-AVERAGE(OFFSET($H$3,0,0,'Données projet'!$E$11+1,1))</f>
        <v>83.354474428753292</v>
      </c>
      <c r="BJ162" s="62">
        <f t="shared" si="146"/>
        <v>97.75861379589162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1.8094177239272908</v>
      </c>
      <c r="BQ162" s="23">
        <f>EXP(-LN(2)/25)*BQ161+(1-EXP(-LN(2)/25))/(LN(2)/25)*Calculateur!BL162*Calculateur!BN162*VLOOKUP('Données projet'!$B$11,Paramètres!$A$1:$I$88,3,0)*0.475*44/12</f>
        <v>0.74924173823406404</v>
      </c>
      <c r="BR162" s="23">
        <f>EXP(-LN(2)/2)*BR161+(1-EXP(-LN(2)/2))/(LN(2)/2)*BL162*BO162*VLOOKUP('Données projet'!$B$11,Paramètres!$A$1:$I$88,3,0)*0.475*44/12</f>
        <v>0</v>
      </c>
      <c r="BS162" s="24">
        <f t="shared" si="169"/>
        <v>2.558659462161355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projet'!$B$12,Paramètres!$A$1:$I$88,3,0)*0.475*44/12</f>
        <v>#N/A</v>
      </c>
      <c r="CL162" s="23" t="e">
        <f>EXP(-LN(2)/25)*CL161+(1-EXP(-LN(2)/25))/(LN(2)/25)*Calculateur!CG162*Calculateur!CI162*VLOOKUP('Données projet'!$B$12,Paramètres!$A$1:$I$88,3,0)*0.475*44/12</f>
        <v>#N/A</v>
      </c>
      <c r="CM162" s="23" t="e">
        <f>EXP(-LN(2)/2)*CM161+(1-EXP(-LN(2)/2))/(LN(2)/2)*CG162*CJ162*VLOOKUP('Données projet'!$B$12,Paramètres!$A$1:$I$88,3,0)*0.475*44/12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117.3119999999996</v>
      </c>
      <c r="D163" s="12">
        <f t="shared" si="140"/>
        <v>31.047243222685147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1145.2292459294963</v>
      </c>
      <c r="H163" s="70">
        <f t="shared" si="110"/>
        <v>551.72568194617588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2.8421709430404007E-13</v>
      </c>
      <c r="O163" s="14">
        <f>N163*VLOOKUP('Données projet'!$B$9,Paramètres!$A$1:$I$88,3,0)*VLOOKUP('Données projet'!$B$9,Paramètres!$A$1:$I$88,5,0)</f>
        <v>1.588773557159584E-13</v>
      </c>
      <c r="P163" s="14">
        <f t="shared" si="141"/>
        <v>2.2615721672198623E-12</v>
      </c>
      <c r="Q163" s="22">
        <f t="shared" si="162"/>
        <v>4.2156162524465543E-12</v>
      </c>
      <c r="R163" s="62">
        <f t="shared" si="109"/>
        <v>293.33333333333752</v>
      </c>
      <c r="S163" s="62">
        <f ca="1">AVERAGE(OFFSET($R$3,0,0,'Données projet'!$E$9+1,1))-AVERAGE(OFFSET($H$3,0,0,'Données projet'!$E$9+1,1))</f>
        <v>222.18341301864729</v>
      </c>
      <c r="T163" s="62">
        <f t="shared" si="142"/>
        <v>172.63628480089358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46.811263160193931</v>
      </c>
      <c r="AA163" s="23">
        <f>EXP(-LN(2)/25)*AA162+(1-EXP(-LN(2)/25))/(LN(2)/25)*Calculateur!V163*Calculateur!X163*VLOOKUP('Données projet'!$B$9,Paramètres!$A$1:$I$88,3,0)*0.475*44/12</f>
        <v>11.847125629226175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58.658388789420108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projet'!$B$10,Paramètres!$A$1:$I$88,3,0)*VLOOKUP('Données projet'!$B$10,Paramètres!$A$1:$I$88,5,0)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82.840015321739202</v>
      </c>
      <c r="AO163" s="62">
        <f t="shared" si="144"/>
        <v>101.40622074610098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10.52263137763515</v>
      </c>
      <c r="AV163" s="23">
        <f>EXP(-LN(2)/25)*AV162+(1-EXP(-LN(2)/25))/(LN(2)/25)*Calculateur!AQ163*Calculateur!AS163*VLOOKUP('Données projet'!$B$10,Paramètres!$A$1:$I$88,3,0)*0.475*44/12</f>
        <v>2.4632643845537294</v>
      </c>
      <c r="AW163" s="23">
        <f>EXP(-LN(2)/2)*AW162+(1-EXP(-LN(2)/2))/(LN(2)/2)*AQ163*AT163*VLOOKUP('Données projet'!$B$10,Paramètres!$A$1:$I$88,3,0)*0.475*44/12</f>
        <v>0</v>
      </c>
      <c r="AX163" s="23">
        <f t="shared" si="166"/>
        <v>12.98589576218888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169.99999999999983</v>
      </c>
      <c r="BE163" s="14">
        <f>BD163*VLOOKUP('Données projet'!$B$11,Paramètres!$A$1:$I$88,3,0)*VLOOKUP('Données projet'!$B$11,Paramètres!$A$1:$I$88,5,0)</f>
        <v>101.65999999999991</v>
      </c>
      <c r="BF163" s="14">
        <f t="shared" si="167"/>
        <v>27.357089923704745</v>
      </c>
      <c r="BG163" s="22">
        <f t="shared" si="168"/>
        <v>224.70476495045224</v>
      </c>
      <c r="BH163" s="62">
        <f t="shared" si="116"/>
        <v>518.03809828378553</v>
      </c>
      <c r="BI163" s="62">
        <f ca="1">AVERAGE(OFFSET($BH$3,0,0,'Données projet'!$E$11+1,1))-AVERAGE(OFFSET($H$3,0,0,'Données projet'!$E$11+1,1))</f>
        <v>83.354474428753292</v>
      </c>
      <c r="BJ163" s="62">
        <f t="shared" si="146"/>
        <v>97.75861379589162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1.7739361459969132</v>
      </c>
      <c r="BQ163" s="23">
        <f>EXP(-LN(2)/25)*BQ162+(1-EXP(-LN(2)/25))/(LN(2)/25)*Calculateur!BL163*Calculateur!BN163*VLOOKUP('Données projet'!$B$11,Paramètres!$A$1:$I$88,3,0)*0.475*44/12</f>
        <v>0.728753683501143</v>
      </c>
      <c r="BR163" s="23">
        <f>EXP(-LN(2)/2)*BR162+(1-EXP(-LN(2)/2))/(LN(2)/2)*BL163*BO163*VLOOKUP('Données projet'!$B$11,Paramètres!$A$1:$I$88,3,0)*0.475*44/12</f>
        <v>0</v>
      </c>
      <c r="BS163" s="24">
        <f t="shared" si="169"/>
        <v>2.5026898294980562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projet'!$B$12,Paramètres!$A$1:$I$88,3,0)*0.475*44/12</f>
        <v>#N/A</v>
      </c>
      <c r="CL163" s="23" t="e">
        <f>EXP(-LN(2)/25)*CL162+(1-EXP(-LN(2)/25))/(LN(2)/25)*Calculateur!CG163*Calculateur!CI163*VLOOKUP('Données projet'!$B$12,Paramètres!$A$1:$I$88,3,0)*0.475*44/12</f>
        <v>#N/A</v>
      </c>
      <c r="CM163" s="23" t="e">
        <f>EXP(-LN(2)/2)*CM162+(1-EXP(-LN(2)/2))/(LN(2)/2)*CG163*CJ163*VLOOKUP('Données projet'!$B$12,Paramètres!$A$1:$I$88,3,0)*0.475*44/12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118.0451999999996</v>
      </c>
      <c r="D164" s="12">
        <f t="shared" si="140"/>
        <v>31.218639399968879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1152.2120936137917</v>
      </c>
      <c r="H164" s="70">
        <f t="shared" si="110"/>
        <v>553.30118695494502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2.8421709430404007E-13</v>
      </c>
      <c r="O164" s="14">
        <f>N164*VLOOKUP('Données projet'!$B$9,Paramètres!$A$1:$I$88,3,0)*VLOOKUP('Données projet'!$B$9,Paramètres!$A$1:$I$88,5,0)</f>
        <v>1.588773557159584E-13</v>
      </c>
      <c r="P164" s="14">
        <f t="shared" si="141"/>
        <v>2.2615721672198623E-12</v>
      </c>
      <c r="Q164" s="22">
        <f t="shared" si="162"/>
        <v>4.2156162524465543E-12</v>
      </c>
      <c r="R164" s="62">
        <f t="shared" si="109"/>
        <v>293.33333333333752</v>
      </c>
      <c r="S164" s="62">
        <f ca="1">AVERAGE(OFFSET($R$3,0,0,'Données projet'!$E$9+1,1))-AVERAGE(OFFSET($H$3,0,0,'Données projet'!$E$9+1,1))</f>
        <v>222.18341301864729</v>
      </c>
      <c r="T164" s="62">
        <f t="shared" si="142"/>
        <v>172.63628480089358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45.893322841673772</v>
      </c>
      <c r="AA164" s="23">
        <f>EXP(-LN(2)/25)*AA163+(1-EXP(-LN(2)/25))/(LN(2)/25)*Calculateur!V164*Calculateur!X164*VLOOKUP('Données projet'!$B$9,Paramètres!$A$1:$I$88,3,0)*0.475*44/12</f>
        <v>11.523165355881726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57.416488197555495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projet'!$B$10,Paramètres!$A$1:$I$88,3,0)*VLOOKUP('Données projet'!$B$10,Paramètres!$A$1:$I$88,5,0)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82.840015321739202</v>
      </c>
      <c r="AO164" s="62">
        <f t="shared" si="144"/>
        <v>101.40622074610098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10.316288994491124</v>
      </c>
      <c r="AV164" s="23">
        <f>EXP(-LN(2)/25)*AV163+(1-EXP(-LN(2)/25))/(LN(2)/25)*Calculateur!AQ164*Calculateur!AS164*VLOOKUP('Données projet'!$B$10,Paramètres!$A$1:$I$88,3,0)*0.475*44/12</f>
        <v>2.3959062904206636</v>
      </c>
      <c r="AW164" s="23">
        <f>EXP(-LN(2)/2)*AW163+(1-EXP(-LN(2)/2))/(LN(2)/2)*AQ164*AT164*VLOOKUP('Données projet'!$B$10,Paramètres!$A$1:$I$88,3,0)*0.475*44/12</f>
        <v>0</v>
      </c>
      <c r="AX164" s="23">
        <f t="shared" si="166"/>
        <v>12.712195284911788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169.99999999999983</v>
      </c>
      <c r="BE164" s="14">
        <f>BD164*VLOOKUP('Données projet'!$B$11,Paramètres!$A$1:$I$88,3,0)*VLOOKUP('Données projet'!$B$11,Paramètres!$A$1:$I$88,5,0)</f>
        <v>101.65999999999991</v>
      </c>
      <c r="BF164" s="14">
        <f t="shared" si="167"/>
        <v>27.357089923704745</v>
      </c>
      <c r="BG164" s="22">
        <f t="shared" si="168"/>
        <v>224.70476495045224</v>
      </c>
      <c r="BH164" s="62">
        <f t="shared" si="116"/>
        <v>518.03809828378553</v>
      </c>
      <c r="BI164" s="62">
        <f ca="1">AVERAGE(OFFSET($BH$3,0,0,'Données projet'!$E$11+1,1))-AVERAGE(OFFSET($H$3,0,0,'Données projet'!$E$11+1,1))</f>
        <v>83.354474428753292</v>
      </c>
      <c r="BJ164" s="62">
        <f t="shared" si="146"/>
        <v>97.75861379589162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1.7391503401681248</v>
      </c>
      <c r="BQ164" s="23">
        <f>EXP(-LN(2)/25)*BQ163+(1-EXP(-LN(2)/25))/(LN(2)/25)*Calculateur!BL164*Calculateur!BN164*VLOOKUP('Données projet'!$B$11,Paramètres!$A$1:$I$88,3,0)*0.475*44/12</f>
        <v>0.70882587570231359</v>
      </c>
      <c r="BR164" s="23">
        <f>EXP(-LN(2)/2)*BR163+(1-EXP(-LN(2)/2))/(LN(2)/2)*BL164*BO164*VLOOKUP('Données projet'!$B$11,Paramètres!$A$1:$I$88,3,0)*0.475*44/12</f>
        <v>0</v>
      </c>
      <c r="BS164" s="24">
        <f t="shared" si="169"/>
        <v>2.4479762158704386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projet'!$B$12,Paramètres!$A$1:$I$88,3,0)*0.475*44/12</f>
        <v>#N/A</v>
      </c>
      <c r="CL164" s="23" t="e">
        <f>EXP(-LN(2)/25)*CL163+(1-EXP(-LN(2)/25))/(LN(2)/25)*Calculateur!CG164*Calculateur!CI164*VLOOKUP('Données projet'!$B$12,Paramètres!$A$1:$I$88,3,0)*0.475*44/12</f>
        <v>#N/A</v>
      </c>
      <c r="CM164" s="23" t="e">
        <f>EXP(-LN(2)/2)*CM163+(1-EXP(-LN(2)/2))/(LN(2)/2)*CG164*CJ164*VLOOKUP('Données projet'!$B$12,Paramètres!$A$1:$I$88,3,0)*0.475*44/12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118.77839999999959</v>
      </c>
      <c r="D165" s="12">
        <f t="shared" si="140"/>
        <v>31.389911704951448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1159.19398509085</v>
      </c>
      <c r="H165" s="70">
        <f t="shared" si="110"/>
        <v>554.87647621945644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2.8421709430404007E-13</v>
      </c>
      <c r="O165" s="14">
        <f>N165*VLOOKUP('Données projet'!$B$9,Paramètres!$A$1:$I$88,3,0)*VLOOKUP('Données projet'!$B$9,Paramètres!$A$1:$I$88,5,0)</f>
        <v>1.588773557159584E-13</v>
      </c>
      <c r="P165" s="14">
        <f t="shared" si="141"/>
        <v>2.2615721672198623E-12</v>
      </c>
      <c r="Q165" s="22">
        <f t="shared" si="162"/>
        <v>4.2156162524465543E-12</v>
      </c>
      <c r="R165" s="62">
        <f t="shared" si="109"/>
        <v>293.33333333333752</v>
      </c>
      <c r="S165" s="62">
        <f ca="1">AVERAGE(OFFSET($R$3,0,0,'Données projet'!$E$9+1,1))-AVERAGE(OFFSET($H$3,0,0,'Données projet'!$E$9+1,1))</f>
        <v>222.18341301864729</v>
      </c>
      <c r="T165" s="62">
        <f t="shared" si="142"/>
        <v>172.63628480089358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44.993382772911488</v>
      </c>
      <c r="AA165" s="23">
        <f>EXP(-LN(2)/25)*AA164+(1-EXP(-LN(2)/25))/(LN(2)/25)*Calculateur!V165*Calculateur!X165*VLOOKUP('Données projet'!$B$9,Paramètres!$A$1:$I$88,3,0)*0.475*44/12</f>
        <v>11.208063793248211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56.201446566159703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projet'!$B$10,Paramètres!$A$1:$I$88,3,0)*VLOOKUP('Données projet'!$B$10,Paramètres!$A$1:$I$88,5,0)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82.840015321739202</v>
      </c>
      <c r="AO165" s="62">
        <f t="shared" si="144"/>
        <v>101.40622074610098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10.113992859624126</v>
      </c>
      <c r="AV165" s="23">
        <f>EXP(-LN(2)/25)*AV164+(1-EXP(-LN(2)/25))/(LN(2)/25)*Calculateur!AQ165*Calculateur!AS165*VLOOKUP('Données projet'!$B$10,Paramètres!$A$1:$I$88,3,0)*0.475*44/12</f>
        <v>2.3303901069138746</v>
      </c>
      <c r="AW165" s="23">
        <f>EXP(-LN(2)/2)*AW164+(1-EXP(-LN(2)/2))/(LN(2)/2)*AQ165*AT165*VLOOKUP('Données projet'!$B$10,Paramètres!$A$1:$I$88,3,0)*0.475*44/12</f>
        <v>0</v>
      </c>
      <c r="AX165" s="23">
        <f t="shared" si="166"/>
        <v>12.444382966538001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169.99999999999983</v>
      </c>
      <c r="BE165" s="14">
        <f>BD165*VLOOKUP('Données projet'!$B$11,Paramètres!$A$1:$I$88,3,0)*VLOOKUP('Données projet'!$B$11,Paramètres!$A$1:$I$88,5,0)</f>
        <v>101.65999999999991</v>
      </c>
      <c r="BF165" s="14">
        <f t="shared" si="167"/>
        <v>27.357089923704745</v>
      </c>
      <c r="BG165" s="22">
        <f t="shared" si="168"/>
        <v>224.70476495045224</v>
      </c>
      <c r="BH165" s="62">
        <f t="shared" si="116"/>
        <v>518.03809828378553</v>
      </c>
      <c r="BI165" s="62">
        <f ca="1">AVERAGE(OFFSET($BH$3,0,0,'Données projet'!$E$11+1,1))-AVERAGE(OFFSET($H$3,0,0,'Données projet'!$E$11+1,1))</f>
        <v>83.354474428753292</v>
      </c>
      <c r="BJ165" s="62">
        <f t="shared" si="146"/>
        <v>97.75861379589162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1.7050466627743923</v>
      </c>
      <c r="BQ165" s="23">
        <f>EXP(-LN(2)/25)*BQ164+(1-EXP(-LN(2)/25))/(LN(2)/25)*Calculateur!BL165*Calculateur!BN165*VLOOKUP('Données projet'!$B$11,Paramètres!$A$1:$I$88,3,0)*0.475*44/12</f>
        <v>0.68944299485570104</v>
      </c>
      <c r="BR165" s="23">
        <f>EXP(-LN(2)/2)*BR164+(1-EXP(-LN(2)/2))/(LN(2)/2)*BL165*BO165*VLOOKUP('Données projet'!$B$11,Paramètres!$A$1:$I$88,3,0)*0.475*44/12</f>
        <v>0</v>
      </c>
      <c r="BS165" s="24">
        <f t="shared" si="169"/>
        <v>2.3944896576300936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projet'!$B$12,Paramètres!$A$1:$I$88,3,0)*0.475*44/12</f>
        <v>#N/A</v>
      </c>
      <c r="CL165" s="23" t="e">
        <f>EXP(-LN(2)/25)*CL164+(1-EXP(-LN(2)/25))/(LN(2)/25)*Calculateur!CG165*Calculateur!CI165*VLOOKUP('Données projet'!$B$12,Paramètres!$A$1:$I$88,3,0)*0.475*44/12</f>
        <v>#N/A</v>
      </c>
      <c r="CM165" s="23" t="e">
        <f>EXP(-LN(2)/2)*CM164+(1-EXP(-LN(2)/2))/(LN(2)/2)*CG165*CJ165*VLOOKUP('Données projet'!$B$12,Paramètres!$A$1:$I$88,3,0)*0.475*44/12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119.51159999999959</v>
      </c>
      <c r="D166" s="12">
        <f t="shared" si="140"/>
        <v>31.561060990985393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1166.1749269479544</v>
      </c>
      <c r="H166" s="70">
        <f t="shared" si="110"/>
        <v>556.45155122596543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2.8421709430404007E-13</v>
      </c>
      <c r="O166" s="14">
        <f>N166*VLOOKUP('Données projet'!$B$9,Paramètres!$A$1:$I$88,3,0)*VLOOKUP('Données projet'!$B$9,Paramètres!$A$1:$I$88,5,0)</f>
        <v>1.588773557159584E-13</v>
      </c>
      <c r="P166" s="14">
        <f t="shared" si="141"/>
        <v>2.2615721672198623E-12</v>
      </c>
      <c r="Q166" s="22">
        <f t="shared" si="162"/>
        <v>4.2156162524465543E-12</v>
      </c>
      <c r="R166" s="62">
        <f t="shared" si="109"/>
        <v>293.33333333333752</v>
      </c>
      <c r="S166" s="62">
        <f ca="1">AVERAGE(OFFSET($R$3,0,0,'Données projet'!$E$9+1,1))-AVERAGE(OFFSET($H$3,0,0,'Données projet'!$E$9+1,1))</f>
        <v>222.18341301864729</v>
      </c>
      <c r="T166" s="62">
        <f t="shared" si="142"/>
        <v>172.63628480089358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44.111089979988392</v>
      </c>
      <c r="AA166" s="23">
        <f>EXP(-LN(2)/25)*AA165+(1-EXP(-LN(2)/25))/(LN(2)/25)*Calculateur!V166*Calculateur!X166*VLOOKUP('Données projet'!$B$9,Paramètres!$A$1:$I$88,3,0)*0.475*44/12</f>
        <v>10.90157869941538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55.012668679403774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projet'!$B$10,Paramètres!$A$1:$I$88,3,0)*VLOOKUP('Données projet'!$B$10,Paramètres!$A$1:$I$88,5,0)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82.840015321739202</v>
      </c>
      <c r="AO166" s="62">
        <f t="shared" si="144"/>
        <v>101.40622074610098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9.9156636285734105</v>
      </c>
      <c r="AV166" s="23">
        <f>EXP(-LN(2)/25)*AV165+(1-EXP(-LN(2)/25))/(LN(2)/25)*Calculateur!AQ166*Calculateur!AS166*VLOOKUP('Données projet'!$B$10,Paramètres!$A$1:$I$88,3,0)*0.475*44/12</f>
        <v>2.2666654668904251</v>
      </c>
      <c r="AW166" s="23">
        <f>EXP(-LN(2)/2)*AW165+(1-EXP(-LN(2)/2))/(LN(2)/2)*AQ166*AT166*VLOOKUP('Données projet'!$B$10,Paramètres!$A$1:$I$88,3,0)*0.475*44/12</f>
        <v>0</v>
      </c>
      <c r="AX166" s="23">
        <f t="shared" si="166"/>
        <v>12.182329095463835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169.99999999999983</v>
      </c>
      <c r="BE166" s="14">
        <f>BD166*VLOOKUP('Données projet'!$B$11,Paramètres!$A$1:$I$88,3,0)*VLOOKUP('Données projet'!$B$11,Paramètres!$A$1:$I$88,5,0)</f>
        <v>101.65999999999991</v>
      </c>
      <c r="BF166" s="14">
        <f t="shared" si="167"/>
        <v>27.357089923704745</v>
      </c>
      <c r="BG166" s="22">
        <f t="shared" si="168"/>
        <v>224.70476495045224</v>
      </c>
      <c r="BH166" s="62">
        <f t="shared" si="116"/>
        <v>518.03809828378553</v>
      </c>
      <c r="BI166" s="62">
        <f ca="1">AVERAGE(OFFSET($BH$3,0,0,'Données projet'!$E$11+1,1))-AVERAGE(OFFSET($H$3,0,0,'Données projet'!$E$11+1,1))</f>
        <v>83.354474428753292</v>
      </c>
      <c r="BJ166" s="62">
        <f t="shared" si="146"/>
        <v>97.75861379589162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1.6716117376931616</v>
      </c>
      <c r="BQ166" s="23">
        <f>EXP(-LN(2)/25)*BQ165+(1-EXP(-LN(2)/25))/(LN(2)/25)*Calculateur!BL166*Calculateur!BN166*VLOOKUP('Données projet'!$B$11,Paramètres!$A$1:$I$88,3,0)*0.475*44/12</f>
        <v>0.67059013990514049</v>
      </c>
      <c r="BR166" s="23">
        <f>EXP(-LN(2)/2)*BR165+(1-EXP(-LN(2)/2))/(LN(2)/2)*BL166*BO166*VLOOKUP('Données projet'!$B$11,Paramètres!$A$1:$I$88,3,0)*0.475*44/12</f>
        <v>0</v>
      </c>
      <c r="BS166" s="24">
        <f t="shared" si="169"/>
        <v>2.3422018775983022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projet'!$B$12,Paramètres!$A$1:$I$88,3,0)*0.475*44/12</f>
        <v>#N/A</v>
      </c>
      <c r="CL166" s="23" t="e">
        <f>EXP(-LN(2)/25)*CL165+(1-EXP(-LN(2)/25))/(LN(2)/25)*Calculateur!CG166*Calculateur!CI166*VLOOKUP('Données projet'!$B$12,Paramètres!$A$1:$I$88,3,0)*0.475*44/12</f>
        <v>#N/A</v>
      </c>
      <c r="CM166" s="23" t="e">
        <f>EXP(-LN(2)/2)*CM165+(1-EXP(-LN(2)/2))/(LN(2)/2)*CG166*CJ166*VLOOKUP('Données projet'!$B$12,Paramètres!$A$1:$I$88,3,0)*0.475*44/12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120.24479999999959</v>
      </c>
      <c r="D167" s="12">
        <f t="shared" si="140"/>
        <v>31.732088100347205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1173.1549256868877</v>
      </c>
      <c r="H167" s="70">
        <f t="shared" si="110"/>
        <v>558.02641344143728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2.8421709430404007E-13</v>
      </c>
      <c r="O167" s="14">
        <f>N167*VLOOKUP('Données projet'!$B$9,Paramètres!$A$1:$I$88,3,0)*VLOOKUP('Données projet'!$B$9,Paramètres!$A$1:$I$88,5,0)</f>
        <v>1.588773557159584E-13</v>
      </c>
      <c r="P167" s="14">
        <f t="shared" si="141"/>
        <v>2.2615721672198623E-12</v>
      </c>
      <c r="Q167" s="22">
        <f t="shared" si="162"/>
        <v>4.2156162524465543E-12</v>
      </c>
      <c r="R167" s="62">
        <f t="shared" si="109"/>
        <v>293.33333333333752</v>
      </c>
      <c r="S167" s="62">
        <f ca="1">AVERAGE(OFFSET($R$3,0,0,'Données projet'!$E$9+1,1))-AVERAGE(OFFSET($H$3,0,0,'Données projet'!$E$9+1,1))</f>
        <v>222.18341301864729</v>
      </c>
      <c r="T167" s="62">
        <f t="shared" si="142"/>
        <v>172.63628480089358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43.246098410589049</v>
      </c>
      <c r="AA167" s="23">
        <f>EXP(-LN(2)/25)*AA166+(1-EXP(-LN(2)/25))/(LN(2)/25)*Calculateur!V167*Calculateur!X167*VLOOKUP('Données projet'!$B$9,Paramètres!$A$1:$I$88,3,0)*0.475*44/12</f>
        <v>10.603474456590758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53.849572867179809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projet'!$B$10,Paramètres!$A$1:$I$88,3,0)*VLOOKUP('Données projet'!$B$10,Paramètres!$A$1:$I$88,5,0)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82.840015321739202</v>
      </c>
      <c r="AO167" s="62">
        <f t="shared" si="144"/>
        <v>101.40622074610098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9.7212235127747135</v>
      </c>
      <c r="AV167" s="23">
        <f>EXP(-LN(2)/25)*AV166+(1-EXP(-LN(2)/25))/(LN(2)/25)*Calculateur!AQ167*Calculateur!AS167*VLOOKUP('Données projet'!$B$10,Paramètres!$A$1:$I$88,3,0)*0.475*44/12</f>
        <v>2.2046833804995503</v>
      </c>
      <c r="AW167" s="23">
        <f>EXP(-LN(2)/2)*AW166+(1-EXP(-LN(2)/2))/(LN(2)/2)*AQ167*AT167*VLOOKUP('Données projet'!$B$10,Paramètres!$A$1:$I$88,3,0)*0.475*44/12</f>
        <v>0</v>
      </c>
      <c r="AX167" s="23">
        <f t="shared" si="166"/>
        <v>11.925906893274263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169.99999999999983</v>
      </c>
      <c r="BE167" s="14">
        <f>BD167*VLOOKUP('Données projet'!$B$11,Paramètres!$A$1:$I$88,3,0)*VLOOKUP('Données projet'!$B$11,Paramètres!$A$1:$I$88,5,0)</f>
        <v>101.65999999999991</v>
      </c>
      <c r="BF167" s="14">
        <f t="shared" si="167"/>
        <v>27.357089923704745</v>
      </c>
      <c r="BG167" s="22">
        <f t="shared" si="168"/>
        <v>224.70476495045224</v>
      </c>
      <c r="BH167" s="62">
        <f t="shared" si="116"/>
        <v>518.03809828378553</v>
      </c>
      <c r="BI167" s="62">
        <f ca="1">AVERAGE(OFFSET($BH$3,0,0,'Données projet'!$E$11+1,1))-AVERAGE(OFFSET($H$3,0,0,'Données projet'!$E$11+1,1))</f>
        <v>83.354474428753292</v>
      </c>
      <c r="BJ167" s="62">
        <f t="shared" si="146"/>
        <v>97.75861379589162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1.6388324510994834</v>
      </c>
      <c r="BQ167" s="23">
        <f>EXP(-LN(2)/25)*BQ166+(1-EXP(-LN(2)/25))/(LN(2)/25)*Calculateur!BL167*Calculateur!BN167*VLOOKUP('Données projet'!$B$11,Paramètres!$A$1:$I$88,3,0)*0.475*44/12</f>
        <v>0.65225281726463158</v>
      </c>
      <c r="BR167" s="23">
        <f>EXP(-LN(2)/2)*BR166+(1-EXP(-LN(2)/2))/(LN(2)/2)*BL167*BO167*VLOOKUP('Données projet'!$B$11,Paramètres!$A$1:$I$88,3,0)*0.475*44/12</f>
        <v>0</v>
      </c>
      <c r="BS167" s="24">
        <f t="shared" si="169"/>
        <v>2.2910852683641147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projet'!$B$12,Paramètres!$A$1:$I$88,3,0)*0.475*44/12</f>
        <v>#N/A</v>
      </c>
      <c r="CL167" s="23" t="e">
        <f>EXP(-LN(2)/25)*CL166+(1-EXP(-LN(2)/25))/(LN(2)/25)*Calculateur!CG167*Calculateur!CI167*VLOOKUP('Données projet'!$B$12,Paramètres!$A$1:$I$88,3,0)*0.475*44/12</f>
        <v>#N/A</v>
      </c>
      <c r="CM167" s="23" t="e">
        <f>EXP(-LN(2)/2)*CM166+(1-EXP(-LN(2)/2))/(LN(2)/2)*CG167*CJ167*VLOOKUP('Données projet'!$B$12,Paramètres!$A$1:$I$88,3,0)*0.475*44/12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120.97799999999958</v>
      </c>
      <c r="D168" s="12">
        <f t="shared" si="140"/>
        <v>31.902993864447446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1180.1339877255559</v>
      </c>
      <c r="H168" s="70">
        <f t="shared" si="110"/>
        <v>559.60106431391182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2.8421709430404007E-13</v>
      </c>
      <c r="O168" s="14">
        <f>N168*VLOOKUP('Données projet'!$B$9,Paramètres!$A$1:$I$88,3,0)*VLOOKUP('Données projet'!$B$9,Paramètres!$A$1:$I$88,5,0)</f>
        <v>1.588773557159584E-13</v>
      </c>
      <c r="P168" s="14">
        <f t="shared" si="141"/>
        <v>2.2615721672198623E-12</v>
      </c>
      <c r="Q168" s="22">
        <f t="shared" si="162"/>
        <v>4.2156162524465543E-12</v>
      </c>
      <c r="R168" s="62">
        <f t="shared" si="109"/>
        <v>293.33333333333752</v>
      </c>
      <c r="S168" s="62">
        <f ca="1">AVERAGE(OFFSET($R$3,0,0,'Données projet'!$E$9+1,1))-AVERAGE(OFFSET($H$3,0,0,'Données projet'!$E$9+1,1))</f>
        <v>222.18341301864729</v>
      </c>
      <c r="T168" s="62">
        <f t="shared" si="142"/>
        <v>172.63628480089358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42.398068798272867</v>
      </c>
      <c r="AA168" s="23">
        <f>EXP(-LN(2)/25)*AA167+(1-EXP(-LN(2)/25))/(LN(2)/25)*Calculateur!V168*Calculateur!X168*VLOOKUP('Données projet'!$B$9,Paramètres!$A$1:$I$88,3,0)*0.475*44/12</f>
        <v>10.313521889962797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52.71159068823566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projet'!$B$10,Paramètres!$A$1:$I$88,3,0)*VLOOKUP('Données projet'!$B$10,Paramètres!$A$1:$I$88,5,0)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82.840015321739202</v>
      </c>
      <c r="AO168" s="62">
        <f t="shared" si="144"/>
        <v>101.40622074610098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9.5305962490500686</v>
      </c>
      <c r="AV168" s="23">
        <f>EXP(-LN(2)/25)*AV167+(1-EXP(-LN(2)/25))/(LN(2)/25)*Calculateur!AQ168*Calculateur!AS168*VLOOKUP('Données projet'!$B$10,Paramètres!$A$1:$I$88,3,0)*0.475*44/12</f>
        <v>2.1443961975205301</v>
      </c>
      <c r="AW168" s="23">
        <f>EXP(-LN(2)/2)*AW167+(1-EXP(-LN(2)/2))/(LN(2)/2)*AQ168*AT168*VLOOKUP('Données projet'!$B$10,Paramètres!$A$1:$I$88,3,0)*0.475*44/12</f>
        <v>0</v>
      </c>
      <c r="AX168" s="23">
        <f t="shared" si="166"/>
        <v>11.674992446570599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169.99999999999983</v>
      </c>
      <c r="BE168" s="14">
        <f>BD168*VLOOKUP('Données projet'!$B$11,Paramètres!$A$1:$I$88,3,0)*VLOOKUP('Données projet'!$B$11,Paramètres!$A$1:$I$88,5,0)</f>
        <v>101.65999999999991</v>
      </c>
      <c r="BF168" s="14">
        <f t="shared" si="167"/>
        <v>27.357089923704745</v>
      </c>
      <c r="BG168" s="22">
        <f t="shared" si="168"/>
        <v>224.70476495045224</v>
      </c>
      <c r="BH168" s="62">
        <f t="shared" si="116"/>
        <v>518.03809828378553</v>
      </c>
      <c r="BI168" s="62">
        <f ca="1">AVERAGE(OFFSET($BH$3,0,0,'Données projet'!$E$11+1,1))-AVERAGE(OFFSET($H$3,0,0,'Données projet'!$E$11+1,1))</f>
        <v>83.354474428753292</v>
      </c>
      <c r="BJ168" s="62">
        <f t="shared" si="146"/>
        <v>97.75861379589162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1.6066959463225166</v>
      </c>
      <c r="BQ168" s="23">
        <f>EXP(-LN(2)/25)*BQ167+(1-EXP(-LN(2)/25))/(LN(2)/25)*Calculateur!BL168*Calculateur!BN168*VLOOKUP('Données projet'!$B$11,Paramètres!$A$1:$I$88,3,0)*0.475*44/12</f>
        <v>0.63441692967604535</v>
      </c>
      <c r="BR168" s="23">
        <f>EXP(-LN(2)/2)*BR167+(1-EXP(-LN(2)/2))/(LN(2)/2)*BL168*BO168*VLOOKUP('Données projet'!$B$11,Paramètres!$A$1:$I$88,3,0)*0.475*44/12</f>
        <v>0</v>
      </c>
      <c r="BS168" s="24">
        <f t="shared" si="169"/>
        <v>2.2411128759985619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projet'!$B$12,Paramètres!$A$1:$I$88,3,0)*0.475*44/12</f>
        <v>#N/A</v>
      </c>
      <c r="CL168" s="23" t="e">
        <f>EXP(-LN(2)/25)*CL167+(1-EXP(-LN(2)/25))/(LN(2)/25)*Calculateur!CG168*Calculateur!CI168*VLOOKUP('Données projet'!$B$12,Paramètres!$A$1:$I$88,3,0)*0.475*44/12</f>
        <v>#N/A</v>
      </c>
      <c r="CM168" s="23" t="e">
        <f>EXP(-LN(2)/2)*CM167+(1-EXP(-LN(2)/2))/(LN(2)/2)*CG168*CJ168*VLOOKUP('Données projet'!$B$12,Paramètres!$A$1:$I$88,3,0)*0.475*44/12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121.71119999999958</v>
      </c>
      <c r="D169" s="12">
        <f t="shared" si="140"/>
        <v>32.073779104036042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1187.1121193995732</v>
      </c>
      <c r="H169" s="70">
        <f t="shared" si="110"/>
        <v>561.17550527286198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2.8421709430404007E-13</v>
      </c>
      <c r="O169" s="14">
        <f>N169*VLOOKUP('Données projet'!$B$9,Paramètres!$A$1:$I$88,3,0)*VLOOKUP('Données projet'!$B$9,Paramètres!$A$1:$I$88,5,0)</f>
        <v>1.588773557159584E-13</v>
      </c>
      <c r="P169" s="14">
        <f t="shared" si="141"/>
        <v>2.2615721672198623E-12</v>
      </c>
      <c r="Q169" s="22">
        <f t="shared" si="162"/>
        <v>4.2156162524465543E-12</v>
      </c>
      <c r="R169" s="62">
        <f t="shared" si="109"/>
        <v>293.33333333333752</v>
      </c>
      <c r="S169" s="62">
        <f ca="1">AVERAGE(OFFSET($R$3,0,0,'Données projet'!$E$9+1,1))-AVERAGE(OFFSET($H$3,0,0,'Données projet'!$E$9+1,1))</f>
        <v>222.18341301864729</v>
      </c>
      <c r="T169" s="62">
        <f t="shared" si="142"/>
        <v>172.63628480089358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41.566668529407217</v>
      </c>
      <c r="AA169" s="23">
        <f>EXP(-LN(2)/25)*AA168+(1-EXP(-LN(2)/25))/(LN(2)/25)*Calculateur!V169*Calculateur!X169*VLOOKUP('Données projet'!$B$9,Paramètres!$A$1:$I$88,3,0)*0.475*44/12</f>
        <v>10.03149809151722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51.598166620924438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projet'!$B$10,Paramètres!$A$1:$I$88,3,0)*VLOOKUP('Données projet'!$B$10,Paramètres!$A$1:$I$88,5,0)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82.840015321739202</v>
      </c>
      <c r="AO169" s="62">
        <f t="shared" si="144"/>
        <v>101.40622074610098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9.3437070696959132</v>
      </c>
      <c r="AV169" s="23">
        <f>EXP(-LN(2)/25)*AV168+(1-EXP(-LN(2)/25))/(LN(2)/25)*Calculateur!AQ169*Calculateur!AS169*VLOOKUP('Données projet'!$B$10,Paramètres!$A$1:$I$88,3,0)*0.475*44/12</f>
        <v>2.0857575707304363</v>
      </c>
      <c r="AW169" s="23">
        <f>EXP(-LN(2)/2)*AW168+(1-EXP(-LN(2)/2))/(LN(2)/2)*AQ169*AT169*VLOOKUP('Données projet'!$B$10,Paramètres!$A$1:$I$88,3,0)*0.475*44/12</f>
        <v>0</v>
      </c>
      <c r="AX169" s="23">
        <f t="shared" si="166"/>
        <v>11.42946464042635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169.99999999999983</v>
      </c>
      <c r="BE169" s="14">
        <f>BD169*VLOOKUP('Données projet'!$B$11,Paramètres!$A$1:$I$88,3,0)*VLOOKUP('Données projet'!$B$11,Paramètres!$A$1:$I$88,5,0)</f>
        <v>101.65999999999991</v>
      </c>
      <c r="BF169" s="14">
        <f t="shared" si="167"/>
        <v>27.357089923704745</v>
      </c>
      <c r="BG169" s="22">
        <f t="shared" si="168"/>
        <v>224.70476495045224</v>
      </c>
      <c r="BH169" s="62">
        <f t="shared" si="116"/>
        <v>518.03809828378553</v>
      </c>
      <c r="BI169" s="62">
        <f ca="1">AVERAGE(OFFSET($BH$3,0,0,'Données projet'!$E$11+1,1))-AVERAGE(OFFSET($H$3,0,0,'Données projet'!$E$11+1,1))</f>
        <v>83.354474428753292</v>
      </c>
      <c r="BJ169" s="62">
        <f t="shared" si="146"/>
        <v>97.75861379589162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1.5751896188028935</v>
      </c>
      <c r="BQ169" s="23">
        <f>EXP(-LN(2)/25)*BQ168+(1-EXP(-LN(2)/25))/(LN(2)/25)*Calculateur!BL169*Calculateur!BN169*VLOOKUP('Données projet'!$B$11,Paramètres!$A$1:$I$88,3,0)*0.475*44/12</f>
        <v>0.61706876537151756</v>
      </c>
      <c r="BR169" s="23">
        <f>EXP(-LN(2)/2)*BR168+(1-EXP(-LN(2)/2))/(LN(2)/2)*BL169*BO169*VLOOKUP('Données projet'!$B$11,Paramètres!$A$1:$I$88,3,0)*0.475*44/12</f>
        <v>0</v>
      </c>
      <c r="BS169" s="24">
        <f t="shared" si="169"/>
        <v>2.1922583841744112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projet'!$B$12,Paramètres!$A$1:$I$88,3,0)*0.475*44/12</f>
        <v>#N/A</v>
      </c>
      <c r="CL169" s="23" t="e">
        <f>EXP(-LN(2)/25)*CL168+(1-EXP(-LN(2)/25))/(LN(2)/25)*Calculateur!CG169*Calculateur!CI169*VLOOKUP('Données projet'!$B$12,Paramètres!$A$1:$I$88,3,0)*0.475*44/12</f>
        <v>#N/A</v>
      </c>
      <c r="CM169" s="23" t="e">
        <f>EXP(-LN(2)/2)*CM168+(1-EXP(-LN(2)/2))/(LN(2)/2)*CG169*CJ169*VLOOKUP('Données projet'!$B$12,Paramètres!$A$1:$I$88,3,0)*0.475*44/12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122.44439999999958</v>
      </c>
      <c r="D170" s="12">
        <f t="shared" si="140"/>
        <v>32.244444629402366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1194.0893269638048</v>
      </c>
      <c r="H170" s="70">
        <f t="shared" si="110"/>
        <v>562.74973772954172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2.8421709430404007E-13</v>
      </c>
      <c r="O170" s="14">
        <f>N170*VLOOKUP('Données projet'!$B$9,Paramètres!$A$1:$I$88,3,0)*VLOOKUP('Données projet'!$B$9,Paramètres!$A$1:$I$88,5,0)</f>
        <v>1.588773557159584E-13</v>
      </c>
      <c r="P170" s="14">
        <f t="shared" si="141"/>
        <v>2.2615721672198623E-12</v>
      </c>
      <c r="Q170" s="22">
        <f t="shared" si="162"/>
        <v>4.2156162524465543E-12</v>
      </c>
      <c r="R170" s="62">
        <f t="shared" si="109"/>
        <v>293.33333333333752</v>
      </c>
      <c r="S170" s="62">
        <f ca="1">AVERAGE(OFFSET($R$3,0,0,'Données projet'!$E$9+1,1))-AVERAGE(OFFSET($H$3,0,0,'Données projet'!$E$9+1,1))</f>
        <v>222.18341301864729</v>
      </c>
      <c r="T170" s="62">
        <f t="shared" si="142"/>
        <v>172.63628480089358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40.75157151270993</v>
      </c>
      <c r="AA170" s="23">
        <f>EXP(-LN(2)/25)*AA169+(1-EXP(-LN(2)/25))/(LN(2)/25)*Calculateur!V170*Calculateur!X170*VLOOKUP('Données projet'!$B$9,Paramètres!$A$1:$I$88,3,0)*0.475*44/12</f>
        <v>9.7571862486711236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50.508757761381055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projet'!$B$10,Paramètres!$A$1:$I$88,3,0)*VLOOKUP('Données projet'!$B$10,Paramètres!$A$1:$I$88,5,0)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82.840015321739202</v>
      </c>
      <c r="AO170" s="62">
        <f t="shared" si="144"/>
        <v>101.40622074610098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9.16048267315775</v>
      </c>
      <c r="AV170" s="23">
        <f>EXP(-LN(2)/25)*AV169+(1-EXP(-LN(2)/25))/(LN(2)/25)*Calculateur!AQ170*Calculateur!AS170*VLOOKUP('Données projet'!$B$10,Paramètres!$A$1:$I$88,3,0)*0.475*44/12</f>
        <v>2.028722420273589</v>
      </c>
      <c r="AW170" s="23">
        <f>EXP(-LN(2)/2)*AW169+(1-EXP(-LN(2)/2))/(LN(2)/2)*AQ170*AT170*VLOOKUP('Données projet'!$B$10,Paramètres!$A$1:$I$88,3,0)*0.475*44/12</f>
        <v>0</v>
      </c>
      <c r="AX170" s="23">
        <f t="shared" si="166"/>
        <v>11.189205093431339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169.99999999999983</v>
      </c>
      <c r="BE170" s="14">
        <f>BD170*VLOOKUP('Données projet'!$B$11,Paramètres!$A$1:$I$88,3,0)*VLOOKUP('Données projet'!$B$11,Paramètres!$A$1:$I$88,5,0)</f>
        <v>101.65999999999991</v>
      </c>
      <c r="BF170" s="14">
        <f t="shared" si="167"/>
        <v>27.357089923704745</v>
      </c>
      <c r="BG170" s="22">
        <f t="shared" si="168"/>
        <v>224.70476495045224</v>
      </c>
      <c r="BH170" s="62">
        <f t="shared" si="116"/>
        <v>518.03809828378553</v>
      </c>
      <c r="BI170" s="62">
        <f ca="1">AVERAGE(OFFSET($BH$3,0,0,'Données projet'!$E$11+1,1))-AVERAGE(OFFSET($H$3,0,0,'Données projet'!$E$11+1,1))</f>
        <v>83.354474428753292</v>
      </c>
      <c r="BJ170" s="62">
        <f t="shared" si="146"/>
        <v>97.75861379589162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1.544301111148968</v>
      </c>
      <c r="BQ170" s="23">
        <f>EXP(-LN(2)/25)*BQ169+(1-EXP(-LN(2)/25))/(LN(2)/25)*Calculateur!BL170*Calculateur!BN170*VLOOKUP('Données projet'!$B$11,Paramètres!$A$1:$I$88,3,0)*0.475*44/12</f>
        <v>0.60019498753219735</v>
      </c>
      <c r="BR170" s="23">
        <f>EXP(-LN(2)/2)*BR169+(1-EXP(-LN(2)/2))/(LN(2)/2)*BL170*BO170*VLOOKUP('Données projet'!$B$11,Paramètres!$A$1:$I$88,3,0)*0.475*44/12</f>
        <v>0</v>
      </c>
      <c r="BS170" s="24">
        <f t="shared" si="169"/>
        <v>2.1444960986811652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projet'!$B$12,Paramètres!$A$1:$I$88,3,0)*0.475*44/12</f>
        <v>#N/A</v>
      </c>
      <c r="CL170" s="23" t="e">
        <f>EXP(-LN(2)/25)*CL169+(1-EXP(-LN(2)/25))/(LN(2)/25)*Calculateur!CG170*Calculateur!CI170*VLOOKUP('Données projet'!$B$12,Paramètres!$A$1:$I$88,3,0)*0.475*44/12</f>
        <v>#N/A</v>
      </c>
      <c r="CM170" s="23" t="e">
        <f>EXP(-LN(2)/2)*CM169+(1-EXP(-LN(2)/2))/(LN(2)/2)*CG170*CJ170*VLOOKUP('Données projet'!$B$12,Paramètres!$A$1:$I$88,3,0)*0.475*44/12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123.17759999999957</v>
      </c>
      <c r="D171" s="12">
        <f t="shared" si="140"/>
        <v>32.41499124057033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1201.0656165938728</v>
      </c>
      <c r="H171" s="70">
        <f t="shared" si="110"/>
        <v>564.32376307732591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2.8421709430404007E-13</v>
      </c>
      <c r="O171" s="14">
        <f>N171*VLOOKUP('Données projet'!$B$9,Paramètres!$A$1:$I$88,3,0)*VLOOKUP('Données projet'!$B$9,Paramètres!$A$1:$I$88,5,0)</f>
        <v>1.588773557159584E-13</v>
      </c>
      <c r="P171" s="14">
        <f t="shared" si="141"/>
        <v>2.2615721672198623E-12</v>
      </c>
      <c r="Q171" s="22">
        <f t="shared" si="162"/>
        <v>4.2156162524465543E-12</v>
      </c>
      <c r="R171" s="62">
        <f t="shared" si="109"/>
        <v>293.33333333333752</v>
      </c>
      <c r="S171" s="62">
        <f ca="1">AVERAGE(OFFSET($R$3,0,0,'Données projet'!$E$9+1,1))-AVERAGE(OFFSET($H$3,0,0,'Données projet'!$E$9+1,1))</f>
        <v>222.18341301864729</v>
      </c>
      <c r="T171" s="62">
        <f t="shared" si="142"/>
        <v>172.63628480089358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39.952458051349986</v>
      </c>
      <c r="AA171" s="23">
        <f>EXP(-LN(2)/25)*AA170+(1-EXP(-LN(2)/25))/(LN(2)/25)*Calculateur!V171*Calculateur!X171*VLOOKUP('Données projet'!$B$9,Paramètres!$A$1:$I$88,3,0)*0.475*44/12</f>
        <v>9.4903754775930871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49.442833528943069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projet'!$B$10,Paramètres!$A$1:$I$88,3,0)*VLOOKUP('Données projet'!$B$10,Paramètres!$A$1:$I$88,5,0)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82.840015321739202</v>
      </c>
      <c r="AO171" s="62">
        <f t="shared" si="144"/>
        <v>101.40622074610098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8.9808511952798522</v>
      </c>
      <c r="AV171" s="23">
        <f>EXP(-LN(2)/25)*AV170+(1-EXP(-LN(2)/25))/(LN(2)/25)*Calculateur!AQ171*Calculateur!AS171*VLOOKUP('Données projet'!$B$10,Paramètres!$A$1:$I$88,3,0)*0.475*44/12</f>
        <v>1.9732468990053322</v>
      </c>
      <c r="AW171" s="23">
        <f>EXP(-LN(2)/2)*AW170+(1-EXP(-LN(2)/2))/(LN(2)/2)*AQ171*AT171*VLOOKUP('Données projet'!$B$10,Paramètres!$A$1:$I$88,3,0)*0.475*44/12</f>
        <v>0</v>
      </c>
      <c r="AX171" s="23">
        <f t="shared" si="166"/>
        <v>10.954098094285184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169.99999999999983</v>
      </c>
      <c r="BE171" s="14">
        <f>BD171*VLOOKUP('Données projet'!$B$11,Paramètres!$A$1:$I$88,3,0)*VLOOKUP('Données projet'!$B$11,Paramètres!$A$1:$I$88,5,0)</f>
        <v>101.65999999999991</v>
      </c>
      <c r="BF171" s="14">
        <f t="shared" si="167"/>
        <v>27.357089923704745</v>
      </c>
      <c r="BG171" s="22">
        <f t="shared" si="168"/>
        <v>224.70476495045224</v>
      </c>
      <c r="BH171" s="62">
        <f t="shared" si="116"/>
        <v>518.03809828378553</v>
      </c>
      <c r="BI171" s="62">
        <f ca="1">AVERAGE(OFFSET($BH$3,0,0,'Données projet'!$E$11+1,1))-AVERAGE(OFFSET($H$3,0,0,'Données projet'!$E$11+1,1))</f>
        <v>83.354474428753292</v>
      </c>
      <c r="BJ171" s="62">
        <f t="shared" si="146"/>
        <v>97.75861379589162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1.5140183082900065</v>
      </c>
      <c r="BQ171" s="23">
        <f>EXP(-LN(2)/25)*BQ170+(1-EXP(-LN(2)/25))/(LN(2)/25)*Calculateur!BL171*Calculateur!BN171*VLOOKUP('Données projet'!$B$11,Paramètres!$A$1:$I$88,3,0)*0.475*44/12</f>
        <v>0.58378262403524683</v>
      </c>
      <c r="BR171" s="23">
        <f>EXP(-LN(2)/2)*BR170+(1-EXP(-LN(2)/2))/(LN(2)/2)*BL171*BO171*VLOOKUP('Données projet'!$B$11,Paramètres!$A$1:$I$88,3,0)*0.475*44/12</f>
        <v>0</v>
      </c>
      <c r="BS171" s="24">
        <f t="shared" si="169"/>
        <v>2.0978009323252533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projet'!$B$12,Paramètres!$A$1:$I$88,3,0)*0.475*44/12</f>
        <v>#N/A</v>
      </c>
      <c r="CL171" s="23" t="e">
        <f>EXP(-LN(2)/25)*CL170+(1-EXP(-LN(2)/25))/(LN(2)/25)*Calculateur!CG171*Calculateur!CI171*VLOOKUP('Données projet'!$B$12,Paramètres!$A$1:$I$88,3,0)*0.475*44/12</f>
        <v>#N/A</v>
      </c>
      <c r="CM171" s="23" t="e">
        <f>EXP(-LN(2)/2)*CM170+(1-EXP(-LN(2)/2))/(LN(2)/2)*CG171*CJ171*VLOOKUP('Données projet'!$B$12,Paramètres!$A$1:$I$88,3,0)*0.475*44/12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123.91079999999957</v>
      </c>
      <c r="D172" s="12">
        <f t="shared" si="140"/>
        <v>32.585419727488741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1208.0409943876291</v>
      </c>
      <c r="H172" s="70">
        <f t="shared" si="110"/>
        <v>565.89758269204208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2.8421709430404007E-13</v>
      </c>
      <c r="O172" s="14">
        <f>N172*VLOOKUP('Données projet'!$B$9,Paramètres!$A$1:$I$88,3,0)*VLOOKUP('Données projet'!$B$9,Paramètres!$A$1:$I$88,5,0)</f>
        <v>1.588773557159584E-13</v>
      </c>
      <c r="P172" s="14">
        <f t="shared" si="141"/>
        <v>2.2615721672198623E-12</v>
      </c>
      <c r="Q172" s="22">
        <f t="shared" si="162"/>
        <v>4.2156162524465543E-12</v>
      </c>
      <c r="R172" s="62">
        <f t="shared" si="109"/>
        <v>293.33333333333752</v>
      </c>
      <c r="S172" s="62">
        <f ca="1">AVERAGE(OFFSET($R$3,0,0,'Données projet'!$E$9+1,1))-AVERAGE(OFFSET($H$3,0,0,'Données projet'!$E$9+1,1))</f>
        <v>222.18341301864729</v>
      </c>
      <c r="T172" s="62">
        <f t="shared" si="142"/>
        <v>172.63628480089358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39.169014717556223</v>
      </c>
      <c r="AA172" s="23">
        <f>EXP(-LN(2)/25)*AA171+(1-EXP(-LN(2)/25))/(LN(2)/25)*Calculateur!V172*Calculateur!X172*VLOOKUP('Données projet'!$B$9,Paramètres!$A$1:$I$88,3,0)*0.475*44/12</f>
        <v>9.2308606610811488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48.399875378637375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projet'!$B$10,Paramètres!$A$1:$I$88,3,0)*VLOOKUP('Données projet'!$B$10,Paramètres!$A$1:$I$88,5,0)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82.840015321739202</v>
      </c>
      <c r="AO172" s="62">
        <f t="shared" si="144"/>
        <v>101.40622074610098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8.8047421811187583</v>
      </c>
      <c r="AV172" s="23">
        <f>EXP(-LN(2)/25)*AV171+(1-EXP(-LN(2)/25))/(LN(2)/25)*Calculateur!AQ172*Calculateur!AS172*VLOOKUP('Données projet'!$B$10,Paramètres!$A$1:$I$88,3,0)*0.475*44/12</f>
        <v>1.919288358783487</v>
      </c>
      <c r="AW172" s="23">
        <f>EXP(-LN(2)/2)*AW171+(1-EXP(-LN(2)/2))/(LN(2)/2)*AQ172*AT172*VLOOKUP('Données projet'!$B$10,Paramètres!$A$1:$I$88,3,0)*0.475*44/12</f>
        <v>0</v>
      </c>
      <c r="AX172" s="23">
        <f t="shared" si="166"/>
        <v>10.724030539902245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169.99999999999983</v>
      </c>
      <c r="BE172" s="14">
        <f>BD172*VLOOKUP('Données projet'!$B$11,Paramètres!$A$1:$I$88,3,0)*VLOOKUP('Données projet'!$B$11,Paramètres!$A$1:$I$88,5,0)</f>
        <v>101.65999999999991</v>
      </c>
      <c r="BF172" s="14">
        <f t="shared" si="167"/>
        <v>27.357089923704745</v>
      </c>
      <c r="BG172" s="22">
        <f t="shared" si="168"/>
        <v>224.70476495045224</v>
      </c>
      <c r="BH172" s="62">
        <f t="shared" si="116"/>
        <v>518.03809828378553</v>
      </c>
      <c r="BI172" s="62">
        <f ca="1">AVERAGE(OFFSET($BH$3,0,0,'Données projet'!$E$11+1,1))-AVERAGE(OFFSET($H$3,0,0,'Données projet'!$E$11+1,1))</f>
        <v>83.354474428753292</v>
      </c>
      <c r="BJ172" s="62">
        <f t="shared" si="146"/>
        <v>97.75861379589162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1.4843293327244234</v>
      </c>
      <c r="BQ172" s="23">
        <f>EXP(-LN(2)/25)*BQ171+(1-EXP(-LN(2)/25))/(LN(2)/25)*Calculateur!BL172*Calculateur!BN172*VLOOKUP('Données projet'!$B$11,Paramètres!$A$1:$I$88,3,0)*0.475*44/12</f>
        <v>0.56781905748120909</v>
      </c>
      <c r="BR172" s="23">
        <f>EXP(-LN(2)/2)*BR171+(1-EXP(-LN(2)/2))/(LN(2)/2)*BL172*BO172*VLOOKUP('Données projet'!$B$11,Paramètres!$A$1:$I$88,3,0)*0.475*44/12</f>
        <v>0</v>
      </c>
      <c r="BS172" s="24">
        <f t="shared" si="169"/>
        <v>2.0521483902056326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projet'!$B$12,Paramètres!$A$1:$I$88,3,0)*0.475*44/12</f>
        <v>#N/A</v>
      </c>
      <c r="CL172" s="23" t="e">
        <f>EXP(-LN(2)/25)*CL171+(1-EXP(-LN(2)/25))/(LN(2)/25)*Calculateur!CG172*Calculateur!CI172*VLOOKUP('Données projet'!$B$12,Paramètres!$A$1:$I$88,3,0)*0.475*44/12</f>
        <v>#N/A</v>
      </c>
      <c r="CM172" s="23" t="e">
        <f>EXP(-LN(2)/2)*CM171+(1-EXP(-LN(2)/2))/(LN(2)/2)*CG172*CJ172*VLOOKUP('Données projet'!$B$12,Paramètres!$A$1:$I$88,3,0)*0.475*44/12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124.64399999999956</v>
      </c>
      <c r="D173" s="12">
        <f t="shared" si="140"/>
        <v>32.755730870217128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1215.0154663665851</v>
      </c>
      <c r="H173" s="70">
        <f t="shared" si="110"/>
        <v>567.4711979322941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2.8421709430404007E-13</v>
      </c>
      <c r="O173" s="14">
        <f>N173*VLOOKUP('Données projet'!$B$9,Paramètres!$A$1:$I$88,3,0)*VLOOKUP('Données projet'!$B$9,Paramètres!$A$1:$I$88,5,0)</f>
        <v>1.588773557159584E-13</v>
      </c>
      <c r="P173" s="14">
        <f t="shared" si="141"/>
        <v>2.2615721672198623E-12</v>
      </c>
      <c r="Q173" s="22">
        <f t="shared" si="162"/>
        <v>4.2156162524465543E-12</v>
      </c>
      <c r="R173" s="62">
        <f t="shared" si="109"/>
        <v>293.33333333333752</v>
      </c>
      <c r="S173" s="62">
        <f ca="1">AVERAGE(OFFSET($R$3,0,0,'Données projet'!$E$9+1,1))-AVERAGE(OFFSET($H$3,0,0,'Données projet'!$E$9+1,1))</f>
        <v>222.18341301864729</v>
      </c>
      <c r="T173" s="62">
        <f t="shared" si="142"/>
        <v>172.63628480089358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38.400934229684907</v>
      </c>
      <c r="AA173" s="23">
        <f>EXP(-LN(2)/25)*AA172+(1-EXP(-LN(2)/25))/(LN(2)/25)*Calculateur!V173*Calculateur!X173*VLOOKUP('Données projet'!$B$9,Paramètres!$A$1:$I$88,3,0)*0.475*44/12</f>
        <v>8.9784422908740193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47.379376520558928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projet'!$B$10,Paramètres!$A$1:$I$88,3,0)*VLOOKUP('Données projet'!$B$10,Paramètres!$A$1:$I$88,5,0)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82.840015321739202</v>
      </c>
      <c r="AO173" s="62">
        <f t="shared" si="144"/>
        <v>101.40622074610098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8.6320865573094707</v>
      </c>
      <c r="AV173" s="23">
        <f>EXP(-LN(2)/25)*AV172+(1-EXP(-LN(2)/25))/(LN(2)/25)*Calculateur!AQ173*Calculateur!AS173*VLOOKUP('Données projet'!$B$10,Paramètres!$A$1:$I$88,3,0)*0.475*44/12</f>
        <v>1.8668053176815644</v>
      </c>
      <c r="AW173" s="23">
        <f>EXP(-LN(2)/2)*AW172+(1-EXP(-LN(2)/2))/(LN(2)/2)*AQ173*AT173*VLOOKUP('Données projet'!$B$10,Paramètres!$A$1:$I$88,3,0)*0.475*44/12</f>
        <v>0</v>
      </c>
      <c r="AX173" s="23">
        <f t="shared" si="166"/>
        <v>10.498891874991035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169.99999999999983</v>
      </c>
      <c r="BE173" s="14">
        <f>BD173*VLOOKUP('Données projet'!$B$11,Paramètres!$A$1:$I$88,3,0)*VLOOKUP('Données projet'!$B$11,Paramètres!$A$1:$I$88,5,0)</f>
        <v>101.65999999999991</v>
      </c>
      <c r="BF173" s="14">
        <f t="shared" si="167"/>
        <v>27.357089923704745</v>
      </c>
      <c r="BG173" s="22">
        <f t="shared" si="168"/>
        <v>224.70476495045224</v>
      </c>
      <c r="BH173" s="62">
        <f t="shared" si="116"/>
        <v>518.03809828378553</v>
      </c>
      <c r="BI173" s="62">
        <f ca="1">AVERAGE(OFFSET($BH$3,0,0,'Données projet'!$E$11+1,1))-AVERAGE(OFFSET($H$3,0,0,'Données projet'!$E$11+1,1))</f>
        <v>83.354474428753292</v>
      </c>
      <c r="BJ173" s="62">
        <f t="shared" si="146"/>
        <v>97.75861379589162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1.4552225398611944</v>
      </c>
      <c r="BQ173" s="23">
        <f>EXP(-LN(2)/25)*BQ172+(1-EXP(-LN(2)/25))/(LN(2)/25)*Calculateur!BL173*Calculateur!BN173*VLOOKUP('Données projet'!$B$11,Paramètres!$A$1:$I$88,3,0)*0.475*44/12</f>
        <v>0.55229201549407891</v>
      </c>
      <c r="BR173" s="23">
        <f>EXP(-LN(2)/2)*BR172+(1-EXP(-LN(2)/2))/(LN(2)/2)*BL173*BO173*VLOOKUP('Données projet'!$B$11,Paramètres!$A$1:$I$88,3,0)*0.475*44/12</f>
        <v>0</v>
      </c>
      <c r="BS173" s="24">
        <f t="shared" si="169"/>
        <v>2.0075145553552733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projet'!$B$12,Paramètres!$A$1:$I$88,3,0)*0.475*44/12</f>
        <v>#N/A</v>
      </c>
      <c r="CL173" s="23" t="e">
        <f>EXP(-LN(2)/25)*CL172+(1-EXP(-LN(2)/25))/(LN(2)/25)*Calculateur!CG173*Calculateur!CI173*VLOOKUP('Données projet'!$B$12,Paramètres!$A$1:$I$88,3,0)*0.475*44/12</f>
        <v>#N/A</v>
      </c>
      <c r="CM173" s="23" t="e">
        <f>EXP(-LN(2)/2)*CM172+(1-EXP(-LN(2)/2))/(LN(2)/2)*CG173*CJ173*VLOOKUP('Données projet'!$B$12,Paramètres!$A$1:$I$88,3,0)*0.475*44/12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125.37719999999956</v>
      </c>
      <c r="D174" s="12">
        <f t="shared" si="140"/>
        <v>32.925925439106763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1221.9890384773121</v>
      </c>
      <c r="H174" s="70">
        <f t="shared" si="110"/>
        <v>569.04461013977686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2.8421709430404007E-13</v>
      </c>
      <c r="O174" s="14">
        <f>N174*VLOOKUP('Données projet'!$B$9,Paramètres!$A$1:$I$88,3,0)*VLOOKUP('Données projet'!$B$9,Paramètres!$A$1:$I$88,5,0)</f>
        <v>1.588773557159584E-13</v>
      </c>
      <c r="P174" s="14">
        <f t="shared" si="141"/>
        <v>2.2615721672198623E-12</v>
      </c>
      <c r="Q174" s="22">
        <f t="shared" si="162"/>
        <v>4.2156162524465543E-12</v>
      </c>
      <c r="R174" s="62">
        <f t="shared" si="109"/>
        <v>293.33333333333752</v>
      </c>
      <c r="S174" s="62">
        <f ca="1">AVERAGE(OFFSET($R$3,0,0,'Données projet'!$E$9+1,1))-AVERAGE(OFFSET($H$3,0,0,'Données projet'!$E$9+1,1))</f>
        <v>222.18341301864729</v>
      </c>
      <c r="T174" s="62">
        <f t="shared" si="142"/>
        <v>172.63628480089358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37.647915331697909</v>
      </c>
      <c r="AA174" s="23">
        <f>EXP(-LN(2)/25)*AA173+(1-EXP(-LN(2)/25))/(LN(2)/25)*Calculateur!V174*Calculateur!X174*VLOOKUP('Données projet'!$B$9,Paramètres!$A$1:$I$88,3,0)*0.475*44/12</f>
        <v>8.7329263142743105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46.380841645972218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projet'!$B$10,Paramètres!$A$1:$I$88,3,0)*VLOOKUP('Données projet'!$B$10,Paramètres!$A$1:$I$88,5,0)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82.840015321739202</v>
      </c>
      <c r="AO174" s="62">
        <f t="shared" si="144"/>
        <v>101.40622074610098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8.4628166049735505</v>
      </c>
      <c r="AV174" s="23">
        <f>EXP(-LN(2)/25)*AV173+(1-EXP(-LN(2)/25))/(LN(2)/25)*Calculateur!AQ174*Calculateur!AS174*VLOOKUP('Données projet'!$B$10,Paramètres!$A$1:$I$88,3,0)*0.475*44/12</f>
        <v>1.8157574280985371</v>
      </c>
      <c r="AW174" s="23">
        <f>EXP(-LN(2)/2)*AW173+(1-EXP(-LN(2)/2))/(LN(2)/2)*AQ174*AT174*VLOOKUP('Données projet'!$B$10,Paramètres!$A$1:$I$88,3,0)*0.475*44/12</f>
        <v>0</v>
      </c>
      <c r="AX174" s="23">
        <f t="shared" si="166"/>
        <v>10.278574033072088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169.99999999999983</v>
      </c>
      <c r="BE174" s="14">
        <f>BD174*VLOOKUP('Données projet'!$B$11,Paramètres!$A$1:$I$88,3,0)*VLOOKUP('Données projet'!$B$11,Paramètres!$A$1:$I$88,5,0)</f>
        <v>101.65999999999991</v>
      </c>
      <c r="BF174" s="14">
        <f t="shared" si="167"/>
        <v>27.357089923704745</v>
      </c>
      <c r="BG174" s="22">
        <f t="shared" si="168"/>
        <v>224.70476495045224</v>
      </c>
      <c r="BH174" s="62">
        <f t="shared" si="116"/>
        <v>518.03809828378553</v>
      </c>
      <c r="BI174" s="62">
        <f ca="1">AVERAGE(OFFSET($BH$3,0,0,'Données projet'!$E$11+1,1))-AVERAGE(OFFSET($H$3,0,0,'Données projet'!$E$11+1,1))</f>
        <v>83.354474428753292</v>
      </c>
      <c r="BJ174" s="62">
        <f t="shared" si="146"/>
        <v>97.75861379589162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1.4266865134526228</v>
      </c>
      <c r="BQ174" s="23">
        <f>EXP(-LN(2)/25)*BQ173+(1-EXP(-LN(2)/25))/(LN(2)/25)*Calculateur!BL174*Calculateur!BN174*VLOOKUP('Données projet'!$B$11,Paramètres!$A$1:$I$88,3,0)*0.475*44/12</f>
        <v>0.53718956128661854</v>
      </c>
      <c r="BR174" s="23">
        <f>EXP(-LN(2)/2)*BR173+(1-EXP(-LN(2)/2))/(LN(2)/2)*BL174*BO174*VLOOKUP('Données projet'!$B$11,Paramètres!$A$1:$I$88,3,0)*0.475*44/12</f>
        <v>0</v>
      </c>
      <c r="BS174" s="24">
        <f t="shared" si="169"/>
        <v>1.9638760747392414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projet'!$B$12,Paramètres!$A$1:$I$88,3,0)*0.475*44/12</f>
        <v>#N/A</v>
      </c>
      <c r="CL174" s="23" t="e">
        <f>EXP(-LN(2)/25)*CL173+(1-EXP(-LN(2)/25))/(LN(2)/25)*Calculateur!CG174*Calculateur!CI174*VLOOKUP('Données projet'!$B$12,Paramètres!$A$1:$I$88,3,0)*0.475*44/12</f>
        <v>#N/A</v>
      </c>
      <c r="CM174" s="23" t="e">
        <f>EXP(-LN(2)/2)*CM173+(1-EXP(-LN(2)/2))/(LN(2)/2)*CG174*CJ174*VLOOKUP('Données projet'!$B$12,Paramètres!$A$1:$I$88,3,0)*0.475*44/12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126.11039999999956</v>
      </c>
      <c r="D175" s="12">
        <f t="shared" si="140"/>
        <v>33.096004194977731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1228.9617165928073</v>
      </c>
      <c r="H175" s="70">
        <f t="shared" si="110"/>
        <v>570.61782063958549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2.8421709430404007E-13</v>
      </c>
      <c r="O175" s="14">
        <f>N175*VLOOKUP('Données projet'!$B$9,Paramètres!$A$1:$I$88,3,0)*VLOOKUP('Données projet'!$B$9,Paramètres!$A$1:$I$88,5,0)</f>
        <v>1.588773557159584E-13</v>
      </c>
      <c r="P175" s="14">
        <f t="shared" si="141"/>
        <v>2.2615721672198623E-12</v>
      </c>
      <c r="Q175" s="22">
        <f t="shared" si="162"/>
        <v>4.2156162524465543E-12</v>
      </c>
      <c r="R175" s="62">
        <f t="shared" si="109"/>
        <v>293.33333333333752</v>
      </c>
      <c r="S175" s="62">
        <f ca="1">AVERAGE(OFFSET($R$3,0,0,'Données projet'!$E$9+1,1))-AVERAGE(OFFSET($H$3,0,0,'Données projet'!$E$9+1,1))</f>
        <v>222.18341301864729</v>
      </c>
      <c r="T175" s="62">
        <f t="shared" si="142"/>
        <v>172.63628480089358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36.909662675004263</v>
      </c>
      <c r="AA175" s="23">
        <f>EXP(-LN(2)/25)*AA174+(1-EXP(-LN(2)/25))/(LN(2)/25)*Calculateur!V175*Calculateur!X175*VLOOKUP('Données projet'!$B$9,Paramètres!$A$1:$I$88,3,0)*0.475*44/12</f>
        <v>8.4941239849658441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45.403786659970109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projet'!$B$10,Paramètres!$A$1:$I$88,3,0)*VLOOKUP('Données projet'!$B$10,Paramètres!$A$1:$I$88,5,0)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82.840015321739202</v>
      </c>
      <c r="AO175" s="62">
        <f t="shared" si="144"/>
        <v>101.40622074610098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8.2968659331584611</v>
      </c>
      <c r="AV175" s="23">
        <f>EXP(-LN(2)/25)*AV174+(1-EXP(-LN(2)/25))/(LN(2)/25)*Calculateur!AQ175*Calculateur!AS175*VLOOKUP('Données projet'!$B$10,Paramètres!$A$1:$I$88,3,0)*0.475*44/12</f>
        <v>1.7661054457406495</v>
      </c>
      <c r="AW175" s="23">
        <f>EXP(-LN(2)/2)*AW174+(1-EXP(-LN(2)/2))/(LN(2)/2)*AQ175*AT175*VLOOKUP('Données projet'!$B$10,Paramètres!$A$1:$I$88,3,0)*0.475*44/12</f>
        <v>0</v>
      </c>
      <c r="AX175" s="23">
        <f t="shared" si="166"/>
        <v>10.06297137889911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169.99999999999983</v>
      </c>
      <c r="BE175" s="14">
        <f>BD175*VLOOKUP('Données projet'!$B$11,Paramètres!$A$1:$I$88,3,0)*VLOOKUP('Données projet'!$B$11,Paramètres!$A$1:$I$88,5,0)</f>
        <v>101.65999999999991</v>
      </c>
      <c r="BF175" s="14">
        <f t="shared" si="167"/>
        <v>27.357089923704745</v>
      </c>
      <c r="BG175" s="22">
        <f t="shared" si="168"/>
        <v>224.70476495045224</v>
      </c>
      <c r="BH175" s="62">
        <f t="shared" si="116"/>
        <v>518.03809828378553</v>
      </c>
      <c r="BI175" s="62">
        <f ca="1">AVERAGE(OFFSET($BH$3,0,0,'Données projet'!$E$11+1,1))-AVERAGE(OFFSET($H$3,0,0,'Données projet'!$E$11+1,1))</f>
        <v>83.354474428753292</v>
      </c>
      <c r="BJ175" s="62">
        <f t="shared" si="146"/>
        <v>97.75861379589162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1.3987100611166656</v>
      </c>
      <c r="BQ175" s="23">
        <f>EXP(-LN(2)/25)*BQ174+(1-EXP(-LN(2)/25))/(LN(2)/25)*Calculateur!BL175*Calculateur!BN175*VLOOKUP('Données projet'!$B$11,Paramètres!$A$1:$I$88,3,0)*0.475*44/12</f>
        <v>0.5225000844836647</v>
      </c>
      <c r="BR175" s="23">
        <f>EXP(-LN(2)/2)*BR174+(1-EXP(-LN(2)/2))/(LN(2)/2)*BL175*BO175*VLOOKUP('Données projet'!$B$11,Paramètres!$A$1:$I$88,3,0)*0.475*44/12</f>
        <v>0</v>
      </c>
      <c r="BS175" s="24">
        <f t="shared" si="169"/>
        <v>1.9212101456003303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projet'!$B$12,Paramètres!$A$1:$I$88,3,0)*0.475*44/12</f>
        <v>#N/A</v>
      </c>
      <c r="CL175" s="23" t="e">
        <f>EXP(-LN(2)/25)*CL174+(1-EXP(-LN(2)/25))/(LN(2)/25)*Calculateur!CG175*Calculateur!CI175*VLOOKUP('Données projet'!$B$12,Paramètres!$A$1:$I$88,3,0)*0.475*44/12</f>
        <v>#N/A</v>
      </c>
      <c r="CM175" s="23" t="e">
        <f>EXP(-LN(2)/2)*CM174+(1-EXP(-LN(2)/2))/(LN(2)/2)*CG175*CJ175*VLOOKUP('Données projet'!$B$12,Paramètres!$A$1:$I$88,3,0)*0.475*44/12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126.84359999999955</v>
      </c>
      <c r="D176" s="12">
        <f t="shared" si="140"/>
        <v>33.265967889291609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1235.9335065138264</v>
      </c>
      <c r="H176" s="70">
        <f t="shared" si="110"/>
        <v>572.19083074051537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2.8421709430404007E-13</v>
      </c>
      <c r="O176" s="14">
        <f>N176*VLOOKUP('Données projet'!$B$9,Paramètres!$A$1:$I$88,3,0)*VLOOKUP('Données projet'!$B$9,Paramètres!$A$1:$I$88,5,0)</f>
        <v>1.588773557159584E-13</v>
      </c>
      <c r="P176" s="14">
        <f t="shared" si="141"/>
        <v>2.2615721672198623E-12</v>
      </c>
      <c r="Q176" s="22">
        <f t="shared" si="162"/>
        <v>4.2156162524465543E-12</v>
      </c>
      <c r="R176" s="62">
        <f t="shared" si="109"/>
        <v>293.33333333333752</v>
      </c>
      <c r="S176" s="62">
        <f ca="1">AVERAGE(OFFSET($R$3,0,0,'Données projet'!$E$9+1,1))-AVERAGE(OFFSET($H$3,0,0,'Données projet'!$E$9+1,1))</f>
        <v>222.18341301864729</v>
      </c>
      <c r="T176" s="62">
        <f t="shared" si="142"/>
        <v>172.63628480089358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36.185886702618717</v>
      </c>
      <c r="AA176" s="23">
        <f>EXP(-LN(2)/25)*AA175+(1-EXP(-LN(2)/25))/(LN(2)/25)*Calculateur!V176*Calculateur!X176*VLOOKUP('Données projet'!$B$9,Paramètres!$A$1:$I$88,3,0)*0.475*44/12</f>
        <v>8.2618517179103854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44.447738420529106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projet'!$B$10,Paramètres!$A$1:$I$88,3,0)*VLOOKUP('Données projet'!$B$10,Paramètres!$A$1:$I$88,5,0)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82.840015321739202</v>
      </c>
      <c r="AO176" s="62">
        <f t="shared" si="144"/>
        <v>101.40622074610098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8.1341694527977513</v>
      </c>
      <c r="AV176" s="23">
        <f>EXP(-LN(2)/25)*AV175+(1-EXP(-LN(2)/25))/(LN(2)/25)*Calculateur!AQ176*Calculateur!AS176*VLOOKUP('Données projet'!$B$10,Paramètres!$A$1:$I$88,3,0)*0.475*44/12</f>
        <v>1.7178111994514225</v>
      </c>
      <c r="AW176" s="23">
        <f>EXP(-LN(2)/2)*AW175+(1-EXP(-LN(2)/2))/(LN(2)/2)*AQ176*AT176*VLOOKUP('Données projet'!$B$10,Paramètres!$A$1:$I$88,3,0)*0.475*44/12</f>
        <v>0</v>
      </c>
      <c r="AX176" s="23">
        <f t="shared" si="166"/>
        <v>9.8519806522491731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169.99999999999983</v>
      </c>
      <c r="BE176" s="14">
        <f>BD176*VLOOKUP('Données projet'!$B$11,Paramètres!$A$1:$I$88,3,0)*VLOOKUP('Données projet'!$B$11,Paramètres!$A$1:$I$88,5,0)</f>
        <v>101.65999999999991</v>
      </c>
      <c r="BF176" s="14">
        <f t="shared" si="167"/>
        <v>27.357089923704745</v>
      </c>
      <c r="BG176" s="22">
        <f t="shared" si="168"/>
        <v>224.70476495045224</v>
      </c>
      <c r="BH176" s="62">
        <f t="shared" si="116"/>
        <v>518.03809828378553</v>
      </c>
      <c r="BI176" s="62">
        <f ca="1">AVERAGE(OFFSET($BH$3,0,0,'Données projet'!$E$11+1,1))-AVERAGE(OFFSET($H$3,0,0,'Données projet'!$E$11+1,1))</f>
        <v>83.354474428753292</v>
      </c>
      <c r="BJ176" s="62">
        <f t="shared" si="146"/>
        <v>97.75861379589162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1.3712822099470656</v>
      </c>
      <c r="BQ176" s="23">
        <f>EXP(-LN(2)/25)*BQ175+(1-EXP(-LN(2)/25))/(LN(2)/25)*Calculateur!BL176*Calculateur!BN176*VLOOKUP('Données projet'!$B$11,Paramètres!$A$1:$I$88,3,0)*0.475*44/12</f>
        <v>0.50821229219637365</v>
      </c>
      <c r="BR176" s="23">
        <f>EXP(-LN(2)/2)*BR175+(1-EXP(-LN(2)/2))/(LN(2)/2)*BL176*BO176*VLOOKUP('Données projet'!$B$11,Paramètres!$A$1:$I$88,3,0)*0.475*44/12</f>
        <v>0</v>
      </c>
      <c r="BS176" s="24">
        <f t="shared" si="169"/>
        <v>1.8794945021434393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projet'!$B$12,Paramètres!$A$1:$I$88,3,0)*0.475*44/12</f>
        <v>#N/A</v>
      </c>
      <c r="CL176" s="23" t="e">
        <f>EXP(-LN(2)/25)*CL175+(1-EXP(-LN(2)/25))/(LN(2)/25)*Calculateur!CG176*Calculateur!CI176*VLOOKUP('Données projet'!$B$12,Paramètres!$A$1:$I$88,3,0)*0.475*44/12</f>
        <v>#N/A</v>
      </c>
      <c r="CM176" s="23" t="e">
        <f>EXP(-LN(2)/2)*CM175+(1-EXP(-LN(2)/2))/(LN(2)/2)*CG176*CJ176*VLOOKUP('Données projet'!$B$12,Paramètres!$A$1:$I$88,3,0)*0.475*44/12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127.57679999999955</v>
      </c>
      <c r="D177" s="12">
        <f t="shared" si="140"/>
        <v>33.435817264319738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1242.9044139701841</v>
      </c>
      <c r="H177" s="70">
        <f t="shared" si="110"/>
        <v>573.76364173535603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2.8421709430404007E-13</v>
      </c>
      <c r="O177" s="14">
        <f>N177*VLOOKUP('Données projet'!$B$9,Paramètres!$A$1:$I$88,3,0)*VLOOKUP('Données projet'!$B$9,Paramètres!$A$1:$I$88,5,0)</f>
        <v>1.588773557159584E-13</v>
      </c>
      <c r="P177" s="14">
        <f t="shared" si="141"/>
        <v>2.2615721672198623E-12</v>
      </c>
      <c r="Q177" s="22">
        <f t="shared" si="162"/>
        <v>4.2156162524465543E-12</v>
      </c>
      <c r="R177" s="62">
        <f t="shared" si="109"/>
        <v>293.33333333333752</v>
      </c>
      <c r="S177" s="62">
        <f ca="1">AVERAGE(OFFSET($R$3,0,0,'Données projet'!$E$9+1,1))-AVERAGE(OFFSET($H$3,0,0,'Données projet'!$E$9+1,1))</f>
        <v>222.18341301864729</v>
      </c>
      <c r="T177" s="62">
        <f t="shared" si="142"/>
        <v>172.63628480089358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35.476303535591903</v>
      </c>
      <c r="AA177" s="23">
        <f>EXP(-LN(2)/25)*AA176+(1-EXP(-LN(2)/25))/(LN(2)/25)*Calculateur!V177*Calculateur!X177*VLOOKUP('Données projet'!$B$9,Paramètres!$A$1:$I$88,3,0)*0.475*44/12</f>
        <v>8.0359309482122274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43.512234483804129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projet'!$B$10,Paramètres!$A$1:$I$88,3,0)*VLOOKUP('Données projet'!$B$10,Paramètres!$A$1:$I$88,5,0)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82.840015321739202</v>
      </c>
      <c r="AO177" s="62">
        <f t="shared" si="144"/>
        <v>101.40622074610098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7.974663351181861</v>
      </c>
      <c r="AV177" s="23">
        <f>EXP(-LN(2)/25)*AV176+(1-EXP(-LN(2)/25))/(LN(2)/25)*Calculateur!AQ177*Calculateur!AS177*VLOOKUP('Données projet'!$B$10,Paramètres!$A$1:$I$88,3,0)*0.475*44/12</f>
        <v>1.6708375618666584</v>
      </c>
      <c r="AW177" s="23">
        <f>EXP(-LN(2)/2)*AW176+(1-EXP(-LN(2)/2))/(LN(2)/2)*AQ177*AT177*VLOOKUP('Données projet'!$B$10,Paramètres!$A$1:$I$88,3,0)*0.475*44/12</f>
        <v>0</v>
      </c>
      <c r="AX177" s="23">
        <f t="shared" si="166"/>
        <v>9.6455009130485188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169.99999999999983</v>
      </c>
      <c r="BE177" s="14">
        <f>BD177*VLOOKUP('Données projet'!$B$11,Paramètres!$A$1:$I$88,3,0)*VLOOKUP('Données projet'!$B$11,Paramètres!$A$1:$I$88,5,0)</f>
        <v>101.65999999999991</v>
      </c>
      <c r="BF177" s="14">
        <f t="shared" si="167"/>
        <v>27.357089923704745</v>
      </c>
      <c r="BG177" s="22">
        <f t="shared" si="168"/>
        <v>224.70476495045224</v>
      </c>
      <c r="BH177" s="62">
        <f t="shared" si="116"/>
        <v>518.03809828378553</v>
      </c>
      <c r="BI177" s="62">
        <f ca="1">AVERAGE(OFFSET($BH$3,0,0,'Données projet'!$E$11+1,1))-AVERAGE(OFFSET($H$3,0,0,'Données projet'!$E$11+1,1))</f>
        <v>83.354474428753292</v>
      </c>
      <c r="BJ177" s="62">
        <f t="shared" si="146"/>
        <v>97.75861379589162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1.3443922022095642</v>
      </c>
      <c r="BQ177" s="23">
        <f>EXP(-LN(2)/25)*BQ176+(1-EXP(-LN(2)/25))/(LN(2)/25)*Calculateur!BL177*Calculateur!BN177*VLOOKUP('Données projet'!$B$11,Paramètres!$A$1:$I$88,3,0)*0.475*44/12</f>
        <v>0.49431520034054088</v>
      </c>
      <c r="BR177" s="23">
        <f>EXP(-LN(2)/2)*BR176+(1-EXP(-LN(2)/2))/(LN(2)/2)*BL177*BO177*VLOOKUP('Données projet'!$B$11,Paramètres!$A$1:$I$88,3,0)*0.475*44/12</f>
        <v>0</v>
      </c>
      <c r="BS177" s="24">
        <f t="shared" si="169"/>
        <v>1.8387074025501051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projet'!$B$12,Paramètres!$A$1:$I$88,3,0)*0.475*44/12</f>
        <v>#N/A</v>
      </c>
      <c r="CL177" s="23" t="e">
        <f>EXP(-LN(2)/25)*CL176+(1-EXP(-LN(2)/25))/(LN(2)/25)*Calculateur!CG177*Calculateur!CI177*VLOOKUP('Données projet'!$B$12,Paramètres!$A$1:$I$88,3,0)*0.475*44/12</f>
        <v>#N/A</v>
      </c>
      <c r="CM177" s="23" t="e">
        <f>EXP(-LN(2)/2)*CM176+(1-EXP(-LN(2)/2))/(LN(2)/2)*CG177*CJ177*VLOOKUP('Données projet'!$B$12,Paramètres!$A$1:$I$88,3,0)*0.475*44/12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128.30999999999955</v>
      </c>
      <c r="D178" s="12">
        <f t="shared" si="140"/>
        <v>33.605553053307958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1249.874444622023</v>
      </c>
      <c r="H178" s="70">
        <f t="shared" si="110"/>
        <v>575.3362549011772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2.8421709430404007E-13</v>
      </c>
      <c r="O178" s="14">
        <f>N178*VLOOKUP('Données projet'!$B$9,Paramètres!$A$1:$I$88,3,0)*VLOOKUP('Données projet'!$B$9,Paramètres!$A$1:$I$88,5,0)</f>
        <v>1.588773557159584E-13</v>
      </c>
      <c r="P178" s="14">
        <f t="shared" si="141"/>
        <v>2.2615721672198623E-12</v>
      </c>
      <c r="Q178" s="22">
        <f t="shared" si="162"/>
        <v>4.2156162524465543E-12</v>
      </c>
      <c r="R178" s="62">
        <f t="shared" si="109"/>
        <v>293.33333333333752</v>
      </c>
      <c r="S178" s="62">
        <f ca="1">AVERAGE(OFFSET($R$3,0,0,'Données projet'!$E$9+1,1))-AVERAGE(OFFSET($H$3,0,0,'Données projet'!$E$9+1,1))</f>
        <v>222.18341301864729</v>
      </c>
      <c r="T178" s="62">
        <f t="shared" si="142"/>
        <v>172.63628480089358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34.780634861667487</v>
      </c>
      <c r="AA178" s="23">
        <f>EXP(-LN(2)/25)*AA177+(1-EXP(-LN(2)/25))/(LN(2)/25)*Calculateur!V178*Calculateur!X178*VLOOKUP('Données projet'!$B$9,Paramètres!$A$1:$I$88,3,0)*0.475*44/12</f>
        <v>7.8161879938421217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42.596822855509608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projet'!$B$10,Paramètres!$A$1:$I$88,3,0)*VLOOKUP('Données projet'!$B$10,Paramètres!$A$1:$I$88,5,0)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82.840015321739202</v>
      </c>
      <c r="AO178" s="62">
        <f t="shared" si="144"/>
        <v>101.40622074610098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7.8182850669295423</v>
      </c>
      <c r="AV178" s="23">
        <f>EXP(-LN(2)/25)*AV177+(1-EXP(-LN(2)/25))/(LN(2)/25)*Calculateur!AQ178*Calculateur!AS178*VLOOKUP('Données projet'!$B$10,Paramètres!$A$1:$I$88,3,0)*0.475*44/12</f>
        <v>1.625148420871886</v>
      </c>
      <c r="AW178" s="23">
        <f>EXP(-LN(2)/2)*AW177+(1-EXP(-LN(2)/2))/(LN(2)/2)*AQ178*AT178*VLOOKUP('Données projet'!$B$10,Paramètres!$A$1:$I$88,3,0)*0.475*44/12</f>
        <v>0</v>
      </c>
      <c r="AX178" s="23">
        <f t="shared" si="166"/>
        <v>9.4434334878014283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169.99999999999983</v>
      </c>
      <c r="BE178" s="14">
        <f>BD178*VLOOKUP('Données projet'!$B$11,Paramètres!$A$1:$I$88,3,0)*VLOOKUP('Données projet'!$B$11,Paramètres!$A$1:$I$88,5,0)</f>
        <v>101.65999999999991</v>
      </c>
      <c r="BF178" s="14">
        <f t="shared" si="167"/>
        <v>27.357089923704745</v>
      </c>
      <c r="BG178" s="22">
        <f t="shared" si="168"/>
        <v>224.70476495045224</v>
      </c>
      <c r="BH178" s="62">
        <f t="shared" si="116"/>
        <v>518.03809828378553</v>
      </c>
      <c r="BI178" s="62">
        <f ca="1">AVERAGE(OFFSET($BH$3,0,0,'Données projet'!$E$11+1,1))-AVERAGE(OFFSET($H$3,0,0,'Données projet'!$E$11+1,1))</f>
        <v>83.354474428753292</v>
      </c>
      <c r="BJ178" s="62">
        <f t="shared" si="146"/>
        <v>97.75861379589162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1.3180294911225099</v>
      </c>
      <c r="BQ178" s="23">
        <f>EXP(-LN(2)/25)*BQ177+(1-EXP(-LN(2)/25))/(LN(2)/25)*Calculateur!BL178*Calculateur!BN178*VLOOKUP('Données projet'!$B$11,Paramètres!$A$1:$I$88,3,0)*0.475*44/12</f>
        <v>0.48079812519232218</v>
      </c>
      <c r="BR178" s="23">
        <f>EXP(-LN(2)/2)*BR177+(1-EXP(-LN(2)/2))/(LN(2)/2)*BL178*BO178*VLOOKUP('Données projet'!$B$11,Paramètres!$A$1:$I$88,3,0)*0.475*44/12</f>
        <v>0</v>
      </c>
      <c r="BS178" s="24">
        <f t="shared" si="169"/>
        <v>1.798827616314832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projet'!$B$12,Paramètres!$A$1:$I$88,3,0)*0.475*44/12</f>
        <v>#N/A</v>
      </c>
      <c r="CL178" s="23" t="e">
        <f>EXP(-LN(2)/25)*CL177+(1-EXP(-LN(2)/25))/(LN(2)/25)*Calculateur!CG178*Calculateur!CI178*VLOOKUP('Données projet'!$B$12,Paramètres!$A$1:$I$88,3,0)*0.475*44/12</f>
        <v>#N/A</v>
      </c>
      <c r="CM178" s="23" t="e">
        <f>EXP(-LN(2)/2)*CM177+(1-EXP(-LN(2)/2))/(LN(2)/2)*CG178*CJ178*VLOOKUP('Données projet'!$B$12,Paramètres!$A$1:$I$88,3,0)*0.475*44/12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129.04319999999956</v>
      </c>
      <c r="D179" s="12">
        <f t="shared" si="140"/>
        <v>33.7751759806373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1256.8436040610566</v>
      </c>
      <c r="H179" s="70">
        <f t="shared" si="110"/>
        <v>576.90867149960923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2.8421709430404007E-13</v>
      </c>
      <c r="O179" s="14">
        <f>N179*VLOOKUP('Données projet'!$B$9,Paramètres!$A$1:$I$88,3,0)*VLOOKUP('Données projet'!$B$9,Paramètres!$A$1:$I$88,5,0)</f>
        <v>1.588773557159584E-13</v>
      </c>
      <c r="P179" s="14">
        <f t="shared" si="141"/>
        <v>2.2615721672198623E-12</v>
      </c>
      <c r="Q179" s="22">
        <f t="shared" si="162"/>
        <v>4.2156162524465543E-12</v>
      </c>
      <c r="R179" s="62">
        <f t="shared" si="109"/>
        <v>293.33333333333752</v>
      </c>
      <c r="S179" s="62">
        <f ca="1">AVERAGE(OFFSET($R$3,0,0,'Données projet'!$E$9+1,1))-AVERAGE(OFFSET($H$3,0,0,'Données projet'!$E$9+1,1))</f>
        <v>222.18341301864729</v>
      </c>
      <c r="T179" s="62">
        <f t="shared" si="142"/>
        <v>172.63628480089358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34.098607826122738</v>
      </c>
      <c r="AA179" s="23">
        <f>EXP(-LN(2)/25)*AA178+(1-EXP(-LN(2)/25))/(LN(2)/25)*Calculateur!V179*Calculateur!X179*VLOOKUP('Données projet'!$B$9,Paramètres!$A$1:$I$88,3,0)*0.475*44/12</f>
        <v>7.6024539221150462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41.701061748237784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projet'!$B$10,Paramètres!$A$1:$I$88,3,0)*VLOOKUP('Données projet'!$B$10,Paramètres!$A$1:$I$88,5,0)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82.840015321739202</v>
      </c>
      <c r="AO179" s="62">
        <f t="shared" si="144"/>
        <v>101.40622074610098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7.6649732654500768</v>
      </c>
      <c r="AV179" s="23">
        <f>EXP(-LN(2)/25)*AV178+(1-EXP(-LN(2)/25))/(LN(2)/25)*Calculateur!AQ179*Calculateur!AS179*VLOOKUP('Données projet'!$B$10,Paramètres!$A$1:$I$88,3,0)*0.475*44/12</f>
        <v>1.5807086518403033</v>
      </c>
      <c r="AW179" s="23">
        <f>EXP(-LN(2)/2)*AW178+(1-EXP(-LN(2)/2))/(LN(2)/2)*AQ179*AT179*VLOOKUP('Données projet'!$B$10,Paramètres!$A$1:$I$88,3,0)*0.475*44/12</f>
        <v>0</v>
      </c>
      <c r="AX179" s="23">
        <f t="shared" si="166"/>
        <v>9.2456819172903799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169.99999999999983</v>
      </c>
      <c r="BE179" s="14">
        <f>BD179*VLOOKUP('Données projet'!$B$11,Paramètres!$A$1:$I$88,3,0)*VLOOKUP('Données projet'!$B$11,Paramètres!$A$1:$I$88,5,0)</f>
        <v>101.65999999999991</v>
      </c>
      <c r="BF179" s="14">
        <f t="shared" si="167"/>
        <v>27.357089923704745</v>
      </c>
      <c r="BG179" s="22">
        <f t="shared" si="168"/>
        <v>224.70476495045224</v>
      </c>
      <c r="BH179" s="62">
        <f t="shared" si="116"/>
        <v>518.03809828378553</v>
      </c>
      <c r="BI179" s="62">
        <f ca="1">AVERAGE(OFFSET($BH$3,0,0,'Données projet'!$E$11+1,1))-AVERAGE(OFFSET($H$3,0,0,'Données projet'!$E$11+1,1))</f>
        <v>83.354474428753292</v>
      </c>
      <c r="BJ179" s="62">
        <f t="shared" si="146"/>
        <v>97.75861379589162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1.2921837367202067</v>
      </c>
      <c r="BQ179" s="23">
        <f>EXP(-LN(2)/25)*BQ178+(1-EXP(-LN(2)/25))/(LN(2)/25)*Calculateur!BL179*Calculateur!BN179*VLOOKUP('Données projet'!$B$11,Paramètres!$A$1:$I$88,3,0)*0.475*44/12</f>
        <v>0.46765067517486358</v>
      </c>
      <c r="BR179" s="23">
        <f>EXP(-LN(2)/2)*BR178+(1-EXP(-LN(2)/2))/(LN(2)/2)*BL179*BO179*VLOOKUP('Données projet'!$B$11,Paramètres!$A$1:$I$88,3,0)*0.475*44/12</f>
        <v>0</v>
      </c>
      <c r="BS179" s="24">
        <f t="shared" si="169"/>
        <v>1.7598344118950702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projet'!$B$12,Paramètres!$A$1:$I$88,3,0)*0.475*44/12</f>
        <v>#N/A</v>
      </c>
      <c r="CL179" s="23" t="e">
        <f>EXP(-LN(2)/25)*CL178+(1-EXP(-LN(2)/25))/(LN(2)/25)*Calculateur!CG179*Calculateur!CI179*VLOOKUP('Données projet'!$B$12,Paramètres!$A$1:$I$88,3,0)*0.475*44/12</f>
        <v>#N/A</v>
      </c>
      <c r="CM179" s="23" t="e">
        <f>EXP(-LN(2)/2)*CM178+(1-EXP(-LN(2)/2))/(LN(2)/2)*CG179*CJ179*VLOOKUP('Données projet'!$B$12,Paramètres!$A$1:$I$88,3,0)*0.475*44/12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129.77639999999957</v>
      </c>
      <c r="D180" s="12">
        <f t="shared" si="140"/>
        <v>33.944686761980805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1263.8118978117782</v>
      </c>
      <c r="H180" s="70">
        <f t="shared" si="110"/>
        <v>578.48089277711574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2.8421709430404007E-13</v>
      </c>
      <c r="O180" s="14">
        <f>N180*VLOOKUP('Données projet'!$B$9,Paramètres!$A$1:$I$88,3,0)*VLOOKUP('Données projet'!$B$9,Paramètres!$A$1:$I$88,5,0)</f>
        <v>1.588773557159584E-13</v>
      </c>
      <c r="P180" s="14">
        <f t="shared" si="141"/>
        <v>2.2615721672198623E-12</v>
      </c>
      <c r="Q180" s="22">
        <f t="shared" si="162"/>
        <v>4.2156162524465543E-12</v>
      </c>
      <c r="R180" s="62">
        <f t="shared" si="109"/>
        <v>293.33333333333752</v>
      </c>
      <c r="S180" s="62">
        <f ca="1">AVERAGE(OFFSET($R$3,0,0,'Données projet'!$E$9+1,1))-AVERAGE(OFFSET($H$3,0,0,'Données projet'!$E$9+1,1))</f>
        <v>222.18341301864729</v>
      </c>
      <c r="T180" s="62">
        <f t="shared" si="142"/>
        <v>172.63628480089358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33.429954924749602</v>
      </c>
      <c r="AA180" s="23">
        <f>EXP(-LN(2)/25)*AA179+(1-EXP(-LN(2)/25))/(LN(2)/25)*Calculateur!V180*Calculateur!X180*VLOOKUP('Données projet'!$B$9,Paramètres!$A$1:$I$88,3,0)*0.475*44/12</f>
        <v>7.394564419819134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40.824519344568735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projet'!$B$10,Paramètres!$A$1:$I$88,3,0)*VLOOKUP('Données projet'!$B$10,Paramètres!$A$1:$I$88,5,0)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82.840015321739202</v>
      </c>
      <c r="AO180" s="62">
        <f t="shared" si="144"/>
        <v>101.40622074610098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7.5146678148866579</v>
      </c>
      <c r="AV180" s="23">
        <f>EXP(-LN(2)/25)*AV179+(1-EXP(-LN(2)/25))/(LN(2)/25)*Calculateur!AQ180*Calculateur!AS180*VLOOKUP('Données projet'!$B$10,Paramètres!$A$1:$I$88,3,0)*0.475*44/12</f>
        <v>1.537484090629875</v>
      </c>
      <c r="AW180" s="23">
        <f>EXP(-LN(2)/2)*AW179+(1-EXP(-LN(2)/2))/(LN(2)/2)*AQ180*AT180*VLOOKUP('Données projet'!$B$10,Paramètres!$A$1:$I$88,3,0)*0.475*44/12</f>
        <v>0</v>
      </c>
      <c r="AX180" s="23">
        <f t="shared" si="166"/>
        <v>9.0521519055165331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169.99999999999983</v>
      </c>
      <c r="BE180" s="14">
        <f>BD180*VLOOKUP('Données projet'!$B$11,Paramètres!$A$1:$I$88,3,0)*VLOOKUP('Données projet'!$B$11,Paramètres!$A$1:$I$88,5,0)</f>
        <v>101.65999999999991</v>
      </c>
      <c r="BF180" s="14">
        <f t="shared" si="167"/>
        <v>27.357089923704745</v>
      </c>
      <c r="BG180" s="22">
        <f t="shared" si="168"/>
        <v>224.70476495045224</v>
      </c>
      <c r="BH180" s="62">
        <f t="shared" si="116"/>
        <v>518.03809828378553</v>
      </c>
      <c r="BI180" s="62">
        <f ca="1">AVERAGE(OFFSET($BH$3,0,0,'Données projet'!$E$11+1,1))-AVERAGE(OFFSET($H$3,0,0,'Données projet'!$E$11+1,1))</f>
        <v>83.354474428753292</v>
      </c>
      <c r="BJ180" s="62">
        <f t="shared" si="146"/>
        <v>97.75861379589162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1.266844801797379</v>
      </c>
      <c r="BQ180" s="23">
        <f>EXP(-LN(2)/25)*BQ179+(1-EXP(-LN(2)/25))/(LN(2)/25)*Calculateur!BL180*Calculateur!BN180*VLOOKUP('Données projet'!$B$11,Paramètres!$A$1:$I$88,3,0)*0.475*44/12</f>
        <v>0.45486274286952677</v>
      </c>
      <c r="BR180" s="23">
        <f>EXP(-LN(2)/2)*BR179+(1-EXP(-LN(2)/2))/(LN(2)/2)*BL180*BO180*VLOOKUP('Données projet'!$B$11,Paramètres!$A$1:$I$88,3,0)*0.475*44/12</f>
        <v>0</v>
      </c>
      <c r="BS180" s="24">
        <f t="shared" si="169"/>
        <v>1.7217075446669057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projet'!$B$12,Paramètres!$A$1:$I$88,3,0)*0.475*44/12</f>
        <v>#N/A</v>
      </c>
      <c r="CL180" s="23" t="e">
        <f>EXP(-LN(2)/25)*CL179+(1-EXP(-LN(2)/25))/(LN(2)/25)*Calculateur!CG180*Calculateur!CI180*VLOOKUP('Données projet'!$B$12,Paramètres!$A$1:$I$88,3,0)*0.475*44/12</f>
        <v>#N/A</v>
      </c>
      <c r="CM180" s="23" t="e">
        <f>EXP(-LN(2)/2)*CM179+(1-EXP(-LN(2)/2))/(LN(2)/2)*CG180*CJ180*VLOOKUP('Données projet'!$B$12,Paramètres!$A$1:$I$88,3,0)*0.475*44/12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130.50959999999958</v>
      </c>
      <c r="D181" s="12">
        <f t="shared" si="140"/>
        <v>34.114086104456895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1270.7793313326467</v>
      </c>
      <c r="H181" s="70">
        <f t="shared" si="110"/>
        <v>580.05291996526171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2.8421709430404007E-13</v>
      </c>
      <c r="O181" s="14">
        <f>N181*VLOOKUP('Données projet'!$B$9,Paramètres!$A$1:$I$88,3,0)*VLOOKUP('Données projet'!$B$9,Paramètres!$A$1:$I$88,5,0)</f>
        <v>1.588773557159584E-13</v>
      </c>
      <c r="P181" s="14">
        <f t="shared" si="141"/>
        <v>2.2615721672198623E-12</v>
      </c>
      <c r="Q181" s="22">
        <f t="shared" si="162"/>
        <v>4.2156162524465543E-12</v>
      </c>
      <c r="R181" s="62">
        <f t="shared" si="109"/>
        <v>293.33333333333752</v>
      </c>
      <c r="S181" s="62">
        <f ca="1">AVERAGE(OFFSET($R$3,0,0,'Données projet'!$E$9+1,1))-AVERAGE(OFFSET($H$3,0,0,'Données projet'!$E$9+1,1))</f>
        <v>222.18341301864729</v>
      </c>
      <c r="T181" s="62">
        <f t="shared" si="142"/>
        <v>172.63628480089358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32.774413898934398</v>
      </c>
      <c r="AA181" s="23">
        <f>EXP(-LN(2)/25)*AA180+(1-EXP(-LN(2)/25))/(LN(2)/25)*Calculateur!V181*Calculateur!X181*VLOOKUP('Données projet'!$B$9,Paramètres!$A$1:$I$88,3,0)*0.475*44/12</f>
        <v>7.1923596668959373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39.966773565830337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projet'!$B$10,Paramètres!$A$1:$I$88,3,0)*VLOOKUP('Données projet'!$B$10,Paramètres!$A$1:$I$88,5,0)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82.840015321739202</v>
      </c>
      <c r="AO181" s="62">
        <f t="shared" si="144"/>
        <v>101.40622074610098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7.3673097625315149</v>
      </c>
      <c r="AV181" s="23">
        <f>EXP(-LN(2)/25)*AV180+(1-EXP(-LN(2)/25))/(LN(2)/25)*Calculateur!AQ181*Calculateur!AS181*VLOOKUP('Données projet'!$B$10,Paramètres!$A$1:$I$88,3,0)*0.475*44/12</f>
        <v>1.4954415073188267</v>
      </c>
      <c r="AW181" s="23">
        <f>EXP(-LN(2)/2)*AW180+(1-EXP(-LN(2)/2))/(LN(2)/2)*AQ181*AT181*VLOOKUP('Données projet'!$B$10,Paramètres!$A$1:$I$88,3,0)*0.475*44/12</f>
        <v>0</v>
      </c>
      <c r="AX181" s="23">
        <f t="shared" si="166"/>
        <v>8.8627512698503423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169.99999999999983</v>
      </c>
      <c r="BE181" s="14">
        <f>BD181*VLOOKUP('Données projet'!$B$11,Paramètres!$A$1:$I$88,3,0)*VLOOKUP('Données projet'!$B$11,Paramètres!$A$1:$I$88,5,0)</f>
        <v>101.65999999999991</v>
      </c>
      <c r="BF181" s="14">
        <f t="shared" si="167"/>
        <v>27.357089923704745</v>
      </c>
      <c r="BG181" s="22">
        <f t="shared" si="168"/>
        <v>224.70476495045224</v>
      </c>
      <c r="BH181" s="62">
        <f t="shared" si="116"/>
        <v>518.03809828378553</v>
      </c>
      <c r="BI181" s="62">
        <f ca="1">AVERAGE(OFFSET($BH$3,0,0,'Données projet'!$E$11+1,1))-AVERAGE(OFFSET($H$3,0,0,'Données projet'!$E$11+1,1))</f>
        <v>83.354474428753292</v>
      </c>
      <c r="BJ181" s="62">
        <f t="shared" si="146"/>
        <v>97.75861379589162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1.2420027479331639</v>
      </c>
      <c r="BQ181" s="23">
        <f>EXP(-LN(2)/25)*BQ180+(1-EXP(-LN(2)/25))/(LN(2)/25)*Calculateur!BL181*Calculateur!BN181*VLOOKUP('Données projet'!$B$11,Paramètres!$A$1:$I$88,3,0)*0.475*44/12</f>
        <v>0.44242449724556754</v>
      </c>
      <c r="BR181" s="23">
        <f>EXP(-LN(2)/2)*BR180+(1-EXP(-LN(2)/2))/(LN(2)/2)*BL181*BO181*VLOOKUP('Données projet'!$B$11,Paramètres!$A$1:$I$88,3,0)*0.475*44/12</f>
        <v>0</v>
      </c>
      <c r="BS181" s="24">
        <f t="shared" si="169"/>
        <v>1.6844272451787314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projet'!$B$12,Paramètres!$A$1:$I$88,3,0)*0.475*44/12</f>
        <v>#N/A</v>
      </c>
      <c r="CL181" s="23" t="e">
        <f>EXP(-LN(2)/25)*CL180+(1-EXP(-LN(2)/25))/(LN(2)/25)*Calculateur!CG181*Calculateur!CI181*VLOOKUP('Données projet'!$B$12,Paramètres!$A$1:$I$88,3,0)*0.475*44/12</f>
        <v>#N/A</v>
      </c>
      <c r="CM181" s="23" t="e">
        <f>EXP(-LN(2)/2)*CM180+(1-EXP(-LN(2)/2))/(LN(2)/2)*CG181*CJ181*VLOOKUP('Données projet'!$B$12,Paramètres!$A$1:$I$88,3,0)*0.475*44/12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131.24279999999959</v>
      </c>
      <c r="D182" s="12">
        <f t="shared" si="140"/>
        <v>34.283374706778957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1277.745910017238</v>
      </c>
      <c r="H182" s="70">
        <f t="shared" si="110"/>
        <v>581.62475428097252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2.8421709430404007E-13</v>
      </c>
      <c r="O182" s="14">
        <f>N182*VLOOKUP('Données projet'!$B$9,Paramètres!$A$1:$I$88,3,0)*VLOOKUP('Données projet'!$B$9,Paramètres!$A$1:$I$88,5,0)</f>
        <v>1.588773557159584E-13</v>
      </c>
      <c r="P182" s="14">
        <f t="shared" si="141"/>
        <v>2.2615721672198623E-12</v>
      </c>
      <c r="Q182" s="22">
        <f t="shared" si="162"/>
        <v>4.2156162524465543E-12</v>
      </c>
      <c r="R182" s="62">
        <f t="shared" si="109"/>
        <v>293.33333333333752</v>
      </c>
      <c r="S182" s="62">
        <f ca="1">AVERAGE(OFFSET($R$3,0,0,'Données projet'!$E$9+1,1))-AVERAGE(OFFSET($H$3,0,0,'Données projet'!$E$9+1,1))</f>
        <v>222.18341301864729</v>
      </c>
      <c r="T182" s="62">
        <f t="shared" si="142"/>
        <v>172.63628480089358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32.131727632794885</v>
      </c>
      <c r="AA182" s="23">
        <f>EXP(-LN(2)/25)*AA181+(1-EXP(-LN(2)/25))/(LN(2)/25)*Calculateur!V182*Calculateur!X182*VLOOKUP('Données projet'!$B$9,Paramètres!$A$1:$I$88,3,0)*0.475*44/12</f>
        <v>6.9956842135749113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39.127411846369796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projet'!$B$10,Paramètres!$A$1:$I$88,3,0)*VLOOKUP('Données projet'!$B$10,Paramètres!$A$1:$I$88,5,0)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82.840015321739202</v>
      </c>
      <c r="AO182" s="62">
        <f t="shared" si="144"/>
        <v>101.40622074610098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7.2228413117035197</v>
      </c>
      <c r="AV182" s="23">
        <f>EXP(-LN(2)/25)*AV181+(1-EXP(-LN(2)/25))/(LN(2)/25)*Calculateur!AQ182*Calculateur!AS182*VLOOKUP('Données projet'!$B$10,Paramètres!$A$1:$I$88,3,0)*0.475*44/12</f>
        <v>1.4545485806593423</v>
      </c>
      <c r="AW182" s="23">
        <f>EXP(-LN(2)/2)*AW181+(1-EXP(-LN(2)/2))/(LN(2)/2)*AQ182*AT182*VLOOKUP('Données projet'!$B$10,Paramètres!$A$1:$I$88,3,0)*0.475*44/12</f>
        <v>0</v>
      </c>
      <c r="AX182" s="23">
        <f t="shared" si="166"/>
        <v>8.6773898923628625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169.99999999999983</v>
      </c>
      <c r="BE182" s="14">
        <f>BD182*VLOOKUP('Données projet'!$B$11,Paramètres!$A$1:$I$88,3,0)*VLOOKUP('Données projet'!$B$11,Paramètres!$A$1:$I$88,5,0)</f>
        <v>101.65999999999991</v>
      </c>
      <c r="BF182" s="14">
        <f t="shared" si="167"/>
        <v>27.357089923704745</v>
      </c>
      <c r="BG182" s="22">
        <f t="shared" si="168"/>
        <v>224.70476495045224</v>
      </c>
      <c r="BH182" s="62">
        <f t="shared" si="116"/>
        <v>518.03809828378553</v>
      </c>
      <c r="BI182" s="62">
        <f ca="1">AVERAGE(OFFSET($BH$3,0,0,'Données projet'!$E$11+1,1))-AVERAGE(OFFSET($H$3,0,0,'Données projet'!$E$11+1,1))</f>
        <v>83.354474428753292</v>
      </c>
      <c r="BJ182" s="62">
        <f t="shared" si="146"/>
        <v>97.75861379589162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1.2176478315930692</v>
      </c>
      <c r="BQ182" s="23">
        <f>EXP(-LN(2)/25)*BQ181+(1-EXP(-LN(2)/25))/(LN(2)/25)*Calculateur!BL182*Calculateur!BN182*VLOOKUP('Données projet'!$B$11,Paramètres!$A$1:$I$88,3,0)*0.475*44/12</f>
        <v>0.43032637610229435</v>
      </c>
      <c r="BR182" s="23">
        <f>EXP(-LN(2)/2)*BR181+(1-EXP(-LN(2)/2))/(LN(2)/2)*BL182*BO182*VLOOKUP('Données projet'!$B$11,Paramètres!$A$1:$I$88,3,0)*0.475*44/12</f>
        <v>0</v>
      </c>
      <c r="BS182" s="24">
        <f t="shared" si="169"/>
        <v>1.6479742076953636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projet'!$B$12,Paramètres!$A$1:$I$88,3,0)*0.475*44/12</f>
        <v>#N/A</v>
      </c>
      <c r="CL182" s="23" t="e">
        <f>EXP(-LN(2)/25)*CL181+(1-EXP(-LN(2)/25))/(LN(2)/25)*Calculateur!CG182*Calculateur!CI182*VLOOKUP('Données projet'!$B$12,Paramètres!$A$1:$I$88,3,0)*0.475*44/12</f>
        <v>#N/A</v>
      </c>
      <c r="CM182" s="23" t="e">
        <f>EXP(-LN(2)/2)*CM181+(1-EXP(-LN(2)/2))/(LN(2)/2)*CG182*CJ182*VLOOKUP('Données projet'!$B$12,Paramètres!$A$1:$I$88,3,0)*0.475*44/12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131.9759999999996</v>
      </c>
      <c r="D183" s="12">
        <f t="shared" si="140"/>
        <v>34.452553259401881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1284.7116391953803</v>
      </c>
      <c r="H183" s="70">
        <f t="shared" si="110"/>
        <v>583.19639692679084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2.8421709430404007E-13</v>
      </c>
      <c r="O183" s="14">
        <f>N183*VLOOKUP('Données projet'!$B$9,Paramètres!$A$1:$I$88,3,0)*VLOOKUP('Données projet'!$B$9,Paramètres!$A$1:$I$88,5,0)</f>
        <v>1.588773557159584E-13</v>
      </c>
      <c r="P183" s="14">
        <f t="shared" si="141"/>
        <v>2.2615721672198623E-12</v>
      </c>
      <c r="Q183" s="22">
        <f t="shared" si="162"/>
        <v>4.2156162524465543E-12</v>
      </c>
      <c r="R183" s="62">
        <f t="shared" si="109"/>
        <v>293.33333333333752</v>
      </c>
      <c r="S183" s="62">
        <f ca="1">AVERAGE(OFFSET($R$3,0,0,'Données projet'!$E$9+1,1))-AVERAGE(OFFSET($H$3,0,0,'Données projet'!$E$9+1,1))</f>
        <v>222.18341301864729</v>
      </c>
      <c r="T183" s="62">
        <f t="shared" si="142"/>
        <v>172.63628480089358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31.501644052334449</v>
      </c>
      <c r="AA183" s="23">
        <f>EXP(-LN(2)/25)*AA182+(1-EXP(-LN(2)/25))/(LN(2)/25)*Calculateur!V183*Calculateur!X183*VLOOKUP('Données projet'!$B$9,Paramètres!$A$1:$I$88,3,0)*0.475*44/12</f>
        <v>6.8043868608676616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38.306030913202108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projet'!$B$10,Paramètres!$A$1:$I$88,3,0)*VLOOKUP('Données projet'!$B$10,Paramètres!$A$1:$I$88,5,0)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82.840015321739202</v>
      </c>
      <c r="AO183" s="62">
        <f t="shared" si="144"/>
        <v>101.40622074610098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7.081205799079207</v>
      </c>
      <c r="AV183" s="23">
        <f>EXP(-LN(2)/25)*AV182+(1-EXP(-LN(2)/25))/(LN(2)/25)*Calculateur!AQ183*Calculateur!AS183*VLOOKUP('Données projet'!$B$10,Paramètres!$A$1:$I$88,3,0)*0.475*44/12</f>
        <v>1.4147738732298272</v>
      </c>
      <c r="AW183" s="23">
        <f>EXP(-LN(2)/2)*AW182+(1-EXP(-LN(2)/2))/(LN(2)/2)*AQ183*AT183*VLOOKUP('Données projet'!$B$10,Paramètres!$A$1:$I$88,3,0)*0.475*44/12</f>
        <v>0</v>
      </c>
      <c r="AX183" s="23">
        <f t="shared" si="166"/>
        <v>8.4959796723090335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169.99999999999983</v>
      </c>
      <c r="BE183" s="14">
        <f>BD183*VLOOKUP('Données projet'!$B$11,Paramètres!$A$1:$I$88,3,0)*VLOOKUP('Données projet'!$B$11,Paramètres!$A$1:$I$88,5,0)</f>
        <v>101.65999999999991</v>
      </c>
      <c r="BF183" s="14">
        <f t="shared" si="167"/>
        <v>27.357089923704745</v>
      </c>
      <c r="BG183" s="22">
        <f t="shared" si="168"/>
        <v>224.70476495045224</v>
      </c>
      <c r="BH183" s="62">
        <f t="shared" si="116"/>
        <v>518.03809828378553</v>
      </c>
      <c r="BI183" s="62">
        <f ca="1">AVERAGE(OFFSET($BH$3,0,0,'Données projet'!$E$11+1,1))-AVERAGE(OFFSET($H$3,0,0,'Données projet'!$E$11+1,1))</f>
        <v>83.354474428753292</v>
      </c>
      <c r="BJ183" s="62">
        <f t="shared" si="146"/>
        <v>97.75861379589162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1.1937705003073718</v>
      </c>
      <c r="BQ183" s="23">
        <f>EXP(-LN(2)/25)*BQ182+(1-EXP(-LN(2)/25))/(LN(2)/25)*Calculateur!BL183*Calculateur!BN183*VLOOKUP('Données projet'!$B$11,Paramètres!$A$1:$I$88,3,0)*0.475*44/12</f>
        <v>0.41855907871789649</v>
      </c>
      <c r="BR183" s="23">
        <f>EXP(-LN(2)/2)*BR182+(1-EXP(-LN(2)/2))/(LN(2)/2)*BL183*BO183*VLOOKUP('Données projet'!$B$11,Paramètres!$A$1:$I$88,3,0)*0.475*44/12</f>
        <v>0</v>
      </c>
      <c r="BS183" s="24">
        <f t="shared" si="169"/>
        <v>1.6123295790252683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projet'!$B$12,Paramètres!$A$1:$I$88,3,0)*0.475*44/12</f>
        <v>#N/A</v>
      </c>
      <c r="CL183" s="23" t="e">
        <f>EXP(-LN(2)/25)*CL182+(1-EXP(-LN(2)/25))/(LN(2)/25)*Calculateur!CG183*Calculateur!CI183*VLOOKUP('Données projet'!$B$12,Paramètres!$A$1:$I$88,3,0)*0.475*44/12</f>
        <v>#N/A</v>
      </c>
      <c r="CM183" s="23" t="e">
        <f>EXP(-LN(2)/2)*CM182+(1-EXP(-LN(2)/2))/(LN(2)/2)*CG183*CJ183*VLOOKUP('Données projet'!$B$12,Paramètres!$A$1:$I$88,3,0)*0.475*44/12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132.70919999999961</v>
      </c>
      <c r="D184" s="12">
        <f t="shared" si="140"/>
        <v>34.621622444664645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1291.6765241342503</v>
      </c>
      <c r="H184" s="70">
        <f t="shared" si="110"/>
        <v>584.76784909112348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2.8421709430404007E-13</v>
      </c>
      <c r="O184" s="14">
        <f>N184*VLOOKUP('Données projet'!$B$9,Paramètres!$A$1:$I$88,3,0)*VLOOKUP('Données projet'!$B$9,Paramètres!$A$1:$I$88,5,0)</f>
        <v>1.588773557159584E-13</v>
      </c>
      <c r="P184" s="14">
        <f t="shared" si="141"/>
        <v>2.2615721672198623E-12</v>
      </c>
      <c r="Q184" s="22">
        <f t="shared" si="162"/>
        <v>4.2156162524465543E-12</v>
      </c>
      <c r="R184" s="62">
        <f t="shared" si="109"/>
        <v>293.33333333333752</v>
      </c>
      <c r="S184" s="62">
        <f ca="1">AVERAGE(OFFSET($R$3,0,0,'Données projet'!$E$9+1,1))-AVERAGE(OFFSET($H$3,0,0,'Données projet'!$E$9+1,1))</f>
        <v>222.18341301864729</v>
      </c>
      <c r="T184" s="62">
        <f t="shared" si="142"/>
        <v>172.63628480089358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30.883916026573807</v>
      </c>
      <c r="AA184" s="23">
        <f>EXP(-LN(2)/25)*AA183+(1-EXP(-LN(2)/25))/(LN(2)/25)*Calculateur!V184*Calculateur!X184*VLOOKUP('Données projet'!$B$9,Paramètres!$A$1:$I$88,3,0)*0.475*44/12</f>
        <v>6.6183205443300821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37.502236570903889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projet'!$B$10,Paramètres!$A$1:$I$88,3,0)*VLOOKUP('Données projet'!$B$10,Paramètres!$A$1:$I$88,5,0)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82.840015321739202</v>
      </c>
      <c r="AO184" s="62">
        <f t="shared" si="144"/>
        <v>101.40622074610098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6.9423476724683244</v>
      </c>
      <c r="AV184" s="23">
        <f>EXP(-LN(2)/25)*AV183+(1-EXP(-LN(2)/25))/(LN(2)/25)*Calculateur!AQ184*Calculateur!AS184*VLOOKUP('Données projet'!$B$10,Paramètres!$A$1:$I$88,3,0)*0.475*44/12</f>
        <v>1.376086807266633</v>
      </c>
      <c r="AW184" s="23">
        <f>EXP(-LN(2)/2)*AW183+(1-EXP(-LN(2)/2))/(LN(2)/2)*AQ184*AT184*VLOOKUP('Données projet'!$B$10,Paramètres!$A$1:$I$88,3,0)*0.475*44/12</f>
        <v>0</v>
      </c>
      <c r="AX184" s="23">
        <f t="shared" si="166"/>
        <v>8.3184344797349574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169.99999999999983</v>
      </c>
      <c r="BE184" s="14">
        <f>BD184*VLOOKUP('Données projet'!$B$11,Paramètres!$A$1:$I$88,3,0)*VLOOKUP('Données projet'!$B$11,Paramètres!$A$1:$I$88,5,0)</f>
        <v>101.65999999999991</v>
      </c>
      <c r="BF184" s="14">
        <f t="shared" si="167"/>
        <v>27.357089923704745</v>
      </c>
      <c r="BG184" s="22">
        <f t="shared" si="168"/>
        <v>224.70476495045224</v>
      </c>
      <c r="BH184" s="62">
        <f t="shared" si="116"/>
        <v>518.03809828378553</v>
      </c>
      <c r="BI184" s="62">
        <f ca="1">AVERAGE(OFFSET($BH$3,0,0,'Données projet'!$E$11+1,1))-AVERAGE(OFFSET($H$3,0,0,'Données projet'!$E$11+1,1))</f>
        <v>83.354474428753292</v>
      </c>
      <c r="BJ184" s="62">
        <f t="shared" si="146"/>
        <v>97.75861379589162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1.1703613889244526</v>
      </c>
      <c r="BQ184" s="23">
        <f>EXP(-LN(2)/25)*BQ183+(1-EXP(-LN(2)/25))/(LN(2)/25)*Calculateur!BL184*Calculateur!BN184*VLOOKUP('Données projet'!$B$11,Paramètres!$A$1:$I$88,3,0)*0.475*44/12</f>
        <v>0.40711355869929028</v>
      </c>
      <c r="BR184" s="23">
        <f>EXP(-LN(2)/2)*BR183+(1-EXP(-LN(2)/2))/(LN(2)/2)*BL184*BO184*VLOOKUP('Données projet'!$B$11,Paramètres!$A$1:$I$88,3,0)*0.475*44/12</f>
        <v>0</v>
      </c>
      <c r="BS184" s="24">
        <f t="shared" si="169"/>
        <v>1.5774749476237429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projet'!$B$12,Paramètres!$A$1:$I$88,3,0)*0.475*44/12</f>
        <v>#N/A</v>
      </c>
      <c r="CL184" s="23" t="e">
        <f>EXP(-LN(2)/25)*CL183+(1-EXP(-LN(2)/25))/(LN(2)/25)*Calculateur!CG184*Calculateur!CI184*VLOOKUP('Données projet'!$B$12,Paramètres!$A$1:$I$88,3,0)*0.475*44/12</f>
        <v>#N/A</v>
      </c>
      <c r="CM184" s="23" t="e">
        <f>EXP(-LN(2)/2)*CM183+(1-EXP(-LN(2)/2))/(LN(2)/2)*CG184*CJ184*VLOOKUP('Données projet'!$B$12,Paramètres!$A$1:$I$88,3,0)*0.475*44/12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133.44239999999962</v>
      </c>
      <c r="D185" s="12">
        <f t="shared" si="140"/>
        <v>34.790582936930399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1298.6405700394598</v>
      </c>
      <c r="H185" s="70">
        <f t="shared" si="110"/>
        <v>586.33911194848645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2.8421709430404007E-13</v>
      </c>
      <c r="O185" s="14">
        <f>N185*VLOOKUP('Données projet'!$B$9,Paramètres!$A$1:$I$88,3,0)*VLOOKUP('Données projet'!$B$9,Paramètres!$A$1:$I$88,5,0)</f>
        <v>1.588773557159584E-13</v>
      </c>
      <c r="P185" s="14">
        <f t="shared" si="141"/>
        <v>2.2615721672198623E-12</v>
      </c>
      <c r="Q185" s="22">
        <f t="shared" si="162"/>
        <v>4.2156162524465543E-12</v>
      </c>
      <c r="R185" s="62">
        <f t="shared" si="109"/>
        <v>293.33333333333752</v>
      </c>
      <c r="S185" s="62">
        <f ca="1">AVERAGE(OFFSET($R$3,0,0,'Données projet'!$E$9+1,1))-AVERAGE(OFFSET($H$3,0,0,'Données projet'!$E$9+1,1))</f>
        <v>222.18341301864729</v>
      </c>
      <c r="T185" s="62">
        <f t="shared" si="142"/>
        <v>172.63628480089358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30.278301270621441</v>
      </c>
      <c r="AA185" s="23">
        <f>EXP(-LN(2)/25)*AA184+(1-EXP(-LN(2)/25))/(LN(2)/25)*Calculateur!V185*Calculateur!X185*VLOOKUP('Données projet'!$B$9,Paramètres!$A$1:$I$88,3,0)*0.475*44/12</f>
        <v>6.4373422210030249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36.715643491624462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projet'!$B$10,Paramètres!$A$1:$I$88,3,0)*VLOOKUP('Données projet'!$B$10,Paramètres!$A$1:$I$88,5,0)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82.840015321739202</v>
      </c>
      <c r="AO185" s="62">
        <f t="shared" si="144"/>
        <v>101.40622074610098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6.8062124690251871</v>
      </c>
      <c r="AV185" s="23">
        <f>EXP(-LN(2)/25)*AV184+(1-EXP(-LN(2)/25))/(LN(2)/25)*Calculateur!AQ185*Calculateur!AS185*VLOOKUP('Données projet'!$B$10,Paramètres!$A$1:$I$88,3,0)*0.475*44/12</f>
        <v>1.3384576411566669</v>
      </c>
      <c r="AW185" s="23">
        <f>EXP(-LN(2)/2)*AW184+(1-EXP(-LN(2)/2))/(LN(2)/2)*AQ185*AT185*VLOOKUP('Données projet'!$B$10,Paramètres!$A$1:$I$88,3,0)*0.475*44/12</f>
        <v>0</v>
      </c>
      <c r="AX185" s="23">
        <f t="shared" si="166"/>
        <v>8.1446701101818544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169.99999999999983</v>
      </c>
      <c r="BE185" s="14">
        <f>BD185*VLOOKUP('Données projet'!$B$11,Paramètres!$A$1:$I$88,3,0)*VLOOKUP('Données projet'!$B$11,Paramètres!$A$1:$I$88,5,0)</f>
        <v>101.65999999999991</v>
      </c>
      <c r="BF185" s="14">
        <f t="shared" si="167"/>
        <v>27.357089923704745</v>
      </c>
      <c r="BG185" s="22">
        <f t="shared" si="168"/>
        <v>224.70476495045224</v>
      </c>
      <c r="BH185" s="62">
        <f t="shared" si="116"/>
        <v>518.03809828378553</v>
      </c>
      <c r="BI185" s="62">
        <f ca="1">AVERAGE(OFFSET($BH$3,0,0,'Données projet'!$E$11+1,1))-AVERAGE(OFFSET($H$3,0,0,'Données projet'!$E$11+1,1))</f>
        <v>83.354474428753292</v>
      </c>
      <c r="BJ185" s="62">
        <f t="shared" si="146"/>
        <v>97.75861379589162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1.1474113159376045</v>
      </c>
      <c r="BQ185" s="23">
        <f>EXP(-LN(2)/25)*BQ184+(1-EXP(-LN(2)/25))/(LN(2)/25)*Calculateur!BL185*Calculateur!BN185*VLOOKUP('Données projet'!$B$11,Paramètres!$A$1:$I$88,3,0)*0.475*44/12</f>
        <v>0.39598101702748661</v>
      </c>
      <c r="BR185" s="23">
        <f>EXP(-LN(2)/2)*BR184+(1-EXP(-LN(2)/2))/(LN(2)/2)*BL185*BO185*VLOOKUP('Données projet'!$B$11,Paramètres!$A$1:$I$88,3,0)*0.475*44/12</f>
        <v>0</v>
      </c>
      <c r="BS185" s="24">
        <f t="shared" si="169"/>
        <v>1.5433923329650912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projet'!$B$12,Paramètres!$A$1:$I$88,3,0)*0.475*44/12</f>
        <v>#N/A</v>
      </c>
      <c r="CL185" s="23" t="e">
        <f>EXP(-LN(2)/25)*CL184+(1-EXP(-LN(2)/25))/(LN(2)/25)*Calculateur!CG185*Calculateur!CI185*VLOOKUP('Données projet'!$B$12,Paramètres!$A$1:$I$88,3,0)*0.475*44/12</f>
        <v>#N/A</v>
      </c>
      <c r="CM185" s="23" t="e">
        <f>EXP(-LN(2)/2)*CM184+(1-EXP(-LN(2)/2))/(LN(2)/2)*CG185*CJ185*VLOOKUP('Données projet'!$B$12,Paramètres!$A$1:$I$88,3,0)*0.475*44/12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134.17559999999963</v>
      </c>
      <c r="D186" s="12">
        <f t="shared" si="140"/>
        <v>34.959435402722669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1305.6037820561021</v>
      </c>
      <c r="H186" s="70">
        <f t="shared" si="110"/>
        <v>587.91018665974138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2.8421709430404007E-13</v>
      </c>
      <c r="O186" s="14">
        <f>N186*VLOOKUP('Données projet'!$B$9,Paramètres!$A$1:$I$88,3,0)*VLOOKUP('Données projet'!$B$9,Paramètres!$A$1:$I$88,5,0)</f>
        <v>1.588773557159584E-13</v>
      </c>
      <c r="P186" s="14">
        <f t="shared" si="141"/>
        <v>2.2615721672198623E-12</v>
      </c>
      <c r="Q186" s="22">
        <f t="shared" si="162"/>
        <v>4.2156162524465543E-12</v>
      </c>
      <c r="R186" s="62">
        <f t="shared" si="109"/>
        <v>293.33333333333752</v>
      </c>
      <c r="S186" s="62">
        <f ca="1">AVERAGE(OFFSET($R$3,0,0,'Données projet'!$E$9+1,1))-AVERAGE(OFFSET($H$3,0,0,'Données projet'!$E$9+1,1))</f>
        <v>222.18341301864729</v>
      </c>
      <c r="T186" s="62">
        <f t="shared" si="142"/>
        <v>172.63628480089358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29.68456225064477</v>
      </c>
      <c r="AA186" s="23">
        <f>EXP(-LN(2)/25)*AA185+(1-EXP(-LN(2)/25))/(LN(2)/25)*Calculateur!V186*Calculateur!X186*VLOOKUP('Données projet'!$B$9,Paramètres!$A$1:$I$88,3,0)*0.475*44/12</f>
        <v>6.2613127594445821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35.945875010089352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projet'!$B$10,Paramètres!$A$1:$I$88,3,0)*VLOOKUP('Données projet'!$B$10,Paramètres!$A$1:$I$88,5,0)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82.840015321739202</v>
      </c>
      <c r="AO186" s="62">
        <f t="shared" si="144"/>
        <v>101.40622074610098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6.6727467938872946</v>
      </c>
      <c r="AV186" s="23">
        <f>EXP(-LN(2)/25)*AV185+(1-EXP(-LN(2)/25))/(LN(2)/25)*Calculateur!AQ186*Calculateur!AS186*VLOOKUP('Données projet'!$B$10,Paramètres!$A$1:$I$88,3,0)*0.475*44/12</f>
        <v>1.3018574465728097</v>
      </c>
      <c r="AW186" s="23">
        <f>EXP(-LN(2)/2)*AW185+(1-EXP(-LN(2)/2))/(LN(2)/2)*AQ186*AT186*VLOOKUP('Données projet'!$B$10,Paramètres!$A$1:$I$88,3,0)*0.475*44/12</f>
        <v>0</v>
      </c>
      <c r="AX186" s="23">
        <f t="shared" si="166"/>
        <v>7.9746042404601045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169.99999999999983</v>
      </c>
      <c r="BE186" s="14">
        <f>BD186*VLOOKUP('Données projet'!$B$11,Paramètres!$A$1:$I$88,3,0)*VLOOKUP('Données projet'!$B$11,Paramètres!$A$1:$I$88,5,0)</f>
        <v>101.65999999999991</v>
      </c>
      <c r="BF186" s="14">
        <f t="shared" si="167"/>
        <v>27.357089923704745</v>
      </c>
      <c r="BG186" s="22">
        <f t="shared" si="168"/>
        <v>224.70476495045224</v>
      </c>
      <c r="BH186" s="62">
        <f t="shared" si="116"/>
        <v>518.03809828378553</v>
      </c>
      <c r="BI186" s="62">
        <f ca="1">AVERAGE(OFFSET($BH$3,0,0,'Données projet'!$E$11+1,1))-AVERAGE(OFFSET($H$3,0,0,'Données projet'!$E$11+1,1))</f>
        <v>83.354474428753292</v>
      </c>
      <c r="BJ186" s="62">
        <f t="shared" si="146"/>
        <v>97.75861379589162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1.1249112798838661</v>
      </c>
      <c r="BQ186" s="23">
        <f>EXP(-LN(2)/25)*BQ185+(1-EXP(-LN(2)/25))/(LN(2)/25)*Calculateur!BL186*Calculateur!BN186*VLOOKUP('Données projet'!$B$11,Paramètres!$A$1:$I$88,3,0)*0.475*44/12</f>
        <v>0.38515289529313335</v>
      </c>
      <c r="BR186" s="23">
        <f>EXP(-LN(2)/2)*BR185+(1-EXP(-LN(2)/2))/(LN(2)/2)*BL186*BO186*VLOOKUP('Données projet'!$B$11,Paramètres!$A$1:$I$88,3,0)*0.475*44/12</f>
        <v>0</v>
      </c>
      <c r="BS186" s="24">
        <f t="shared" si="169"/>
        <v>1.5100641751769994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projet'!$B$12,Paramètres!$A$1:$I$88,3,0)*0.475*44/12</f>
        <v>#N/A</v>
      </c>
      <c r="CL186" s="23" t="e">
        <f>EXP(-LN(2)/25)*CL185+(1-EXP(-LN(2)/25))/(LN(2)/25)*Calculateur!CG186*Calculateur!CI186*VLOOKUP('Données projet'!$B$12,Paramètres!$A$1:$I$88,3,0)*0.475*44/12</f>
        <v>#N/A</v>
      </c>
      <c r="CM186" s="23" t="e">
        <f>EXP(-LN(2)/2)*CM185+(1-EXP(-LN(2)/2))/(LN(2)/2)*CG186*CJ186*VLOOKUP('Données projet'!$B$12,Paramètres!$A$1:$I$88,3,0)*0.475*44/12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134.90879999999964</v>
      </c>
      <c r="D187" s="12">
        <f t="shared" si="140"/>
        <v>35.12818050085901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1312.5661652697861</v>
      </c>
      <c r="H187" s="70">
        <f t="shared" si="110"/>
        <v>589.48107437232875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2.8421709430404007E-13</v>
      </c>
      <c r="O187" s="14">
        <f>N187*VLOOKUP('Données projet'!$B$9,Paramètres!$A$1:$I$88,3,0)*VLOOKUP('Données projet'!$B$9,Paramètres!$A$1:$I$88,5,0)</f>
        <v>1.588773557159584E-13</v>
      </c>
      <c r="P187" s="14">
        <f t="shared" si="141"/>
        <v>2.2615721672198623E-12</v>
      </c>
      <c r="Q187" s="22">
        <f t="shared" si="162"/>
        <v>4.2156162524465543E-12</v>
      </c>
      <c r="R187" s="62">
        <f t="shared" si="109"/>
        <v>293.33333333333752</v>
      </c>
      <c r="S187" s="62">
        <f ca="1">AVERAGE(OFFSET($R$3,0,0,'Données projet'!$E$9+1,1))-AVERAGE(OFFSET($H$3,0,0,'Données projet'!$E$9+1,1))</f>
        <v>222.18341301864729</v>
      </c>
      <c r="T187" s="62">
        <f t="shared" si="142"/>
        <v>172.63628480089358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29.102466090704802</v>
      </c>
      <c r="AA187" s="23">
        <f>EXP(-LN(2)/25)*AA186+(1-EXP(-LN(2)/25))/(LN(2)/25)*Calculateur!V187*Calculateur!X187*VLOOKUP('Données projet'!$B$9,Paramètres!$A$1:$I$88,3,0)*0.475*44/12</f>
        <v>6.0900968327694427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35.192562923474242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projet'!$B$10,Paramètres!$A$1:$I$88,3,0)*VLOOKUP('Données projet'!$B$10,Paramètres!$A$1:$I$88,5,0)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82.840015321739202</v>
      </c>
      <c r="AO187" s="62">
        <f t="shared" si="144"/>
        <v>101.40622074610098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6.5418982992328329</v>
      </c>
      <c r="AV187" s="23">
        <f>EXP(-LN(2)/25)*AV186+(1-EXP(-LN(2)/25))/(LN(2)/25)*Calculateur!AQ187*Calculateur!AS187*VLOOKUP('Données projet'!$B$10,Paramètres!$A$1:$I$88,3,0)*0.475*44/12</f>
        <v>1.2662580862345685</v>
      </c>
      <c r="AW187" s="23">
        <f>EXP(-LN(2)/2)*AW186+(1-EXP(-LN(2)/2))/(LN(2)/2)*AQ187*AT187*VLOOKUP('Données projet'!$B$10,Paramètres!$A$1:$I$88,3,0)*0.475*44/12</f>
        <v>0</v>
      </c>
      <c r="AX187" s="23">
        <f t="shared" si="166"/>
        <v>7.8081563854674014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169.99999999999983</v>
      </c>
      <c r="BE187" s="14">
        <f>BD187*VLOOKUP('Données projet'!$B$11,Paramètres!$A$1:$I$88,3,0)*VLOOKUP('Données projet'!$B$11,Paramètres!$A$1:$I$88,5,0)</f>
        <v>101.65999999999991</v>
      </c>
      <c r="BF187" s="14">
        <f t="shared" si="167"/>
        <v>27.357089923704745</v>
      </c>
      <c r="BG187" s="22">
        <f t="shared" si="168"/>
        <v>224.70476495045224</v>
      </c>
      <c r="BH187" s="62">
        <f t="shared" si="116"/>
        <v>518.03809828378553</v>
      </c>
      <c r="BI187" s="62">
        <f ca="1">AVERAGE(OFFSET($BH$3,0,0,'Données projet'!$E$11+1,1))-AVERAGE(OFFSET($H$3,0,0,'Données projet'!$E$11+1,1))</f>
        <v>83.354474428753292</v>
      </c>
      <c r="BJ187" s="62">
        <f t="shared" si="146"/>
        <v>97.75861379589162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1.1028524558134747</v>
      </c>
      <c r="BQ187" s="23">
        <f>EXP(-LN(2)/25)*BQ186+(1-EXP(-LN(2)/25))/(LN(2)/25)*Calculateur!BL187*Calculateur!BN187*VLOOKUP('Données projet'!$B$11,Paramètres!$A$1:$I$88,3,0)*0.475*44/12</f>
        <v>0.37462086911703213</v>
      </c>
      <c r="BR187" s="23">
        <f>EXP(-LN(2)/2)*BR186+(1-EXP(-LN(2)/2))/(LN(2)/2)*BL187*BO187*VLOOKUP('Données projet'!$B$11,Paramètres!$A$1:$I$88,3,0)*0.475*44/12</f>
        <v>0</v>
      </c>
      <c r="BS187" s="24">
        <f t="shared" si="169"/>
        <v>1.4774733249305068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projet'!$B$12,Paramètres!$A$1:$I$88,3,0)*0.475*44/12</f>
        <v>#N/A</v>
      </c>
      <c r="CL187" s="23" t="e">
        <f>EXP(-LN(2)/25)*CL186+(1-EXP(-LN(2)/25))/(LN(2)/25)*Calculateur!CG187*Calculateur!CI187*VLOOKUP('Données projet'!$B$12,Paramètres!$A$1:$I$88,3,0)*0.475*44/12</f>
        <v>#N/A</v>
      </c>
      <c r="CM187" s="23" t="e">
        <f>EXP(-LN(2)/2)*CM186+(1-EXP(-LN(2)/2))/(LN(2)/2)*CG187*CJ187*VLOOKUP('Données projet'!$B$12,Paramètres!$A$1:$I$88,3,0)*0.475*44/12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135.64199999999965</v>
      </c>
      <c r="D188" s="12">
        <f t="shared" si="140"/>
        <v>35.296818882581405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1319.5277247076435</v>
      </c>
      <c r="H188" s="70">
        <f t="shared" si="110"/>
        <v>591.0517762204953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2.8421709430404007E-13</v>
      </c>
      <c r="O188" s="14">
        <f>N188*VLOOKUP('Données projet'!$B$9,Paramètres!$A$1:$I$88,3,0)*VLOOKUP('Données projet'!$B$9,Paramètres!$A$1:$I$88,5,0)</f>
        <v>1.588773557159584E-13</v>
      </c>
      <c r="P188" s="14">
        <f t="shared" si="141"/>
        <v>2.2615721672198623E-12</v>
      </c>
      <c r="Q188" s="22">
        <f t="shared" si="162"/>
        <v>4.2156162524465543E-12</v>
      </c>
      <c r="R188" s="62">
        <f t="shared" si="109"/>
        <v>293.33333333333752</v>
      </c>
      <c r="S188" s="62">
        <f ca="1">AVERAGE(OFFSET($R$3,0,0,'Données projet'!$E$9+1,1))-AVERAGE(OFFSET($H$3,0,0,'Données projet'!$E$9+1,1))</f>
        <v>222.18341301864729</v>
      </c>
      <c r="T188" s="62">
        <f t="shared" si="142"/>
        <v>172.63628480089358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28.531784481417656</v>
      </c>
      <c r="AA188" s="23">
        <f>EXP(-LN(2)/25)*AA187+(1-EXP(-LN(2)/25))/(LN(2)/25)*Calculateur!V188*Calculateur!X188*VLOOKUP('Données projet'!$B$9,Paramètres!$A$1:$I$88,3,0)*0.475*44/12</f>
        <v>5.9235628146130885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34.455347296030745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projet'!$B$10,Paramètres!$A$1:$I$88,3,0)*VLOOKUP('Données projet'!$B$10,Paramètres!$A$1:$I$88,5,0)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82.840015321739202</v>
      </c>
      <c r="AO188" s="62">
        <f t="shared" si="144"/>
        <v>101.40622074610098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6.4136156637488435</v>
      </c>
      <c r="AV188" s="23">
        <f>EXP(-LN(2)/25)*AV187+(1-EXP(-LN(2)/25))/(LN(2)/25)*Calculateur!AQ188*Calculateur!AS188*VLOOKUP('Données projet'!$B$10,Paramètres!$A$1:$I$88,3,0)*0.475*44/12</f>
        <v>1.2316321922768656</v>
      </c>
      <c r="AW188" s="23">
        <f>EXP(-LN(2)/2)*AW187+(1-EXP(-LN(2)/2))/(LN(2)/2)*AQ188*AT188*VLOOKUP('Données projet'!$B$10,Paramètres!$A$1:$I$88,3,0)*0.475*44/12</f>
        <v>0</v>
      </c>
      <c r="AX188" s="23">
        <f t="shared" si="166"/>
        <v>7.6452478560257093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169.99999999999983</v>
      </c>
      <c r="BE188" s="14">
        <f>BD188*VLOOKUP('Données projet'!$B$11,Paramètres!$A$1:$I$88,3,0)*VLOOKUP('Données projet'!$B$11,Paramètres!$A$1:$I$88,5,0)</f>
        <v>101.65999999999991</v>
      </c>
      <c r="BF188" s="14">
        <f t="shared" si="167"/>
        <v>27.357089923704745</v>
      </c>
      <c r="BG188" s="22">
        <f t="shared" si="168"/>
        <v>224.70476495045224</v>
      </c>
      <c r="BH188" s="62">
        <f t="shared" si="116"/>
        <v>518.03809828378553</v>
      </c>
      <c r="BI188" s="62">
        <f ca="1">AVERAGE(OFFSET($BH$3,0,0,'Données projet'!$E$11+1,1))-AVERAGE(OFFSET($H$3,0,0,'Données projet'!$E$11+1,1))</f>
        <v>83.354474428753292</v>
      </c>
      <c r="BJ188" s="62">
        <f t="shared" si="146"/>
        <v>97.75861379589162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1.0812261918285495</v>
      </c>
      <c r="BQ188" s="23">
        <f>EXP(-LN(2)/25)*BQ187+(1-EXP(-LN(2)/25))/(LN(2)/25)*Calculateur!BL188*Calculateur!BN188*VLOOKUP('Données projet'!$B$11,Paramètres!$A$1:$I$88,3,0)*0.475*44/12</f>
        <v>0.36437684175057161</v>
      </c>
      <c r="BR188" s="23">
        <f>EXP(-LN(2)/2)*BR187+(1-EXP(-LN(2)/2))/(LN(2)/2)*BL188*BO188*VLOOKUP('Données projet'!$B$11,Paramètres!$A$1:$I$88,3,0)*0.475*44/12</f>
        <v>0</v>
      </c>
      <c r="BS188" s="24">
        <f t="shared" si="169"/>
        <v>1.445603033579121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projet'!$B$12,Paramètres!$A$1:$I$88,3,0)*0.475*44/12</f>
        <v>#N/A</v>
      </c>
      <c r="CL188" s="23" t="e">
        <f>EXP(-LN(2)/25)*CL187+(1-EXP(-LN(2)/25))/(LN(2)/25)*Calculateur!CG188*Calculateur!CI188*VLOOKUP('Données projet'!$B$12,Paramètres!$A$1:$I$88,3,0)*0.475*44/12</f>
        <v>#N/A</v>
      </c>
      <c r="CM188" s="23" t="e">
        <f>EXP(-LN(2)/2)*CM187+(1-EXP(-LN(2)/2))/(LN(2)/2)*CG188*CJ188*VLOOKUP('Données projet'!$B$12,Paramètres!$A$1:$I$88,3,0)*0.475*44/12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136.37519999999967</v>
      </c>
      <c r="D189" s="12">
        <f t="shared" si="140"/>
        <v>35.465351191683915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1326.4884653393119</v>
      </c>
      <c r="H189" s="70">
        <f t="shared" si="110"/>
        <v>592.62229332551556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2.8421709430404007E-13</v>
      </c>
      <c r="O189" s="14">
        <f>N189*VLOOKUP('Données projet'!$B$9,Paramètres!$A$1:$I$88,3,0)*VLOOKUP('Données projet'!$B$9,Paramètres!$A$1:$I$88,5,0)</f>
        <v>1.588773557159584E-13</v>
      </c>
      <c r="P189" s="14">
        <f t="shared" si="141"/>
        <v>2.2615721672198623E-12</v>
      </c>
      <c r="Q189" s="22">
        <f t="shared" si="162"/>
        <v>4.2156162524465543E-12</v>
      </c>
      <c r="R189" s="62">
        <f t="shared" si="109"/>
        <v>293.33333333333752</v>
      </c>
      <c r="S189" s="62">
        <f ca="1">AVERAGE(OFFSET($R$3,0,0,'Données projet'!$E$9+1,1))-AVERAGE(OFFSET($H$3,0,0,'Données projet'!$E$9+1,1))</f>
        <v>222.18341301864729</v>
      </c>
      <c r="T189" s="62">
        <f t="shared" si="142"/>
        <v>172.63628480089358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27.972293590407219</v>
      </c>
      <c r="AA189" s="23">
        <f>EXP(-LN(2)/25)*AA188+(1-EXP(-LN(2)/25))/(LN(2)/25)*Calculateur!V189*Calculateur!X189*VLOOKUP('Données projet'!$B$9,Paramètres!$A$1:$I$88,3,0)*0.475*44/12</f>
        <v>5.7615826779408641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33.733876268348084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projet'!$B$10,Paramètres!$A$1:$I$88,3,0)*VLOOKUP('Données projet'!$B$10,Paramètres!$A$1:$I$88,5,0)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82.840015321739202</v>
      </c>
      <c r="AO189" s="62">
        <f t="shared" si="144"/>
        <v>101.40622074610098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6.2878485725020132</v>
      </c>
      <c r="AV189" s="23">
        <f>EXP(-LN(2)/25)*AV188+(1-EXP(-LN(2)/25))/(LN(2)/25)*Calculateur!AQ189*Calculateur!AS189*VLOOKUP('Données projet'!$B$10,Paramètres!$A$1:$I$88,3,0)*0.475*44/12</f>
        <v>1.1979531452103327</v>
      </c>
      <c r="AW189" s="23">
        <f>EXP(-LN(2)/2)*AW188+(1-EXP(-LN(2)/2))/(LN(2)/2)*AQ189*AT189*VLOOKUP('Données projet'!$B$10,Paramètres!$A$1:$I$88,3,0)*0.475*44/12</f>
        <v>0</v>
      </c>
      <c r="AX189" s="23">
        <f t="shared" si="166"/>
        <v>7.4858017177123459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169.99999999999983</v>
      </c>
      <c r="BE189" s="14">
        <f>BD189*VLOOKUP('Données projet'!$B$11,Paramètres!$A$1:$I$88,3,0)*VLOOKUP('Données projet'!$B$11,Paramètres!$A$1:$I$88,5,0)</f>
        <v>101.65999999999991</v>
      </c>
      <c r="BF189" s="14">
        <f t="shared" si="167"/>
        <v>27.357089923704745</v>
      </c>
      <c r="BG189" s="22">
        <f t="shared" si="168"/>
        <v>224.70476495045224</v>
      </c>
      <c r="BH189" s="62">
        <f t="shared" si="116"/>
        <v>518.03809828378553</v>
      </c>
      <c r="BI189" s="62">
        <f ca="1">AVERAGE(OFFSET($BH$3,0,0,'Données projet'!$E$11+1,1))-AVERAGE(OFFSET($H$3,0,0,'Données projet'!$E$11+1,1))</f>
        <v>83.354474428753292</v>
      </c>
      <c r="BJ189" s="62">
        <f t="shared" si="146"/>
        <v>97.75861379589162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1.0600240056896502</v>
      </c>
      <c r="BQ189" s="23">
        <f>EXP(-LN(2)/25)*BQ188+(1-EXP(-LN(2)/25))/(LN(2)/25)*Calculateur!BL189*Calculateur!BN189*VLOOKUP('Données projet'!$B$11,Paramètres!$A$1:$I$88,3,0)*0.475*44/12</f>
        <v>0.35441293785115691</v>
      </c>
      <c r="BR189" s="23">
        <f>EXP(-LN(2)/2)*BR188+(1-EXP(-LN(2)/2))/(LN(2)/2)*BL189*BO189*VLOOKUP('Données projet'!$B$11,Paramètres!$A$1:$I$88,3,0)*0.475*44/12</f>
        <v>0</v>
      </c>
      <c r="BS189" s="24">
        <f t="shared" si="169"/>
        <v>1.4144369435408071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projet'!$B$12,Paramètres!$A$1:$I$88,3,0)*0.475*44/12</f>
        <v>#N/A</v>
      </c>
      <c r="CL189" s="23" t="e">
        <f>EXP(-LN(2)/25)*CL188+(1-EXP(-LN(2)/25))/(LN(2)/25)*Calculateur!CG189*Calculateur!CI189*VLOOKUP('Données projet'!$B$12,Paramètres!$A$1:$I$88,3,0)*0.475*44/12</f>
        <v>#N/A</v>
      </c>
      <c r="CM189" s="23" t="e">
        <f>EXP(-LN(2)/2)*CM188+(1-EXP(-LN(2)/2))/(LN(2)/2)*CG189*CJ189*VLOOKUP('Données projet'!$B$12,Paramètres!$A$1:$I$88,3,0)*0.475*44/12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137.10839999999968</v>
      </c>
      <c r="D190" s="12">
        <f t="shared" si="140"/>
        <v>35.633778064637305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1333.4483920778996</v>
      </c>
      <c r="H190" s="70">
        <f t="shared" si="110"/>
        <v>594.1926267959094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2.8421709430404007E-13</v>
      </c>
      <c r="O190" s="14">
        <f>N190*VLOOKUP('Données projet'!$B$9,Paramètres!$A$1:$I$88,3,0)*VLOOKUP('Données projet'!$B$9,Paramètres!$A$1:$I$88,5,0)</f>
        <v>1.588773557159584E-13</v>
      </c>
      <c r="P190" s="14">
        <f t="shared" si="141"/>
        <v>2.2615721672198623E-12</v>
      </c>
      <c r="Q190" s="22">
        <f t="shared" si="162"/>
        <v>4.2156162524465543E-12</v>
      </c>
      <c r="R190" s="62">
        <f t="shared" si="109"/>
        <v>293.33333333333752</v>
      </c>
      <c r="S190" s="62">
        <f ca="1">AVERAGE(OFFSET($R$3,0,0,'Données projet'!$E$9+1,1))-AVERAGE(OFFSET($H$3,0,0,'Données projet'!$E$9+1,1))</f>
        <v>222.18341301864729</v>
      </c>
      <c r="T190" s="62">
        <f t="shared" si="142"/>
        <v>172.63628480089358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27.42377397451375</v>
      </c>
      <c r="AA190" s="23">
        <f>EXP(-LN(2)/25)*AA189+(1-EXP(-LN(2)/25))/(LN(2)/25)*Calculateur!V190*Calculateur!X190*VLOOKUP('Données projet'!$B$9,Paramètres!$A$1:$I$88,3,0)*0.475*44/12</f>
        <v>5.6040318966241065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33.027805871137858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projet'!$B$10,Paramètres!$A$1:$I$88,3,0)*VLOOKUP('Données projet'!$B$10,Paramètres!$A$1:$I$88,5,0)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82.840015321739202</v>
      </c>
      <c r="AO190" s="62">
        <f t="shared" si="144"/>
        <v>101.40622074610098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6.1645476972041822</v>
      </c>
      <c r="AV190" s="23">
        <f>EXP(-LN(2)/25)*AV189+(1-EXP(-LN(2)/25))/(LN(2)/25)*Calculateur!AQ190*Calculateur!AS190*VLOOKUP('Données projet'!$B$10,Paramètres!$A$1:$I$88,3,0)*0.475*44/12</f>
        <v>1.1651950534569382</v>
      </c>
      <c r="AW190" s="23">
        <f>EXP(-LN(2)/2)*AW189+(1-EXP(-LN(2)/2))/(LN(2)/2)*AQ190*AT190*VLOOKUP('Données projet'!$B$10,Paramètres!$A$1:$I$88,3,0)*0.475*44/12</f>
        <v>0</v>
      </c>
      <c r="AX190" s="23">
        <f t="shared" si="166"/>
        <v>7.3297427506611204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169.99999999999983</v>
      </c>
      <c r="BE190" s="14">
        <f>BD190*VLOOKUP('Données projet'!$B$11,Paramètres!$A$1:$I$88,3,0)*VLOOKUP('Données projet'!$B$11,Paramètres!$A$1:$I$88,5,0)</f>
        <v>101.65999999999991</v>
      </c>
      <c r="BF190" s="14">
        <f t="shared" si="167"/>
        <v>27.357089923704745</v>
      </c>
      <c r="BG190" s="22">
        <f t="shared" si="168"/>
        <v>224.70476495045224</v>
      </c>
      <c r="BH190" s="62">
        <f t="shared" si="116"/>
        <v>518.03809828378553</v>
      </c>
      <c r="BI190" s="62">
        <f ca="1">AVERAGE(OFFSET($BH$3,0,0,'Données projet'!$E$11+1,1))-AVERAGE(OFFSET($H$3,0,0,'Données projet'!$E$11+1,1))</f>
        <v>83.354474428753292</v>
      </c>
      <c r="BJ190" s="62">
        <f t="shared" si="146"/>
        <v>97.75861379589162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1.0392375814888779</v>
      </c>
      <c r="BQ190" s="23">
        <f>EXP(-LN(2)/25)*BQ189+(1-EXP(-LN(2)/25))/(LN(2)/25)*Calculateur!BL190*Calculateur!BN190*VLOOKUP('Données projet'!$B$11,Paramètres!$A$1:$I$88,3,0)*0.475*44/12</f>
        <v>0.34472149742785063</v>
      </c>
      <c r="BR190" s="23">
        <f>EXP(-LN(2)/2)*BR189+(1-EXP(-LN(2)/2))/(LN(2)/2)*BL190*BO190*VLOOKUP('Données projet'!$B$11,Paramètres!$A$1:$I$88,3,0)*0.475*44/12</f>
        <v>0</v>
      </c>
      <c r="BS190" s="24">
        <f t="shared" si="169"/>
        <v>1.3839590789167286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projet'!$B$12,Paramètres!$A$1:$I$88,3,0)*0.475*44/12</f>
        <v>#N/A</v>
      </c>
      <c r="CL190" s="23" t="e">
        <f>EXP(-LN(2)/25)*CL189+(1-EXP(-LN(2)/25))/(LN(2)/25)*Calculateur!CG190*Calculateur!CI190*VLOOKUP('Données projet'!$B$12,Paramètres!$A$1:$I$88,3,0)*0.475*44/12</f>
        <v>#N/A</v>
      </c>
      <c r="CM190" s="23" t="e">
        <f>EXP(-LN(2)/2)*CM189+(1-EXP(-LN(2)/2))/(LN(2)/2)*CG190*CJ190*VLOOKUP('Données projet'!$B$12,Paramètres!$A$1:$I$88,3,0)*0.475*44/12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137.84159999999969</v>
      </c>
      <c r="D191" s="12">
        <f t="shared" si="140"/>
        <v>35.802100130711267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1340.4075097809266</v>
      </c>
      <c r="H191" s="70">
        <f t="shared" si="110"/>
        <v>595.76277772765491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2.8421709430404007E-13</v>
      </c>
      <c r="O191" s="14">
        <f>N191*VLOOKUP('Données projet'!$B$9,Paramètres!$A$1:$I$88,3,0)*VLOOKUP('Données projet'!$B$9,Paramètres!$A$1:$I$88,5,0)</f>
        <v>1.588773557159584E-13</v>
      </c>
      <c r="P191" s="14">
        <f t="shared" si="141"/>
        <v>2.2615721672198623E-12</v>
      </c>
      <c r="Q191" s="22">
        <f t="shared" si="162"/>
        <v>4.2156162524465543E-12</v>
      </c>
      <c r="R191" s="62">
        <f t="shared" si="109"/>
        <v>293.33333333333752</v>
      </c>
      <c r="S191" s="62">
        <f ca="1">AVERAGE(OFFSET($R$3,0,0,'Données projet'!$E$9+1,1))-AVERAGE(OFFSET($H$3,0,0,'Données projet'!$E$9+1,1))</f>
        <v>222.18341301864729</v>
      </c>
      <c r="T191" s="62">
        <f t="shared" si="142"/>
        <v>172.63628480089358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26.886010493724022</v>
      </c>
      <c r="AA191" s="23">
        <f>EXP(-LN(2)/25)*AA190+(1-EXP(-LN(2)/25))/(LN(2)/25)*Calculateur!V191*Calculateur!X191*VLOOKUP('Données projet'!$B$9,Paramètres!$A$1:$I$88,3,0)*0.475*44/12</f>
        <v>5.4507893497076907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32.336799843431713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projet'!$B$10,Paramètres!$A$1:$I$88,3,0)*VLOOKUP('Données projet'!$B$10,Paramètres!$A$1:$I$88,5,0)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82.840015321739202</v>
      </c>
      <c r="AO191" s="62">
        <f t="shared" si="144"/>
        <v>101.40622074610098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6.0436646768648341</v>
      </c>
      <c r="AV191" s="23">
        <f>EXP(-LN(2)/25)*AV190+(1-EXP(-LN(2)/25))/(LN(2)/25)*Calculateur!AQ191*Calculateur!AS191*VLOOKUP('Données projet'!$B$10,Paramètres!$A$1:$I$88,3,0)*0.475*44/12</f>
        <v>1.1333327334452135</v>
      </c>
      <c r="AW191" s="23">
        <f>EXP(-LN(2)/2)*AW190+(1-EXP(-LN(2)/2))/(LN(2)/2)*AQ191*AT191*VLOOKUP('Données projet'!$B$10,Paramètres!$A$1:$I$88,3,0)*0.475*44/12</f>
        <v>0</v>
      </c>
      <c r="AX191" s="23">
        <f t="shared" si="166"/>
        <v>7.1769974103100473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169.99999999999983</v>
      </c>
      <c r="BE191" s="14">
        <f>BD191*VLOOKUP('Données projet'!$B$11,Paramètres!$A$1:$I$88,3,0)*VLOOKUP('Données projet'!$B$11,Paramètres!$A$1:$I$88,5,0)</f>
        <v>101.65999999999991</v>
      </c>
      <c r="BF191" s="14">
        <f t="shared" si="167"/>
        <v>27.357089923704745</v>
      </c>
      <c r="BG191" s="22">
        <f t="shared" si="168"/>
        <v>224.70476495045224</v>
      </c>
      <c r="BH191" s="62">
        <f t="shared" si="116"/>
        <v>518.03809828378553</v>
      </c>
      <c r="BI191" s="62">
        <f ca="1">AVERAGE(OFFSET($BH$3,0,0,'Données projet'!$E$11+1,1))-AVERAGE(OFFSET($H$3,0,0,'Données projet'!$E$11+1,1))</f>
        <v>83.354474428753292</v>
      </c>
      <c r="BJ191" s="62">
        <f t="shared" si="146"/>
        <v>97.75861379589162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1.018858766388216</v>
      </c>
      <c r="BQ191" s="23">
        <f>EXP(-LN(2)/25)*BQ190+(1-EXP(-LN(2)/25))/(LN(2)/25)*Calculateur!BL191*Calculateur!BN191*VLOOKUP('Données projet'!$B$11,Paramètres!$A$1:$I$88,3,0)*0.475*44/12</f>
        <v>0.33529506995257036</v>
      </c>
      <c r="BR191" s="23">
        <f>EXP(-LN(2)/2)*BR190+(1-EXP(-LN(2)/2))/(LN(2)/2)*BL191*BO191*VLOOKUP('Données projet'!$B$11,Paramètres!$A$1:$I$88,3,0)*0.475*44/12</f>
        <v>0</v>
      </c>
      <c r="BS191" s="24">
        <f t="shared" si="169"/>
        <v>1.3541538363407863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projet'!$B$12,Paramètres!$A$1:$I$88,3,0)*0.475*44/12</f>
        <v>#N/A</v>
      </c>
      <c r="CL191" s="23" t="e">
        <f>EXP(-LN(2)/25)*CL190+(1-EXP(-LN(2)/25))/(LN(2)/25)*Calculateur!CG191*Calculateur!CI191*VLOOKUP('Données projet'!$B$12,Paramètres!$A$1:$I$88,3,0)*0.475*44/12</f>
        <v>#N/A</v>
      </c>
      <c r="CM191" s="23" t="e">
        <f>EXP(-LN(2)/2)*CM190+(1-EXP(-LN(2)/2))/(LN(2)/2)*CG191*CJ191*VLOOKUP('Données projet'!$B$12,Paramètres!$A$1:$I$88,3,0)*0.475*44/12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138.5747999999997</v>
      </c>
      <c r="D192" s="12">
        <f t="shared" si="140"/>
        <v>35.970318012093358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1347.3658232512446</v>
      </c>
      <c r="H192" s="70">
        <f t="shared" si="110"/>
        <v>597.33274720439533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2.8421709430404007E-13</v>
      </c>
      <c r="O192" s="14">
        <f>N192*VLOOKUP('Données projet'!$B$9,Paramètres!$A$1:$I$88,3,0)*VLOOKUP('Données projet'!$B$9,Paramètres!$A$1:$I$88,5,0)</f>
        <v>1.588773557159584E-13</v>
      </c>
      <c r="P192" s="14">
        <f t="shared" si="141"/>
        <v>2.2615721672198623E-12</v>
      </c>
      <c r="Q192" s="22">
        <f t="shared" si="162"/>
        <v>4.2156162524465543E-12</v>
      </c>
      <c r="R192" s="62">
        <f t="shared" si="109"/>
        <v>293.33333333333752</v>
      </c>
      <c r="S192" s="62">
        <f ca="1">AVERAGE(OFFSET($R$3,0,0,'Données projet'!$E$9+1,1))-AVERAGE(OFFSET($H$3,0,0,'Données projet'!$E$9+1,1))</f>
        <v>222.18341301864729</v>
      </c>
      <c r="T192" s="62">
        <f t="shared" si="142"/>
        <v>172.63628480089358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26.358792226789244</v>
      </c>
      <c r="AA192" s="23">
        <f>EXP(-LN(2)/25)*AA191+(1-EXP(-LN(2)/25))/(LN(2)/25)*Calculateur!V192*Calculateur!X192*VLOOKUP('Données projet'!$B$9,Paramètres!$A$1:$I$88,3,0)*0.475*44/12</f>
        <v>5.3017372282953801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31.660529455084625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projet'!$B$10,Paramètres!$A$1:$I$88,3,0)*VLOOKUP('Données projet'!$B$10,Paramètres!$A$1:$I$88,5,0)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82.840015321739202</v>
      </c>
      <c r="AO192" s="62">
        <f t="shared" si="144"/>
        <v>101.40622074610098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5.9251520988229789</v>
      </c>
      <c r="AV192" s="23">
        <f>EXP(-LN(2)/25)*AV191+(1-EXP(-LN(2)/25))/(LN(2)/25)*Calculateur!AQ192*Calculateur!AS192*VLOOKUP('Données projet'!$B$10,Paramètres!$A$1:$I$88,3,0)*0.475*44/12</f>
        <v>1.102341690249776</v>
      </c>
      <c r="AW192" s="23">
        <f>EXP(-LN(2)/2)*AW191+(1-EXP(-LN(2)/2))/(LN(2)/2)*AQ192*AT192*VLOOKUP('Données projet'!$B$10,Paramètres!$A$1:$I$88,3,0)*0.475*44/12</f>
        <v>0</v>
      </c>
      <c r="AX192" s="23">
        <f t="shared" si="166"/>
        <v>7.0274937890727553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169.99999999999983</v>
      </c>
      <c r="BE192" s="14">
        <f>BD192*VLOOKUP('Données projet'!$B$11,Paramètres!$A$1:$I$88,3,0)*VLOOKUP('Données projet'!$B$11,Paramètres!$A$1:$I$88,5,0)</f>
        <v>101.65999999999991</v>
      </c>
      <c r="BF192" s="14">
        <f t="shared" si="167"/>
        <v>27.357089923704745</v>
      </c>
      <c r="BG192" s="22">
        <f t="shared" si="168"/>
        <v>224.70476495045224</v>
      </c>
      <c r="BH192" s="62">
        <f t="shared" si="116"/>
        <v>518.03809828378553</v>
      </c>
      <c r="BI192" s="62">
        <f ca="1">AVERAGE(OFFSET($BH$3,0,0,'Données projet'!$E$11+1,1))-AVERAGE(OFFSET($H$3,0,0,'Données projet'!$E$11+1,1))</f>
        <v>83.354474428753292</v>
      </c>
      <c r="BJ192" s="62">
        <f t="shared" si="146"/>
        <v>97.75861379589162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0.99887956742182826</v>
      </c>
      <c r="BQ192" s="23">
        <f>EXP(-LN(2)/25)*BQ191+(1-EXP(-LN(2)/25))/(LN(2)/25)*Calculateur!BL192*Calculateur!BN192*VLOOKUP('Données projet'!$B$11,Paramètres!$A$1:$I$88,3,0)*0.475*44/12</f>
        <v>0.3261264086323159</v>
      </c>
      <c r="BR192" s="23">
        <f>EXP(-LN(2)/2)*BR191+(1-EXP(-LN(2)/2))/(LN(2)/2)*BL192*BO192*VLOOKUP('Données projet'!$B$11,Paramètres!$A$1:$I$88,3,0)*0.475*44/12</f>
        <v>0</v>
      </c>
      <c r="BS192" s="24">
        <f t="shared" si="169"/>
        <v>1.3250059760541442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projet'!$B$12,Paramètres!$A$1:$I$88,3,0)*0.475*44/12</f>
        <v>#N/A</v>
      </c>
      <c r="CL192" s="23" t="e">
        <f>EXP(-LN(2)/25)*CL191+(1-EXP(-LN(2)/25))/(LN(2)/25)*Calculateur!CG192*Calculateur!CI192*VLOOKUP('Données projet'!$B$12,Paramètres!$A$1:$I$88,3,0)*0.475*44/12</f>
        <v>#N/A</v>
      </c>
      <c r="CM192" s="23" t="e">
        <f>EXP(-LN(2)/2)*CM191+(1-EXP(-LN(2)/2))/(LN(2)/2)*CG192*CJ192*VLOOKUP('Données projet'!$B$12,Paramètres!$A$1:$I$88,3,0)*0.475*44/12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139.30799999999971</v>
      </c>
      <c r="D193" s="12">
        <f t="shared" si="140"/>
        <v>36.138432324006331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1354.3233372379414</v>
      </c>
      <c r="H193" s="70">
        <f t="shared" si="110"/>
        <v>598.90253629764379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2.8421709430404007E-13</v>
      </c>
      <c r="O193" s="14">
        <f>N193*VLOOKUP('Données projet'!$B$9,Paramètres!$A$1:$I$88,3,0)*VLOOKUP('Données projet'!$B$9,Paramètres!$A$1:$I$88,5,0)</f>
        <v>1.588773557159584E-13</v>
      </c>
      <c r="P193" s="14">
        <f t="shared" si="141"/>
        <v>2.2615721672198623E-12</v>
      </c>
      <c r="Q193" s="22">
        <f t="shared" si="162"/>
        <v>4.2156162524465543E-12</v>
      </c>
      <c r="R193" s="62">
        <f t="shared" si="109"/>
        <v>293.33333333333752</v>
      </c>
      <c r="S193" s="62">
        <f ca="1">AVERAGE(OFFSET($R$3,0,0,'Données projet'!$E$9+1,1))-AVERAGE(OFFSET($H$3,0,0,'Données projet'!$E$9+1,1))</f>
        <v>222.18341301864729</v>
      </c>
      <c r="T193" s="62">
        <f t="shared" si="142"/>
        <v>172.63628480089358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25.841912388497665</v>
      </c>
      <c r="AA193" s="23">
        <f>EXP(-LN(2)/25)*AA192+(1-EXP(-LN(2)/25))/(LN(2)/25)*Calculateur!V193*Calculateur!X193*VLOOKUP('Données projet'!$B$9,Paramètres!$A$1:$I$88,3,0)*0.475*44/12</f>
        <v>5.1567609449813991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30.998673333479065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projet'!$B$10,Paramètres!$A$1:$I$88,3,0)*VLOOKUP('Données projet'!$B$10,Paramètres!$A$1:$I$88,5,0)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82.840015321739202</v>
      </c>
      <c r="AO193" s="62">
        <f t="shared" si="144"/>
        <v>101.40622074610098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5.8089634801509895</v>
      </c>
      <c r="AV193" s="23">
        <f>EXP(-LN(2)/25)*AV192+(1-EXP(-LN(2)/25))/(LN(2)/25)*Calculateur!AQ193*Calculateur!AS193*VLOOKUP('Données projet'!$B$10,Paramètres!$A$1:$I$88,3,0)*0.475*44/12</f>
        <v>1.0721980987602659</v>
      </c>
      <c r="AW193" s="23">
        <f>EXP(-LN(2)/2)*AW192+(1-EXP(-LN(2)/2))/(LN(2)/2)*AQ193*AT193*VLOOKUP('Données projet'!$B$10,Paramètres!$A$1:$I$88,3,0)*0.475*44/12</f>
        <v>0</v>
      </c>
      <c r="AX193" s="23">
        <f t="shared" si="166"/>
        <v>6.8811615789112555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169.99999999999983</v>
      </c>
      <c r="BE193" s="14">
        <f>BD193*VLOOKUP('Données projet'!$B$11,Paramètres!$A$1:$I$88,3,0)*VLOOKUP('Données projet'!$B$11,Paramètres!$A$1:$I$88,5,0)</f>
        <v>101.65999999999991</v>
      </c>
      <c r="BF193" s="14">
        <f t="shared" si="167"/>
        <v>27.357089923704745</v>
      </c>
      <c r="BG193" s="22">
        <f t="shared" si="168"/>
        <v>224.70476495045224</v>
      </c>
      <c r="BH193" s="62">
        <f t="shared" si="116"/>
        <v>518.03809828378553</v>
      </c>
      <c r="BI193" s="62">
        <f ca="1">AVERAGE(OFFSET($BH$3,0,0,'Données projet'!$E$11+1,1))-AVERAGE(OFFSET($H$3,0,0,'Données projet'!$E$11+1,1))</f>
        <v>83.354474428753292</v>
      </c>
      <c r="BJ193" s="62">
        <f t="shared" si="146"/>
        <v>97.75861379589162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0.97929214836106326</v>
      </c>
      <c r="BQ193" s="23">
        <f>EXP(-LN(2)/25)*BQ192+(1-EXP(-LN(2)/25))/(LN(2)/25)*Calculateur!BL193*Calculateur!BN193*VLOOKUP('Données projet'!$B$11,Paramètres!$A$1:$I$88,3,0)*0.475*44/12</f>
        <v>0.31720846483802279</v>
      </c>
      <c r="BR193" s="23">
        <f>EXP(-LN(2)/2)*BR192+(1-EXP(-LN(2)/2))/(LN(2)/2)*BL193*BO193*VLOOKUP('Données projet'!$B$11,Paramètres!$A$1:$I$88,3,0)*0.475*44/12</f>
        <v>0</v>
      </c>
      <c r="BS193" s="24">
        <f t="shared" si="169"/>
        <v>1.2965006131990862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projet'!$B$12,Paramètres!$A$1:$I$88,3,0)*0.475*44/12</f>
        <v>#N/A</v>
      </c>
      <c r="CL193" s="23" t="e">
        <f>EXP(-LN(2)/25)*CL192+(1-EXP(-LN(2)/25))/(LN(2)/25)*Calculateur!CG193*Calculateur!CI193*VLOOKUP('Données projet'!$B$12,Paramètres!$A$1:$I$88,3,0)*0.475*44/12</f>
        <v>#N/A</v>
      </c>
      <c r="CM193" s="23" t="e">
        <f>EXP(-LN(2)/2)*CM192+(1-EXP(-LN(2)/2))/(LN(2)/2)*CG193*CJ193*VLOOKUP('Données projet'!$B$12,Paramètres!$A$1:$I$88,3,0)*0.475*44/12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140.04119999999972</v>
      </c>
      <c r="D194" s="12">
        <f t="shared" si="140"/>
        <v>36.306443674821708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1361.280056437218</v>
      </c>
      <c r="H194" s="70">
        <f t="shared" si="110"/>
        <v>600.4721460669806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2.8421709430404007E-13</v>
      </c>
      <c r="O194" s="14">
        <f>N194*VLOOKUP('Données projet'!$B$9,Paramètres!$A$1:$I$88,3,0)*VLOOKUP('Données projet'!$B$9,Paramètres!$A$1:$I$88,5,0)</f>
        <v>1.588773557159584E-13</v>
      </c>
      <c r="P194" s="14">
        <f t="shared" si="141"/>
        <v>2.2615721672198623E-12</v>
      </c>
      <c r="Q194" s="22">
        <f t="shared" si="162"/>
        <v>4.2156162524465543E-12</v>
      </c>
      <c r="R194" s="62">
        <f t="shared" si="109"/>
        <v>293.33333333333752</v>
      </c>
      <c r="S194" s="62">
        <f ca="1">AVERAGE(OFFSET($R$3,0,0,'Données projet'!$E$9+1,1))-AVERAGE(OFFSET($H$3,0,0,'Données projet'!$E$9+1,1))</f>
        <v>222.18341301864729</v>
      </c>
      <c r="T194" s="62">
        <f t="shared" si="142"/>
        <v>172.63628480089358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25.335168248569413</v>
      </c>
      <c r="AA194" s="23">
        <f>EXP(-LN(2)/25)*AA193+(1-EXP(-LN(2)/25))/(LN(2)/25)*Calculateur!V194*Calculateur!X194*VLOOKUP('Données projet'!$B$9,Paramètres!$A$1:$I$88,3,0)*0.475*44/12</f>
        <v>5.0157490457586107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30.350917294328024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projet'!$B$10,Paramètres!$A$1:$I$88,3,0)*VLOOKUP('Données projet'!$B$10,Paramètres!$A$1:$I$88,5,0)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82.840015321739202</v>
      </c>
      <c r="AO194" s="62">
        <f t="shared" si="144"/>
        <v>101.40622074610098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5.6950532494230979</v>
      </c>
      <c r="AV194" s="23">
        <f>EXP(-LN(2)/25)*AV193+(1-EXP(-LN(2)/25))/(LN(2)/25)*Calculateur!AQ194*Calculateur!AS194*VLOOKUP('Données projet'!$B$10,Paramètres!$A$1:$I$88,3,0)*0.475*44/12</f>
        <v>1.0428787853652191</v>
      </c>
      <c r="AW194" s="23">
        <f>EXP(-LN(2)/2)*AW193+(1-EXP(-LN(2)/2))/(LN(2)/2)*AQ194*AT194*VLOOKUP('Données projet'!$B$10,Paramètres!$A$1:$I$88,3,0)*0.475*44/12</f>
        <v>0</v>
      </c>
      <c r="AX194" s="23">
        <f t="shared" si="166"/>
        <v>6.7379320347883169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169.99999999999983</v>
      </c>
      <c r="BE194" s="14">
        <f>BD194*VLOOKUP('Données projet'!$B$11,Paramètres!$A$1:$I$88,3,0)*VLOOKUP('Données projet'!$B$11,Paramètres!$A$1:$I$88,5,0)</f>
        <v>101.65999999999991</v>
      </c>
      <c r="BF194" s="14">
        <f t="shared" si="167"/>
        <v>27.357089923704745</v>
      </c>
      <c r="BG194" s="22">
        <f t="shared" si="168"/>
        <v>224.70476495045224</v>
      </c>
      <c r="BH194" s="62">
        <f t="shared" si="116"/>
        <v>518.03809828378553</v>
      </c>
      <c r="BI194" s="62">
        <f ca="1">AVERAGE(OFFSET($BH$3,0,0,'Données projet'!$E$11+1,1))-AVERAGE(OFFSET($H$3,0,0,'Données projet'!$E$11+1,1))</f>
        <v>83.354474428753292</v>
      </c>
      <c r="BJ194" s="62">
        <f t="shared" si="146"/>
        <v>97.75861379589162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0.96008882664093398</v>
      </c>
      <c r="BQ194" s="23">
        <f>EXP(-LN(2)/25)*BQ193+(1-EXP(-LN(2)/25))/(LN(2)/25)*Calculateur!BL194*Calculateur!BN194*VLOOKUP('Données projet'!$B$11,Paramètres!$A$1:$I$88,3,0)*0.475*44/12</f>
        <v>0.30853438268575889</v>
      </c>
      <c r="BR194" s="23">
        <f>EXP(-LN(2)/2)*BR193+(1-EXP(-LN(2)/2))/(LN(2)/2)*BL194*BO194*VLOOKUP('Données projet'!$B$11,Paramètres!$A$1:$I$88,3,0)*0.475*44/12</f>
        <v>0</v>
      </c>
      <c r="BS194" s="24">
        <f t="shared" si="169"/>
        <v>1.2686232093266929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projet'!$B$12,Paramètres!$A$1:$I$88,3,0)*0.475*44/12</f>
        <v>#N/A</v>
      </c>
      <c r="CL194" s="23" t="e">
        <f>EXP(-LN(2)/25)*CL193+(1-EXP(-LN(2)/25))/(LN(2)/25)*Calculateur!CG194*Calculateur!CI194*VLOOKUP('Données projet'!$B$12,Paramètres!$A$1:$I$88,3,0)*0.475*44/12</f>
        <v>#N/A</v>
      </c>
      <c r="CM194" s="23" t="e">
        <f>EXP(-LN(2)/2)*CM193+(1-EXP(-LN(2)/2))/(LN(2)/2)*CG194*CJ194*VLOOKUP('Données projet'!$B$12,Paramètres!$A$1:$I$88,3,0)*0.475*44/12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140.77439999999973</v>
      </c>
      <c r="D195" s="12">
        <f t="shared" si="140"/>
        <v>36.474352666172038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1368.2359854932556</v>
      </c>
      <c r="H195" s="70">
        <f t="shared" si="110"/>
        <v>602.04157756024915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2.8421709430404007E-13</v>
      </c>
      <c r="O195" s="14">
        <f>N195*VLOOKUP('Données projet'!$B$9,Paramètres!$A$1:$I$88,3,0)*VLOOKUP('Données projet'!$B$9,Paramètres!$A$1:$I$88,5,0)</f>
        <v>1.588773557159584E-13</v>
      </c>
      <c r="P195" s="14">
        <f t="shared" si="141"/>
        <v>2.2615721672198623E-12</v>
      </c>
      <c r="Q195" s="22">
        <f t="shared" si="162"/>
        <v>4.2156162524465543E-12</v>
      </c>
      <c r="R195" s="62">
        <f t="shared" ref="R195:R203" si="191">Q195+(I195+J195)*44/12</f>
        <v>293.33333333333752</v>
      </c>
      <c r="S195" s="62">
        <f ca="1">AVERAGE(OFFSET($R$3,0,0,'Données projet'!$E$9+1,1))-AVERAGE(OFFSET($H$3,0,0,'Données projet'!$E$9+1,1))</f>
        <v>222.18341301864729</v>
      </c>
      <c r="T195" s="62">
        <f t="shared" si="142"/>
        <v>172.63628480089358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24.838361052141749</v>
      </c>
      <c r="AA195" s="23">
        <f>EXP(-LN(2)/25)*AA194+(1-EXP(-LN(2)/25))/(LN(2)/25)*Calculateur!V195*Calculateur!X195*VLOOKUP('Données projet'!$B$9,Paramètres!$A$1:$I$88,3,0)*0.475*44/12</f>
        <v>4.8785931243355627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29.716954176477312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projet'!$B$10,Paramètres!$A$1:$I$88,3,0)*VLOOKUP('Données projet'!$B$10,Paramètres!$A$1:$I$88,5,0)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82.840015321739202</v>
      </c>
      <c r="AO195" s="62">
        <f t="shared" si="144"/>
        <v>101.40622074610098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5.5833767288414</v>
      </c>
      <c r="AV195" s="23">
        <f>EXP(-LN(2)/25)*AV194+(1-EXP(-LN(2)/25))/(LN(2)/25)*Calculateur!AQ195*Calculateur!AS195*VLOOKUP('Données projet'!$B$10,Paramètres!$A$1:$I$88,3,0)*0.475*44/12</f>
        <v>1.0143612101367954</v>
      </c>
      <c r="AW195" s="23">
        <f>EXP(-LN(2)/2)*AW194+(1-EXP(-LN(2)/2))/(LN(2)/2)*AQ195*AT195*VLOOKUP('Données projet'!$B$10,Paramètres!$A$1:$I$88,3,0)*0.475*44/12</f>
        <v>0</v>
      </c>
      <c r="AX195" s="23">
        <f t="shared" si="166"/>
        <v>6.5977379389781952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169.99999999999983</v>
      </c>
      <c r="BE195" s="14">
        <f>BD195*VLOOKUP('Données projet'!$B$11,Paramètres!$A$1:$I$88,3,0)*VLOOKUP('Données projet'!$B$11,Paramètres!$A$1:$I$88,5,0)</f>
        <v>101.65999999999991</v>
      </c>
      <c r="BF195" s="14">
        <f t="shared" si="167"/>
        <v>27.357089923704745</v>
      </c>
      <c r="BG195" s="22">
        <f t="shared" si="168"/>
        <v>224.70476495045224</v>
      </c>
      <c r="BH195" s="62">
        <f t="shared" si="116"/>
        <v>518.03809828378553</v>
      </c>
      <c r="BI195" s="62">
        <f ca="1">AVERAGE(OFFSET($BH$3,0,0,'Données projet'!$E$11+1,1))-AVERAGE(OFFSET($H$3,0,0,'Données projet'!$E$11+1,1))</f>
        <v>83.354474428753292</v>
      </c>
      <c r="BJ195" s="62">
        <f t="shared" si="146"/>
        <v>97.75861379589162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0.94126207034686671</v>
      </c>
      <c r="BQ195" s="23">
        <f>EXP(-LN(2)/25)*BQ194+(1-EXP(-LN(2)/25))/(LN(2)/25)*Calculateur!BL195*Calculateur!BN195*VLOOKUP('Données projet'!$B$11,Paramètres!$A$1:$I$88,3,0)*0.475*44/12</f>
        <v>0.30009749376609879</v>
      </c>
      <c r="BR195" s="23">
        <f>EXP(-LN(2)/2)*BR194+(1-EXP(-LN(2)/2))/(LN(2)/2)*BL195*BO195*VLOOKUP('Données projet'!$B$11,Paramètres!$A$1:$I$88,3,0)*0.475*44/12</f>
        <v>0</v>
      </c>
      <c r="BS195" s="24">
        <f t="shared" si="169"/>
        <v>1.2413595641129656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projet'!$B$12,Paramètres!$A$1:$I$88,3,0)*0.475*44/12</f>
        <v>#N/A</v>
      </c>
      <c r="CL195" s="23" t="e">
        <f>EXP(-LN(2)/25)*CL194+(1-EXP(-LN(2)/25))/(LN(2)/25)*Calculateur!CG195*Calculateur!CI195*VLOOKUP('Données projet'!$B$12,Paramètres!$A$1:$I$88,3,0)*0.475*44/12</f>
        <v>#N/A</v>
      </c>
      <c r="CM195" s="23" t="e">
        <f>EXP(-LN(2)/2)*CM194+(1-EXP(-LN(2)/2))/(LN(2)/2)*CG195*CJ195*VLOOKUP('Données projet'!$B$12,Paramètres!$A$1:$I$88,3,0)*0.475*44/12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141.50759999999974</v>
      </c>
      <c r="D196" s="12">
        <f t="shared" si="140"/>
        <v>36.642159893059954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1375.1911289990574</v>
      </c>
      <c r="H196" s="70">
        <f t="shared" ref="H196:H203" si="192">(B196+E196+F196)*44/12+(C196+D196)*0.475*44/12</f>
        <v>603.61083181374556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2.8421709430404007E-13</v>
      </c>
      <c r="O196" s="14">
        <f>N196*VLOOKUP('Données projet'!$B$9,Paramètres!$A$1:$I$88,3,0)*VLOOKUP('Données projet'!$B$9,Paramètres!$A$1:$I$88,5,0)</f>
        <v>1.588773557159584E-13</v>
      </c>
      <c r="P196" s="14">
        <f t="shared" si="141"/>
        <v>2.2615721672198623E-12</v>
      </c>
      <c r="Q196" s="22">
        <f t="shared" si="162"/>
        <v>4.2156162524465543E-12</v>
      </c>
      <c r="R196" s="62">
        <f t="shared" si="191"/>
        <v>293.33333333333752</v>
      </c>
      <c r="S196" s="62">
        <f ca="1">AVERAGE(OFFSET($R$3,0,0,'Données projet'!$E$9+1,1))-AVERAGE(OFFSET($H$3,0,0,'Données projet'!$E$9+1,1))</f>
        <v>222.18341301864729</v>
      </c>
      <c r="T196" s="62">
        <f t="shared" si="142"/>
        <v>172.63628480089358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24.351295941813564</v>
      </c>
      <c r="AA196" s="23">
        <f>EXP(-LN(2)/25)*AA195+(1-EXP(-LN(2)/25))/(LN(2)/25)*Calculateur!V196*Calculateur!X196*VLOOKUP('Données projet'!$B$9,Paramètres!$A$1:$I$88,3,0)*0.475*44/12</f>
        <v>4.7451877387965444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29.09648368061011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projet'!$B$10,Paramètres!$A$1:$I$88,3,0)*VLOOKUP('Données projet'!$B$10,Paramètres!$A$1:$I$88,5,0)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82.840015321739202</v>
      </c>
      <c r="AO196" s="62">
        <f t="shared" si="144"/>
        <v>101.40622074610098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5.473890116712357</v>
      </c>
      <c r="AV196" s="23">
        <f>EXP(-LN(2)/25)*AV195+(1-EXP(-LN(2)/25))/(LN(2)/25)*Calculateur!AQ196*Calculateur!AS196*VLOOKUP('Données projet'!$B$10,Paramètres!$A$1:$I$88,3,0)*0.475*44/12</f>
        <v>0.986623449502667</v>
      </c>
      <c r="AW196" s="23">
        <f>EXP(-LN(2)/2)*AW195+(1-EXP(-LN(2)/2))/(LN(2)/2)*AQ196*AT196*VLOOKUP('Données projet'!$B$10,Paramètres!$A$1:$I$88,3,0)*0.475*44/12</f>
        <v>0</v>
      </c>
      <c r="AX196" s="23">
        <f t="shared" si="166"/>
        <v>6.4605135662150239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169.99999999999983</v>
      </c>
      <c r="BE196" s="14">
        <f>BD196*VLOOKUP('Données projet'!$B$11,Paramètres!$A$1:$I$88,3,0)*VLOOKUP('Données projet'!$B$11,Paramètres!$A$1:$I$88,5,0)</f>
        <v>101.65999999999991</v>
      </c>
      <c r="BF196" s="14">
        <f t="shared" si="167"/>
        <v>27.357089923704745</v>
      </c>
      <c r="BG196" s="22">
        <f t="shared" si="168"/>
        <v>224.70476495045224</v>
      </c>
      <c r="BH196" s="62">
        <f t="shared" ref="BH196:BH203" si="194">BG196+(AY196+AZ196)*44/12</f>
        <v>518.03809828378553</v>
      </c>
      <c r="BI196" s="62">
        <f ca="1">AVERAGE(OFFSET($BH$3,0,0,'Données projet'!$E$11+1,1))-AVERAGE(OFFSET($H$3,0,0,'Données projet'!$E$11+1,1))</f>
        <v>83.354474428753292</v>
      </c>
      <c r="BJ196" s="62">
        <f t="shared" si="146"/>
        <v>97.75861379589162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0.92280449526053865</v>
      </c>
      <c r="BQ196" s="23">
        <f>EXP(-LN(2)/25)*BQ195+(1-EXP(-LN(2)/25))/(LN(2)/25)*Calculateur!BL196*Calculateur!BN196*VLOOKUP('Données projet'!$B$11,Paramètres!$A$1:$I$88,3,0)*0.475*44/12</f>
        <v>0.29189131201762353</v>
      </c>
      <c r="BR196" s="23">
        <f>EXP(-LN(2)/2)*BR195+(1-EXP(-LN(2)/2))/(LN(2)/2)*BL196*BO196*VLOOKUP('Données projet'!$B$11,Paramètres!$A$1:$I$88,3,0)*0.475*44/12</f>
        <v>0</v>
      </c>
      <c r="BS196" s="24">
        <f t="shared" si="169"/>
        <v>1.2146958072781622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projet'!$B$12,Paramètres!$A$1:$I$88,3,0)*0.475*44/12</f>
        <v>#N/A</v>
      </c>
      <c r="CL196" s="23" t="e">
        <f>EXP(-LN(2)/25)*CL195+(1-EXP(-LN(2)/25))/(LN(2)/25)*Calculateur!CG196*Calculateur!CI196*VLOOKUP('Données projet'!$B$12,Paramètres!$A$1:$I$88,3,0)*0.475*44/12</f>
        <v>#N/A</v>
      </c>
      <c r="CM196" s="23" t="e">
        <f>EXP(-LN(2)/2)*CM195+(1-EXP(-LN(2)/2))/(LN(2)/2)*CG196*CJ196*VLOOKUP('Données projet'!$B$12,Paramètres!$A$1:$I$88,3,0)*0.475*44/12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142.24079999999975</v>
      </c>
      <c r="D197" s="12">
        <f t="shared" ref="D197:D203" si="202">IFERROR(EXP(-1.0587+0.8836*LN(C197)+0.284),0)</f>
        <v>36.80986594396532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1382.1454914972744</v>
      </c>
      <c r="H197" s="70">
        <f t="shared" si="192"/>
        <v>605.17990985240579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2.8421709430404007E-13</v>
      </c>
      <c r="O197" s="14">
        <f>N197*VLOOKUP('Données projet'!$B$9,Paramètres!$A$1:$I$88,3,0)*VLOOKUP('Données projet'!$B$9,Paramètres!$A$1:$I$88,5,0)</f>
        <v>1.588773557159584E-13</v>
      </c>
      <c r="P197" s="14">
        <f t="shared" ref="P197:P203" si="203">EXP(-1.0587+0.8836*LN(O197)+0.284)</f>
        <v>2.2615721672198623E-12</v>
      </c>
      <c r="Q197" s="22">
        <f t="shared" si="162"/>
        <v>4.2156162524465543E-12</v>
      </c>
      <c r="R197" s="62">
        <f t="shared" si="191"/>
        <v>293.33333333333752</v>
      </c>
      <c r="S197" s="62">
        <f ca="1">AVERAGE(OFFSET($R$3,0,0,'Données projet'!$E$9+1,1))-AVERAGE(OFFSET($H$3,0,0,'Données projet'!$E$9+1,1))</f>
        <v>222.18341301864729</v>
      </c>
      <c r="T197" s="62">
        <f t="shared" ref="T197:T203" si="204">$T$3</f>
        <v>172.63628480089358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23.87378188121853</v>
      </c>
      <c r="AA197" s="23">
        <f>EXP(-LN(2)/25)*AA196+(1-EXP(-LN(2)/25))/(LN(2)/25)*Calculateur!V197*Calculateur!X197*VLOOKUP('Données projet'!$B$9,Paramètres!$A$1:$I$88,3,0)*0.475*44/12</f>
        <v>4.6154303305405753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28.489212211759106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projet'!$B$10,Paramètres!$A$1:$I$88,3,0)*VLOOKUP('Données projet'!$B$10,Paramètres!$A$1:$I$88,5,0)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82.840015321739202</v>
      </c>
      <c r="AO197" s="62">
        <f t="shared" ref="AO197:AO203" si="205">$AO$3</f>
        <v>101.40622074610098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5.3665504702669251</v>
      </c>
      <c r="AV197" s="23">
        <f>EXP(-LN(2)/25)*AV196+(1-EXP(-LN(2)/25))/(LN(2)/25)*Calculateur!AQ197*Calculateur!AS197*VLOOKUP('Données projet'!$B$10,Paramètres!$A$1:$I$88,3,0)*0.475*44/12</f>
        <v>0.95964417939174429</v>
      </c>
      <c r="AW197" s="23">
        <f>EXP(-LN(2)/2)*AW196+(1-EXP(-LN(2)/2))/(LN(2)/2)*AQ197*AT197*VLOOKUP('Données projet'!$B$10,Paramètres!$A$1:$I$88,3,0)*0.475*44/12</f>
        <v>0</v>
      </c>
      <c r="AX197" s="23">
        <f t="shared" si="166"/>
        <v>6.3261946496586692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169.99999999999983</v>
      </c>
      <c r="BE197" s="14">
        <f>BD197*VLOOKUP('Données projet'!$B$11,Paramètres!$A$1:$I$88,3,0)*VLOOKUP('Données projet'!$B$11,Paramètres!$A$1:$I$88,5,0)</f>
        <v>101.65999999999991</v>
      </c>
      <c r="BF197" s="14">
        <f t="shared" si="167"/>
        <v>27.357089923704745</v>
      </c>
      <c r="BG197" s="22">
        <f t="shared" si="168"/>
        <v>224.70476495045224</v>
      </c>
      <c r="BH197" s="62">
        <f t="shared" si="194"/>
        <v>518.03809828378553</v>
      </c>
      <c r="BI197" s="62">
        <f ca="1">AVERAGE(OFFSET($BH$3,0,0,'Données projet'!$E$11+1,1))-AVERAGE(OFFSET($H$3,0,0,'Données projet'!$E$11+1,1))</f>
        <v>83.354474428753292</v>
      </c>
      <c r="BJ197" s="62">
        <f t="shared" ref="BJ197:BJ203" si="206">$BJ$3</f>
        <v>97.75861379589162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0.90470886196364431</v>
      </c>
      <c r="BQ197" s="23">
        <f>EXP(-LN(2)/25)*BQ196+(1-EXP(-LN(2)/25))/(LN(2)/25)*Calculateur!BL197*Calculateur!BN197*VLOOKUP('Données projet'!$B$11,Paramètres!$A$1:$I$88,3,0)*0.475*44/12</f>
        <v>0.28390952874060466</v>
      </c>
      <c r="BR197" s="23">
        <f>EXP(-LN(2)/2)*BR196+(1-EXP(-LN(2)/2))/(LN(2)/2)*BL197*BO197*VLOOKUP('Données projet'!$B$11,Paramètres!$A$1:$I$88,3,0)*0.475*44/12</f>
        <v>0</v>
      </c>
      <c r="BS197" s="24">
        <f t="shared" si="169"/>
        <v>1.1886183907042489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projet'!$B$12,Paramètres!$A$1:$I$88,3,0)*0.475*44/12</f>
        <v>#N/A</v>
      </c>
      <c r="CL197" s="23" t="e">
        <f>EXP(-LN(2)/25)*CL196+(1-EXP(-LN(2)/25))/(LN(2)/25)*Calculateur!CG197*Calculateur!CI197*VLOOKUP('Données projet'!$B$12,Paramètres!$A$1:$I$88,3,0)*0.475*44/12</f>
        <v>#N/A</v>
      </c>
      <c r="CM197" s="23" t="e">
        <f>EXP(-LN(2)/2)*CM196+(1-EXP(-LN(2)/2))/(LN(2)/2)*CG197*CJ197*VLOOKUP('Données projet'!$B$12,Paramètres!$A$1:$I$88,3,0)*0.475*44/12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142.97399999999976</v>
      </c>
      <c r="D198" s="12">
        <f t="shared" si="202"/>
        <v>36.977471400949966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1389.0990774810155</v>
      </c>
      <c r="H198" s="70">
        <f t="shared" si="192"/>
        <v>606.7488126899874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2.8421709430404007E-13</v>
      </c>
      <c r="O198" s="14">
        <f>N198*VLOOKUP('Données projet'!$B$9,Paramètres!$A$1:$I$88,3,0)*VLOOKUP('Données projet'!$B$9,Paramètres!$A$1:$I$88,5,0)</f>
        <v>1.588773557159584E-13</v>
      </c>
      <c r="P198" s="14">
        <f t="shared" si="203"/>
        <v>2.2615721672198623E-12</v>
      </c>
      <c r="Q198" s="22">
        <f t="shared" si="162"/>
        <v>4.2156162524465543E-12</v>
      </c>
      <c r="R198" s="62">
        <f t="shared" si="191"/>
        <v>293.33333333333752</v>
      </c>
      <c r="S198" s="62">
        <f ca="1">AVERAGE(OFFSET($R$3,0,0,'Données projet'!$E$9+1,1))-AVERAGE(OFFSET($H$3,0,0,'Données projet'!$E$9+1,1))</f>
        <v>222.18341301864729</v>
      </c>
      <c r="T198" s="62">
        <f t="shared" si="204"/>
        <v>172.63628480089358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23.405631580096948</v>
      </c>
      <c r="AA198" s="23">
        <f>EXP(-LN(2)/25)*AA197+(1-EXP(-LN(2)/25))/(LN(2)/25)*Calculateur!V198*Calculateur!X198*VLOOKUP('Données projet'!$B$9,Paramètres!$A$1:$I$88,3,0)*0.475*44/12</f>
        <v>4.4892211454370106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27.894852725533958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projet'!$B$10,Paramètres!$A$1:$I$88,3,0)*VLOOKUP('Données projet'!$B$10,Paramètres!$A$1:$I$88,5,0)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82.840015321739202</v>
      </c>
      <c r="AO198" s="62">
        <f t="shared" si="205"/>
        <v>101.40622074610098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5.2613156888175689</v>
      </c>
      <c r="AV198" s="23">
        <f>EXP(-LN(2)/25)*AV197+(1-EXP(-LN(2)/25))/(LN(2)/25)*Calculateur!AQ198*Calculateur!AS198*VLOOKUP('Données projet'!$B$10,Paramètres!$A$1:$I$88,3,0)*0.475*44/12</f>
        <v>0.93340265884078299</v>
      </c>
      <c r="AW198" s="23">
        <f>EXP(-LN(2)/2)*AW197+(1-EXP(-LN(2)/2))/(LN(2)/2)*AQ198*AT198*VLOOKUP('Données projet'!$B$10,Paramètres!$A$1:$I$88,3,0)*0.475*44/12</f>
        <v>0</v>
      </c>
      <c r="AX198" s="23">
        <f t="shared" si="166"/>
        <v>6.1947183476583518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169.99999999999983</v>
      </c>
      <c r="BE198" s="14">
        <f>BD198*VLOOKUP('Données projet'!$B$11,Paramètres!$A$1:$I$88,3,0)*VLOOKUP('Données projet'!$B$11,Paramètres!$A$1:$I$88,5,0)</f>
        <v>101.65999999999991</v>
      </c>
      <c r="BF198" s="14">
        <f t="shared" si="167"/>
        <v>27.357089923704745</v>
      </c>
      <c r="BG198" s="22">
        <f t="shared" si="168"/>
        <v>224.70476495045224</v>
      </c>
      <c r="BH198" s="62">
        <f t="shared" si="194"/>
        <v>518.03809828378553</v>
      </c>
      <c r="BI198" s="62">
        <f ca="1">AVERAGE(OFFSET($BH$3,0,0,'Données projet'!$E$11+1,1))-AVERAGE(OFFSET($H$3,0,0,'Données projet'!$E$11+1,1))</f>
        <v>83.354474428753292</v>
      </c>
      <c r="BJ198" s="62">
        <f t="shared" si="206"/>
        <v>97.75861379589162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0.88696807299845559</v>
      </c>
      <c r="BQ198" s="23">
        <f>EXP(-LN(2)/25)*BQ197+(1-EXP(-LN(2)/25))/(LN(2)/25)*Calculateur!BL198*Calculateur!BN198*VLOOKUP('Données projet'!$B$11,Paramètres!$A$1:$I$88,3,0)*0.475*44/12</f>
        <v>0.27614600774703957</v>
      </c>
      <c r="BR198" s="23">
        <f>EXP(-LN(2)/2)*BR197+(1-EXP(-LN(2)/2))/(LN(2)/2)*BL198*BO198*VLOOKUP('Données projet'!$B$11,Paramètres!$A$1:$I$88,3,0)*0.475*44/12</f>
        <v>0</v>
      </c>
      <c r="BS198" s="24">
        <f t="shared" si="169"/>
        <v>1.1631140807454952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projet'!$B$12,Paramètres!$A$1:$I$88,3,0)*0.475*44/12</f>
        <v>#N/A</v>
      </c>
      <c r="CL198" s="23" t="e">
        <f>EXP(-LN(2)/25)*CL197+(1-EXP(-LN(2)/25))/(LN(2)/25)*Calculateur!CG198*Calculateur!CI198*VLOOKUP('Données projet'!$B$12,Paramètres!$A$1:$I$88,3,0)*0.475*44/12</f>
        <v>#N/A</v>
      </c>
      <c r="CM198" s="23" t="e">
        <f>EXP(-LN(2)/2)*CM197+(1-EXP(-LN(2)/2))/(LN(2)/2)*CG198*CJ198*VLOOKUP('Données projet'!$B$12,Paramètres!$A$1:$I$88,3,0)*0.475*44/12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143.70719999999977</v>
      </c>
      <c r="D199" s="12">
        <f t="shared" si="202"/>
        <v>37.144976839760147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1396.051891394638</v>
      </c>
      <c r="H199" s="70">
        <f t="shared" si="192"/>
        <v>608.31754132924857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2.8421709430404007E-13</v>
      </c>
      <c r="O199" s="14">
        <f>N199*VLOOKUP('Données projet'!$B$9,Paramètres!$A$1:$I$88,3,0)*VLOOKUP('Données projet'!$B$9,Paramètres!$A$1:$I$88,5,0)</f>
        <v>1.588773557159584E-13</v>
      </c>
      <c r="P199" s="14">
        <f t="shared" si="203"/>
        <v>2.2615721672198623E-12</v>
      </c>
      <c r="Q199" s="22">
        <f t="shared" si="162"/>
        <v>4.2156162524465543E-12</v>
      </c>
      <c r="R199" s="62">
        <f t="shared" si="191"/>
        <v>293.33333333333752</v>
      </c>
      <c r="S199" s="62">
        <f ca="1">AVERAGE(OFFSET($R$3,0,0,'Données projet'!$E$9+1,1))-AVERAGE(OFFSET($H$3,0,0,'Données projet'!$E$9+1,1))</f>
        <v>222.18341301864729</v>
      </c>
      <c r="T199" s="62">
        <f t="shared" si="204"/>
        <v>172.63628480089358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22.946661420836872</v>
      </c>
      <c r="AA199" s="23">
        <f>EXP(-LN(2)/25)*AA198+(1-EXP(-LN(2)/25))/(LN(2)/25)*Calculateur!V199*Calculateur!X199*VLOOKUP('Données projet'!$B$9,Paramètres!$A$1:$I$88,3,0)*0.475*44/12</f>
        <v>4.3664631571371562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27.31312457797403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projet'!$B$10,Paramètres!$A$1:$I$88,3,0)*VLOOKUP('Données projet'!$B$10,Paramètres!$A$1:$I$88,5,0)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82.840015321739202</v>
      </c>
      <c r="AO199" s="62">
        <f t="shared" si="205"/>
        <v>101.40622074610098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5.1581444972455559</v>
      </c>
      <c r="AV199" s="23">
        <f>EXP(-LN(2)/25)*AV198+(1-EXP(-LN(2)/25))/(LN(2)/25)*Calculateur!AQ199*Calculateur!AS199*VLOOKUP('Données projet'!$B$10,Paramètres!$A$1:$I$88,3,0)*0.475*44/12</f>
        <v>0.90787871404926923</v>
      </c>
      <c r="AW199" s="23">
        <f>EXP(-LN(2)/2)*AW198+(1-EXP(-LN(2)/2))/(LN(2)/2)*AQ199*AT199*VLOOKUP('Données projet'!$B$10,Paramètres!$A$1:$I$88,3,0)*0.475*44/12</f>
        <v>0</v>
      </c>
      <c r="AX199" s="23">
        <f t="shared" si="166"/>
        <v>6.0660232112948247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169.99999999999983</v>
      </c>
      <c r="BE199" s="14">
        <f>BD199*VLOOKUP('Données projet'!$B$11,Paramètres!$A$1:$I$88,3,0)*VLOOKUP('Données projet'!$B$11,Paramètres!$A$1:$I$88,5,0)</f>
        <v>101.65999999999991</v>
      </c>
      <c r="BF199" s="14">
        <f t="shared" si="167"/>
        <v>27.357089923704745</v>
      </c>
      <c r="BG199" s="22">
        <f t="shared" si="168"/>
        <v>224.70476495045224</v>
      </c>
      <c r="BH199" s="62">
        <f t="shared" si="194"/>
        <v>518.03809828378553</v>
      </c>
      <c r="BI199" s="62">
        <f ca="1">AVERAGE(OFFSET($BH$3,0,0,'Données projet'!$E$11+1,1))-AVERAGE(OFFSET($H$3,0,0,'Données projet'!$E$11+1,1))</f>
        <v>83.354474428753292</v>
      </c>
      <c r="BJ199" s="62">
        <f t="shared" si="206"/>
        <v>97.75861379589162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0.86957517008406138</v>
      </c>
      <c r="BQ199" s="23">
        <f>EXP(-LN(2)/25)*BQ198+(1-EXP(-LN(2)/25))/(LN(2)/25)*Calculateur!BL199*Calculateur!BN199*VLOOKUP('Données projet'!$B$11,Paramètres!$A$1:$I$88,3,0)*0.475*44/12</f>
        <v>0.26859478064330938</v>
      </c>
      <c r="BR199" s="23">
        <f>EXP(-LN(2)/2)*BR198+(1-EXP(-LN(2)/2))/(LN(2)/2)*BL199*BO199*VLOOKUP('Données projet'!$B$11,Paramètres!$A$1:$I$88,3,0)*0.475*44/12</f>
        <v>0</v>
      </c>
      <c r="BS199" s="24">
        <f t="shared" si="169"/>
        <v>1.1381699507273708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projet'!$B$12,Paramètres!$A$1:$I$88,3,0)*0.475*44/12</f>
        <v>#N/A</v>
      </c>
      <c r="CL199" s="23" t="e">
        <f>EXP(-LN(2)/25)*CL198+(1-EXP(-LN(2)/25))/(LN(2)/25)*Calculateur!CG199*Calculateur!CI199*VLOOKUP('Données projet'!$B$12,Paramètres!$A$1:$I$88,3,0)*0.475*44/12</f>
        <v>#N/A</v>
      </c>
      <c r="CM199" s="23" t="e">
        <f>EXP(-LN(2)/2)*CM198+(1-EXP(-LN(2)/2))/(LN(2)/2)*CG199*CJ199*VLOOKUP('Données projet'!$B$12,Paramètres!$A$1:$I$88,3,0)*0.475*44/12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144.44039999999978</v>
      </c>
      <c r="D200" s="12">
        <f t="shared" si="202"/>
        <v>37.312382829927017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1403.0039376345223</v>
      </c>
      <c r="H200" s="70">
        <f t="shared" si="192"/>
        <v>609.88609676212241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2.8421709430404007E-13</v>
      </c>
      <c r="O200" s="14">
        <f>N200*VLOOKUP('Données projet'!$B$9,Paramètres!$A$1:$I$88,3,0)*VLOOKUP('Données projet'!$B$9,Paramètres!$A$1:$I$88,5,0)</f>
        <v>1.588773557159584E-13</v>
      </c>
      <c r="P200" s="14">
        <f t="shared" si="203"/>
        <v>2.2615721672198623E-12</v>
      </c>
      <c r="Q200" s="22">
        <f t="shared" si="162"/>
        <v>4.2156162524465543E-12</v>
      </c>
      <c r="R200" s="62">
        <f t="shared" si="191"/>
        <v>293.33333333333752</v>
      </c>
      <c r="S200" s="62">
        <f ca="1">AVERAGE(OFFSET($R$3,0,0,'Données projet'!$E$9+1,1))-AVERAGE(OFFSET($H$3,0,0,'Données projet'!$E$9+1,1))</f>
        <v>222.18341301864729</v>
      </c>
      <c r="T200" s="62">
        <f t="shared" si="204"/>
        <v>172.63628480089358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22.49669138645573</v>
      </c>
      <c r="AA200" s="23">
        <f>EXP(-LN(2)/25)*AA199+(1-EXP(-LN(2)/25))/(LN(2)/25)*Calculateur!V200*Calculateur!X200*VLOOKUP('Données projet'!$B$9,Paramètres!$A$1:$I$88,3,0)*0.475*44/12</f>
        <v>4.2470619924829229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26.743753378938653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projet'!$B$10,Paramètres!$A$1:$I$88,3,0)*VLOOKUP('Données projet'!$B$10,Paramètres!$A$1:$I$88,5,0)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82.840015321739202</v>
      </c>
      <c r="AO200" s="62">
        <f t="shared" si="205"/>
        <v>101.40622074610098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5.0569964298120569</v>
      </c>
      <c r="AV200" s="23">
        <f>EXP(-LN(2)/25)*AV199+(1-EXP(-LN(2)/25))/(LN(2)/25)*Calculateur!AQ200*Calculateur!AS200*VLOOKUP('Données projet'!$B$10,Paramètres!$A$1:$I$88,3,0)*0.475*44/12</f>
        <v>0.88305272287032532</v>
      </c>
      <c r="AW200" s="23">
        <f>EXP(-LN(2)/2)*AW199+(1-EXP(-LN(2)/2))/(LN(2)/2)*AQ200*AT200*VLOOKUP('Données projet'!$B$10,Paramètres!$A$1:$I$88,3,0)*0.475*44/12</f>
        <v>0</v>
      </c>
      <c r="AX200" s="23">
        <f t="shared" si="166"/>
        <v>5.9400491526823824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169.99999999999983</v>
      </c>
      <c r="BE200" s="14">
        <f>BD200*VLOOKUP('Données projet'!$B$11,Paramètres!$A$1:$I$88,3,0)*VLOOKUP('Données projet'!$B$11,Paramètres!$A$1:$I$88,5,0)</f>
        <v>101.65999999999991</v>
      </c>
      <c r="BF200" s="14">
        <f t="shared" si="167"/>
        <v>27.357089923704745</v>
      </c>
      <c r="BG200" s="22">
        <f t="shared" si="168"/>
        <v>224.70476495045224</v>
      </c>
      <c r="BH200" s="62">
        <f t="shared" si="194"/>
        <v>518.03809828378553</v>
      </c>
      <c r="BI200" s="62">
        <f ca="1">AVERAGE(OFFSET($BH$3,0,0,'Données projet'!$E$11+1,1))-AVERAGE(OFFSET($H$3,0,0,'Données projet'!$E$11+1,1))</f>
        <v>83.354474428753292</v>
      </c>
      <c r="BJ200" s="62">
        <f t="shared" si="206"/>
        <v>97.75861379589162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0.85252333138719516</v>
      </c>
      <c r="BQ200" s="23">
        <f>EXP(-LN(2)/25)*BQ199+(1-EXP(-LN(2)/25))/(LN(2)/25)*Calculateur!BL200*Calculateur!BN200*VLOOKUP('Données projet'!$B$11,Paramètres!$A$1:$I$88,3,0)*0.475*44/12</f>
        <v>0.26125004224183246</v>
      </c>
      <c r="BR200" s="23">
        <f>EXP(-LN(2)/2)*BR199+(1-EXP(-LN(2)/2))/(LN(2)/2)*BL200*BO200*VLOOKUP('Données projet'!$B$11,Paramètres!$A$1:$I$88,3,0)*0.475*44/12</f>
        <v>0</v>
      </c>
      <c r="BS200" s="24">
        <f t="shared" si="169"/>
        <v>1.1137733736290276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projet'!$B$12,Paramètres!$A$1:$I$88,3,0)*0.475*44/12</f>
        <v>#N/A</v>
      </c>
      <c r="CL200" s="23" t="e">
        <f>EXP(-LN(2)/25)*CL199+(1-EXP(-LN(2)/25))/(LN(2)/25)*Calculateur!CG200*Calculateur!CI200*VLOOKUP('Données projet'!$B$12,Paramètres!$A$1:$I$88,3,0)*0.475*44/12</f>
        <v>#N/A</v>
      </c>
      <c r="CM200" s="23" t="e">
        <f>EXP(-LN(2)/2)*CM199+(1-EXP(-LN(2)/2))/(LN(2)/2)*CG200*CJ200*VLOOKUP('Données projet'!$B$12,Paramètres!$A$1:$I$88,3,0)*0.475*44/12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145.17359999999979</v>
      </c>
      <c r="D201" s="12">
        <f t="shared" si="202"/>
        <v>37.479689934865021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1409.9552205498337</v>
      </c>
      <c r="H201" s="70">
        <f t="shared" si="192"/>
        <v>611.45447996988946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2.8421709430404007E-13</v>
      </c>
      <c r="O201" s="14">
        <f>N201*VLOOKUP('Données projet'!$B$9,Paramètres!$A$1:$I$88,3,0)*VLOOKUP('Données projet'!$B$9,Paramètres!$A$1:$I$88,5,0)</f>
        <v>1.588773557159584E-13</v>
      </c>
      <c r="P201" s="14">
        <f t="shared" si="203"/>
        <v>2.2615721672198623E-12</v>
      </c>
      <c r="Q201" s="22">
        <f t="shared" si="162"/>
        <v>4.2156162524465543E-12</v>
      </c>
      <c r="R201" s="62">
        <f t="shared" si="191"/>
        <v>293.33333333333752</v>
      </c>
      <c r="S201" s="62">
        <f ca="1">AVERAGE(OFFSET($R$3,0,0,'Données projet'!$E$9+1,1))-AVERAGE(OFFSET($H$3,0,0,'Données projet'!$E$9+1,1))</f>
        <v>222.18341301864729</v>
      </c>
      <c r="T201" s="62">
        <f t="shared" si="204"/>
        <v>172.63628480089358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22.055544989994182</v>
      </c>
      <c r="AA201" s="23">
        <f>EXP(-LN(2)/25)*AA200+(1-EXP(-LN(2)/25))/(LN(2)/25)*Calculateur!V201*Calculateur!X201*VLOOKUP('Données projet'!$B$9,Paramètres!$A$1:$I$88,3,0)*0.475*44/12</f>
        <v>4.1309258589551936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26.186470848949376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projet'!$B$10,Paramètres!$A$1:$I$88,3,0)*VLOOKUP('Données projet'!$B$10,Paramètres!$A$1:$I$88,5,0)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82.840015321739202</v>
      </c>
      <c r="AO201" s="62">
        <f t="shared" si="205"/>
        <v>101.40622074610098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4.9578318142866991</v>
      </c>
      <c r="AV201" s="23">
        <f>EXP(-LN(2)/25)*AV200+(1-EXP(-LN(2)/25))/(LN(2)/25)*Calculateur!AQ201*Calculateur!AS201*VLOOKUP('Données projet'!$B$10,Paramètres!$A$1:$I$88,3,0)*0.475*44/12</f>
        <v>0.85890559972571179</v>
      </c>
      <c r="AW201" s="23">
        <f>EXP(-LN(2)/2)*AW200+(1-EXP(-LN(2)/2))/(LN(2)/2)*AQ201*AT201*VLOOKUP('Données projet'!$B$10,Paramètres!$A$1:$I$88,3,0)*0.475*44/12</f>
        <v>0</v>
      </c>
      <c r="AX201" s="23">
        <f t="shared" si="166"/>
        <v>5.8167374140124108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169.99999999999983</v>
      </c>
      <c r="BE201" s="14">
        <f>BD201*VLOOKUP('Données projet'!$B$11,Paramètres!$A$1:$I$88,3,0)*VLOOKUP('Données projet'!$B$11,Paramètres!$A$1:$I$88,5,0)</f>
        <v>101.65999999999991</v>
      </c>
      <c r="BF201" s="14">
        <f t="shared" si="167"/>
        <v>27.357089923704745</v>
      </c>
      <c r="BG201" s="22">
        <f t="shared" si="168"/>
        <v>224.70476495045224</v>
      </c>
      <c r="BH201" s="62">
        <f t="shared" si="194"/>
        <v>518.03809828378553</v>
      </c>
      <c r="BI201" s="62">
        <f ca="1">AVERAGE(OFFSET($BH$3,0,0,'Données projet'!$E$11+1,1))-AVERAGE(OFFSET($H$3,0,0,'Données projet'!$E$11+1,1))</f>
        <v>83.354474428753292</v>
      </c>
      <c r="BJ201" s="62">
        <f t="shared" si="206"/>
        <v>97.75861379589162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0.83580586884657992</v>
      </c>
      <c r="BQ201" s="23">
        <f>EXP(-LN(2)/25)*BQ200+(1-EXP(-LN(2)/25))/(LN(2)/25)*Calculateur!BL201*Calculateur!BN201*VLOOKUP('Données projet'!$B$11,Paramètres!$A$1:$I$88,3,0)*0.475*44/12</f>
        <v>0.25410614609818694</v>
      </c>
      <c r="BR201" s="23">
        <f>EXP(-LN(2)/2)*BR200+(1-EXP(-LN(2)/2))/(LN(2)/2)*BL201*BO201*VLOOKUP('Données projet'!$B$11,Paramètres!$A$1:$I$88,3,0)*0.475*44/12</f>
        <v>0</v>
      </c>
      <c r="BS201" s="24">
        <f t="shared" si="169"/>
        <v>1.0899120149447667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projet'!$B$12,Paramètres!$A$1:$I$88,3,0)*0.475*44/12</f>
        <v>#N/A</v>
      </c>
      <c r="CL201" s="23" t="e">
        <f>EXP(-LN(2)/25)*CL200+(1-EXP(-LN(2)/25))/(LN(2)/25)*Calculateur!CG201*Calculateur!CI201*VLOOKUP('Données projet'!$B$12,Paramètres!$A$1:$I$88,3,0)*0.475*44/12</f>
        <v>#N/A</v>
      </c>
      <c r="CM201" s="23" t="e">
        <f>EXP(-LN(2)/2)*CM200+(1-EXP(-LN(2)/2))/(LN(2)/2)*CG201*CJ201*VLOOKUP('Données projet'!$B$12,Paramètres!$A$1:$I$88,3,0)*0.475*44/12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145.90679999999981</v>
      </c>
      <c r="D202" s="12">
        <f t="shared" si="202"/>
        <v>37.646898711967857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1416.9057444432592</v>
      </c>
      <c r="H202" s="70">
        <f t="shared" si="192"/>
        <v>613.0226919233437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2.8421709430404007E-13</v>
      </c>
      <c r="O202" s="14">
        <f>N202*VLOOKUP('Données projet'!$B$9,Paramètres!$A$1:$I$88,3,0)*VLOOKUP('Données projet'!$B$9,Paramètres!$A$1:$I$88,5,0)</f>
        <v>1.588773557159584E-13</v>
      </c>
      <c r="P202" s="14">
        <f t="shared" si="203"/>
        <v>2.2615721672198623E-12</v>
      </c>
      <c r="Q202" s="22">
        <f t="shared" si="162"/>
        <v>4.2156162524465543E-12</v>
      </c>
      <c r="R202" s="62">
        <f t="shared" si="191"/>
        <v>293.33333333333752</v>
      </c>
      <c r="S202" s="62">
        <f ca="1">AVERAGE(OFFSET($R$3,0,0,'Données projet'!$E$9+1,1))-AVERAGE(OFFSET($H$3,0,0,'Données projet'!$E$9+1,1))</f>
        <v>222.18341301864729</v>
      </c>
      <c r="T202" s="62">
        <f t="shared" si="204"/>
        <v>172.63628480089358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21.62304920529451</v>
      </c>
      <c r="AA202" s="23">
        <f>EXP(-LN(2)/25)*AA201+(1-EXP(-LN(2)/25))/(LN(2)/25)*Calculateur!V202*Calculateur!X202*VLOOKUP('Données projet'!$B$9,Paramètres!$A$1:$I$88,3,0)*0.475*44/12</f>
        <v>4.0179654741061146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25.641014679400627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projet'!$B$10,Paramètres!$A$1:$I$88,3,0)*VLOOKUP('Données projet'!$B$10,Paramètres!$A$1:$I$88,5,0)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82.840015321739202</v>
      </c>
      <c r="AO202" s="62">
        <f t="shared" si="205"/>
        <v>101.40622074610098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4.8606117563873505</v>
      </c>
      <c r="AV202" s="23">
        <f>EXP(-LN(2)/25)*AV201+(1-EXP(-LN(2)/25))/(LN(2)/25)*Calculateur!AQ202*Calculateur!AS202*VLOOKUP('Données projet'!$B$10,Paramètres!$A$1:$I$88,3,0)*0.475*44/12</f>
        <v>0.83541878093332977</v>
      </c>
      <c r="AW202" s="23">
        <f>EXP(-LN(2)/2)*AW201+(1-EXP(-LN(2)/2))/(LN(2)/2)*AQ202*AT202*VLOOKUP('Données projet'!$B$10,Paramètres!$A$1:$I$88,3,0)*0.475*44/12</f>
        <v>0</v>
      </c>
      <c r="AX202" s="23">
        <f t="shared" si="166"/>
        <v>5.6960305373206808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169.99999999999983</v>
      </c>
      <c r="BE202" s="14">
        <f>BD202*VLOOKUP('Données projet'!$B$11,Paramètres!$A$1:$I$88,3,0)*VLOOKUP('Données projet'!$B$11,Paramètres!$A$1:$I$88,5,0)</f>
        <v>101.65999999999991</v>
      </c>
      <c r="BF202" s="14">
        <f t="shared" si="167"/>
        <v>27.357089923704745</v>
      </c>
      <c r="BG202" s="22">
        <f t="shared" si="168"/>
        <v>224.70476495045224</v>
      </c>
      <c r="BH202" s="62">
        <f t="shared" si="194"/>
        <v>518.03809828378553</v>
      </c>
      <c r="BI202" s="62">
        <f ca="1">AVERAGE(OFFSET($BH$3,0,0,'Données projet'!$E$11+1,1))-AVERAGE(OFFSET($H$3,0,0,'Données projet'!$E$11+1,1))</f>
        <v>83.354474428753292</v>
      </c>
      <c r="BJ202" s="62">
        <f t="shared" si="206"/>
        <v>97.75861379589162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0.81941622554974081</v>
      </c>
      <c r="BQ202" s="23">
        <f>EXP(-LN(2)/25)*BQ201+(1-EXP(-LN(2)/25))/(LN(2)/25)*Calculateur!BL202*Calculateur!BN202*VLOOKUP('Données projet'!$B$11,Paramètres!$A$1:$I$88,3,0)*0.475*44/12</f>
        <v>0.24715760017027055</v>
      </c>
      <c r="BR202" s="23">
        <f>EXP(-LN(2)/2)*BR201+(1-EXP(-LN(2)/2))/(LN(2)/2)*BL202*BO202*VLOOKUP('Données projet'!$B$11,Paramètres!$A$1:$I$88,3,0)*0.475*44/12</f>
        <v>0</v>
      </c>
      <c r="BS202" s="24">
        <f t="shared" si="169"/>
        <v>1.0665738257200115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projet'!$B$12,Paramètres!$A$1:$I$88,3,0)*0.475*44/12</f>
        <v>#N/A</v>
      </c>
      <c r="CL202" s="23" t="e">
        <f>EXP(-LN(2)/25)*CL201+(1-EXP(-LN(2)/25))/(LN(2)/25)*Calculateur!CG202*Calculateur!CI202*VLOOKUP('Données projet'!$B$12,Paramètres!$A$1:$I$88,3,0)*0.475*44/12</f>
        <v>#N/A</v>
      </c>
      <c r="CM202" s="23" t="e">
        <f>EXP(-LN(2)/2)*CM201+(1-EXP(-LN(2)/2))/(LN(2)/2)*CG202*CJ202*VLOOKUP('Données projet'!$B$12,Paramètres!$A$1:$I$88,3,0)*0.475*44/12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146.63999999999982</v>
      </c>
      <c r="D203" s="12">
        <f t="shared" si="202"/>
        <v>37.81400971270299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1423.8555135717409</v>
      </c>
      <c r="H203" s="70">
        <f t="shared" si="192"/>
        <v>614.59073358295734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2.8421709430404007E-13</v>
      </c>
      <c r="O203" s="14">
        <f>N203*VLOOKUP('Données projet'!$B$9,Paramètres!$A$1:$I$88,3,0)*VLOOKUP('Données projet'!$B$9,Paramètres!$A$1:$I$88,5,0)</f>
        <v>1.588773557159584E-13</v>
      </c>
      <c r="P203" s="14">
        <f t="shared" si="203"/>
        <v>2.2615721672198623E-12</v>
      </c>
      <c r="Q203" s="22">
        <f t="shared" si="162"/>
        <v>4.2156162524465543E-12</v>
      </c>
      <c r="R203" s="62">
        <f t="shared" si="191"/>
        <v>293.33333333333752</v>
      </c>
      <c r="S203" s="62">
        <f ca="1">AVERAGE(OFFSET($R$3,0,0,'Données projet'!$E$9+1,1))-AVERAGE(OFFSET($H$3,0,0,'Données projet'!$E$9+1,1))</f>
        <v>222.18341301864729</v>
      </c>
      <c r="T203" s="62">
        <f t="shared" si="204"/>
        <v>172.63628480089358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21.199034399136419</v>
      </c>
      <c r="AA203" s="23">
        <f>EXP(-LN(2)/25)*AA202+(1-EXP(-LN(2)/25))/(LN(2)/25)*Calculateur!V203*Calculateur!X203*VLOOKUP('Données projet'!$B$9,Paramètres!$A$1:$I$88,3,0)*0.475*44/12</f>
        <v>3.9080939969210617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25.10712839605748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projet'!$B$10,Paramètres!$A$1:$I$88,3,0)*VLOOKUP('Données projet'!$B$10,Paramètres!$A$1:$I$88,5,0)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82.840015321739202</v>
      </c>
      <c r="AO203" s="62">
        <f t="shared" si="205"/>
        <v>101.40622074610098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4.7652981245250281</v>
      </c>
      <c r="AV203" s="23">
        <f>EXP(-LN(2)/25)*AV202+(1-EXP(-LN(2)/25))/(LN(2)/25)*Calculateur!AQ203*Calculateur!AS203*VLOOKUP('Données projet'!$B$10,Paramètres!$A$1:$I$88,3,0)*0.475*44/12</f>
        <v>0.81257421043594358</v>
      </c>
      <c r="AW203" s="23">
        <f>EXP(-LN(2)/2)*AW202+(1-EXP(-LN(2)/2))/(LN(2)/2)*AQ203*AT203*VLOOKUP('Données projet'!$B$10,Paramètres!$A$1:$I$88,3,0)*0.475*44/12</f>
        <v>0</v>
      </c>
      <c r="AX203" s="23">
        <f t="shared" si="166"/>
        <v>5.577872334960972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169.99999999999983</v>
      </c>
      <c r="BE203" s="14">
        <f>BD203*VLOOKUP('Données projet'!$B$11,Paramètres!$A$1:$I$88,3,0)*VLOOKUP('Données projet'!$B$11,Paramètres!$A$1:$I$88,5,0)</f>
        <v>101.65999999999991</v>
      </c>
      <c r="BF203" s="14">
        <f t="shared" si="167"/>
        <v>27.357089923704745</v>
      </c>
      <c r="BG203" s="22">
        <f t="shared" si="168"/>
        <v>224.70476495045224</v>
      </c>
      <c r="BH203" s="62">
        <f t="shared" si="194"/>
        <v>518.03809828378553</v>
      </c>
      <c r="BI203" s="62">
        <f ca="1">AVERAGE(OFFSET($BH$3,0,0,'Données projet'!$E$11+1,1))-AVERAGE(OFFSET($H$3,0,0,'Données projet'!$E$11+1,1))</f>
        <v>83.354474428753292</v>
      </c>
      <c r="BJ203" s="62">
        <f t="shared" si="206"/>
        <v>97.75861379589162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0.80334797316125739</v>
      </c>
      <c r="BQ203" s="23">
        <f>EXP(-LN(2)/25)*BQ202+(1-EXP(-LN(2)/25))/(LN(2)/25)*Calculateur!BL203*Calculateur!BN203*VLOOKUP('Données projet'!$B$11,Paramètres!$A$1:$I$88,3,0)*0.475*44/12</f>
        <v>0.2403990625961612</v>
      </c>
      <c r="BR203" s="23">
        <f>EXP(-LN(2)/2)*BR202+(1-EXP(-LN(2)/2))/(LN(2)/2)*BL203*BO203*VLOOKUP('Données projet'!$B$11,Paramètres!$A$1:$I$88,3,0)*0.475*44/12</f>
        <v>0</v>
      </c>
      <c r="BS203" s="24">
        <f t="shared" si="169"/>
        <v>1.0437470357574186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projet'!$B$12,Paramètres!$A$1:$I$88,3,0)*0.475*44/12</f>
        <v>#N/A</v>
      </c>
      <c r="CL203" s="23" t="e">
        <f>EXP(-LN(2)/25)*CL202+(1-EXP(-LN(2)/25))/(LN(2)/25)*Calculateur!CG203*Calculateur!CI203*VLOOKUP('Données projet'!$B$12,Paramètres!$A$1:$I$88,3,0)*0.475*44/12</f>
        <v>#N/A</v>
      </c>
      <c r="CM203" s="23" t="e">
        <f>EXP(-LN(2)/2)*CM202+(1-EXP(-LN(2)/2))/(LN(2)/2)*CG203*CJ203*VLOOKUP('Données projet'!$B$12,Paramètres!$A$1:$I$88,3,0)*0.475*44/12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294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294</v>
      </c>
      <c r="BA204" s="87" t="s">
        <v>294</v>
      </c>
      <c r="BV204" s="87" t="s">
        <v>294</v>
      </c>
      <c r="CQ204" s="87" t="s">
        <v>294</v>
      </c>
      <c r="DL204" s="87" t="s">
        <v>294</v>
      </c>
      <c r="EG204" s="87" t="s">
        <v>294</v>
      </c>
      <c r="FB204" s="87" t="s">
        <v>294</v>
      </c>
      <c r="FW204" s="87" t="s">
        <v>294</v>
      </c>
      <c r="GR204" s="87" t="s">
        <v>294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1.2106591213960454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1.2677537154322802</v>
      </c>
      <c r="BA205" s="88">
        <f>EXP(LN('Données projet'!B88)/'Données projet'!A88)</f>
        <v>1.2586010524737041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ijpqe0Ylsjs9EpvAY4m52gXTBEEy40gXYONLP605lBROE4I+gEWLO8HbzDEOY09qTOgOqydyeGgVqRPK8zZ3g==" saltValue="1tsCNl6Hms155TjQS5tvm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4"/>
  <sheetViews>
    <sheetView workbookViewId="0">
      <selection activeCell="E10" sqref="E10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2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3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2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4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4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3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2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3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131" t="s">
        <v>148</v>
      </c>
      <c r="B87" s="139"/>
      <c r="C87" s="133">
        <v>0.42</v>
      </c>
      <c r="D87" s="133" t="s">
        <v>161</v>
      </c>
      <c r="E87" s="133">
        <v>1.3</v>
      </c>
      <c r="F87" s="134" t="s">
        <v>274</v>
      </c>
      <c r="G87" s="140"/>
      <c r="H87" s="139"/>
      <c r="I87" s="141"/>
    </row>
    <row r="88" spans="1:14" ht="15" thickBot="1" x14ac:dyDescent="0.35">
      <c r="A88" s="142" t="s">
        <v>149</v>
      </c>
      <c r="B88" s="143"/>
      <c r="C88" s="144">
        <v>0.56999999999999995</v>
      </c>
      <c r="D88" s="145" t="s">
        <v>161</v>
      </c>
      <c r="E88" s="144">
        <v>1.56</v>
      </c>
      <c r="F88" s="144" t="s">
        <v>274</v>
      </c>
      <c r="G88" s="143"/>
      <c r="H88" s="143"/>
      <c r="I88" s="146"/>
    </row>
    <row r="92" spans="1:14" x14ac:dyDescent="0.3">
      <c r="A92" s="131" t="s">
        <v>208</v>
      </c>
    </row>
    <row r="93" spans="1:14" x14ac:dyDescent="0.3">
      <c r="A93" s="131" t="s">
        <v>209</v>
      </c>
    </row>
    <row r="94" spans="1:14" x14ac:dyDescent="0.3">
      <c r="A94" s="131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85" zoomScaleNormal="85" workbookViewId="0">
      <selection activeCell="D16" sqref="D16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3" t="s">
        <v>271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5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Douglas</v>
      </c>
      <c r="B6" s="155">
        <f>'Données projet'!D9</f>
        <v>0.5</v>
      </c>
      <c r="C6" s="156">
        <f ca="1">IF(OR('Données projet'!B9="",'Données projet'!C9="",'Données projet'!C9=0%),0,Calculateur!S3)</f>
        <v>222.18341301864729</v>
      </c>
      <c r="D6" s="156">
        <f>IF(OR('Données projet'!B9="",'Données projet'!C9="",'Données projet'!C9=0%),0,Calculateur!T3)</f>
        <v>172.63628480089358</v>
      </c>
      <c r="E6" s="156">
        <f ca="1">MIN(C6,D6)</f>
        <v>172.63628480089358</v>
      </c>
      <c r="F6" s="156">
        <f ca="1">E6*B6</f>
        <v>86.318142400446789</v>
      </c>
      <c r="G6" s="156">
        <f ca="1">F6*(100%-'Données projet'!$C$24)*(100%-'Données projet'!$C$25)*(100%-'Données projet'!$C$26)*(100%-'Données projet'!$C$27)</f>
        <v>77.686328160402113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projet'!$B$9,Paramètres!$A$1:$I$88,9,0)*B6)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77.686328160402113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Cèdre de l'Atlas</v>
      </c>
      <c r="B7" s="163">
        <f>'Données projet'!D10</f>
        <v>2</v>
      </c>
      <c r="C7" s="156">
        <f ca="1">IF(OR('Données projet'!B10="",'Données projet'!C10="",'Données projet'!C10=0%),0,Calculateur!AN3)</f>
        <v>82.840015321739202</v>
      </c>
      <c r="D7" s="156">
        <f>IF(OR('Données projet'!B10="",'Données projet'!C10="",'Données projet'!C10=0%),0,Calculateur!AO3)</f>
        <v>101.40622074610098</v>
      </c>
      <c r="E7" s="156">
        <f t="shared" ref="E7:E15" ca="1" si="0">MIN(C7,D7)</f>
        <v>82.840015321739202</v>
      </c>
      <c r="F7" s="156">
        <f t="shared" ref="F7:F15" ca="1" si="1">E7*B7</f>
        <v>165.6800306434784</v>
      </c>
      <c r="G7" s="156">
        <f ca="1">F7*(100%-'Données projet'!$C$24)*(100%-'Données projet'!$C$25)*(100%-'Données projet'!$C$26)*(100%-'Données projet'!$C$27)</f>
        <v>149.11202757913057</v>
      </c>
      <c r="H7" s="164">
        <f>IF(OR('Données projet'!B10="",'Données projet'!C10="",'Données projet'!C10=0%),0,AVERAGE(Calculateur!$AX$3:$AX$33)*B7)</f>
        <v>7.0920518769512073</v>
      </c>
      <c r="I7" s="158">
        <f>H7*(100%-'Données projet'!$C$24)*(100%-'Données projet'!$C$25)*(100%-'Données projet'!$C$26)*(100%-'Données projet'!$C$27)</f>
        <v>6.3828466892560867</v>
      </c>
      <c r="J7" s="159">
        <f>IF(OR('Données projet'!B10="",'Données projet'!C10="",'Données projet'!C10=0%),0,SUM(Calculateur!$AQ$3:$AQ$33)*VLOOKUP('Données projet'!$B$10,Paramètres!$A$1:$I$88,9,0)*B7)</f>
        <v>54.695999999999998</v>
      </c>
      <c r="K7" s="160">
        <f>J7*(100%-'Données projet'!$C$24)*(100%-'Données projet'!$C$25)*(100%-'Données projet'!$C$26)*(100%-'Données projet'!$C$27)</f>
        <v>49.226399999999998</v>
      </c>
      <c r="L7" s="161">
        <f t="shared" ref="L7:L15" ca="1" si="2">G7+I7+K7</f>
        <v>204.72127426838665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Pin maritime</v>
      </c>
      <c r="B8" s="163">
        <f>'Données projet'!D11</f>
        <v>5</v>
      </c>
      <c r="C8" s="156">
        <f ca="1">IF(OR('Données projet'!B11="",'Données projet'!C11="",'Données projet'!C11=0%),0,Calculateur!BI3)</f>
        <v>83.354474428753292</v>
      </c>
      <c r="D8" s="156">
        <f>IF(OR('Données projet'!B11="",'Données projet'!C11="",'Données projet'!C11=0%),0,Calculateur!BJ3)</f>
        <v>97.75861379589162</v>
      </c>
      <c r="E8" s="156">
        <f t="shared" ca="1" si="0"/>
        <v>83.354474428753292</v>
      </c>
      <c r="F8" s="156">
        <f t="shared" ca="1" si="1"/>
        <v>416.77237214376646</v>
      </c>
      <c r="G8" s="156">
        <f ca="1">F8*(100%-'Données projet'!$C$24)*(100%-'Données projet'!$C$25)*(100%-'Données projet'!$C$26)*(100%-'Données projet'!$C$27)</f>
        <v>375.09513492938981</v>
      </c>
      <c r="H8" s="164">
        <f>IF(OR('Données projet'!B11="",'Données projet'!C11="",'Données projet'!C11=0%),0,AVERAGE(Calculateur!$BS$3:$BS$33)*B8)</f>
        <v>9.9967543107039134</v>
      </c>
      <c r="I8" s="158">
        <f>H8*(100%-'Données projet'!$C$24)*(100%-'Données projet'!$C$25)*(100%-'Données projet'!$C$26)*(100%-'Données projet'!$C$27)</f>
        <v>8.9970788796335217</v>
      </c>
      <c r="J8" s="159">
        <f>IF(OR('Données projet'!B11="",'Données projet'!C11="",'Données projet'!C11=0%),0,SUM(Calculateur!$BL$3:$BL$33)*VLOOKUP('Données projet'!$B$11,Paramètres!$A$1:$I$88,9,0)*B8)</f>
        <v>101.47999999999999</v>
      </c>
      <c r="K8" s="160">
        <f>J8*(100%-'Données projet'!$C$24)*(100%-'Données projet'!$C$25)*(100%-'Données projet'!$C$26)*(100%-'Données projet'!$C$27)</f>
        <v>91.331999999999994</v>
      </c>
      <c r="L8" s="161">
        <f t="shared" ca="1" si="2"/>
        <v>475.42421380902334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projet'!$B$12,Paramètres!$A$1:$I$88,9,0)*B9)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projet'!$B$13,Paramètres!$A$1:$I$88,9,0)*B10)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projet'!$B$14,Paramètres!$A$1:$I$88,9,0)*B11)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projet'!$B$15,Paramètres!$A$1:$I$88,9,0)*B12)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projet'!$B$16,Paramètres!$A$1:$I$88,9,0)*B13)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projet'!$B$17,Paramètres!$A$1:$I$88,9,0)*B14)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projet'!$B$18,Paramètres!$A$1:$I$88,9,0)*B15)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668.7705451876916</v>
      </c>
      <c r="G16" s="175">
        <f t="shared" ca="1" si="3"/>
        <v>601.89349066892248</v>
      </c>
      <c r="H16" s="176">
        <f t="shared" si="3"/>
        <v>17.08880618765512</v>
      </c>
      <c r="I16" s="176">
        <f t="shared" si="3"/>
        <v>15.379925568889607</v>
      </c>
      <c r="J16" s="177">
        <f t="shared" si="3"/>
        <v>156.17599999999999</v>
      </c>
      <c r="K16" s="177">
        <f t="shared" si="3"/>
        <v>140.55840000000001</v>
      </c>
      <c r="L16" s="178">
        <f t="shared" ca="1" si="3"/>
        <v>757.83181623781206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15" t="s">
        <v>246</v>
      </c>
      <c r="G17" s="316"/>
      <c r="H17" s="316"/>
      <c r="I17" s="316"/>
      <c r="J17" s="316"/>
      <c r="K17" s="316"/>
      <c r="L17" s="316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17"/>
      <c r="G18" s="317"/>
      <c r="H18" s="317"/>
      <c r="I18" s="317"/>
      <c r="J18" s="317"/>
      <c r="K18" s="317"/>
      <c r="L18" s="317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Pin maritime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lC9C/XHAr7uhq9UB/+5lGwCOtGNX6mpYUa9QfBsZAPKgWiW8PhyxW4px6LELycl6bAXquLbVNGeNjZI52f1EpA==" saltValue="wbvPzkOtGyEAPIHFcu2Ew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70" zoomScaleNormal="70" workbookViewId="0">
      <selection activeCell="C55" sqref="C55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3" customWidth="1"/>
    <col min="7" max="7" width="17.5546875" style="3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3" t="s">
        <v>272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1" t="s">
        <v>316</v>
      </c>
      <c r="I4" s="321"/>
      <c r="K4" s="318" t="s">
        <v>253</v>
      </c>
      <c r="L4" s="31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311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312</v>
      </c>
      <c r="C9" s="25"/>
      <c r="D9" s="25"/>
      <c r="E9" s="25"/>
      <c r="F9" s="261"/>
      <c r="G9" s="260" t="s">
        <v>315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318</v>
      </c>
      <c r="C10" s="25"/>
      <c r="D10" s="25"/>
      <c r="E10" s="25"/>
      <c r="F10" s="261"/>
      <c r="G10" s="260" t="s">
        <v>317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-3075.3874651707633</v>
      </c>
      <c r="U10" s="190">
        <f>'Données projet'!D9</f>
        <v>0.5</v>
      </c>
      <c r="V10" s="189">
        <f>U10*T10</f>
        <v>-1537.6937325853817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313</v>
      </c>
      <c r="B11" s="25"/>
      <c r="C11" s="25"/>
      <c r="D11" s="25"/>
      <c r="E11" s="25"/>
      <c r="F11" s="261"/>
      <c r="G11" s="260" t="s">
        <v>314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-4567.7913764351924</v>
      </c>
      <c r="U11" s="190">
        <f>'Données projet'!D10</f>
        <v>2</v>
      </c>
      <c r="V11" s="189">
        <f t="shared" ref="V11" si="0">U11*T11</f>
        <v>-9135.5827528703849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maritime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-3604.8944497814728</v>
      </c>
      <c r="U12" s="190">
        <f>'Données projet'!D11</f>
        <v>5</v>
      </c>
      <c r="V12" s="189">
        <f t="shared" ref="V12:V19" si="1">U12*T12</f>
        <v>-18024.472248907365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291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2" t="s">
        <v>319</v>
      </c>
      <c r="H15" s="203">
        <v>1</v>
      </c>
      <c r="I15" s="204">
        <v>750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287</v>
      </c>
      <c r="F16" s="261"/>
      <c r="G16" s="322"/>
      <c r="H16" s="203"/>
      <c r="I16" s="204"/>
      <c r="J16" s="216"/>
      <c r="K16" s="225"/>
      <c r="L16" s="318" t="s">
        <v>254</v>
      </c>
      <c r="M16" s="319"/>
      <c r="N16" s="2">
        <v>40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1900</v>
      </c>
      <c r="F17" s="261"/>
      <c r="G17" s="322"/>
      <c r="J17" s="216"/>
      <c r="K17" s="225"/>
      <c r="L17" s="289" t="s">
        <v>290</v>
      </c>
      <c r="M17" s="291"/>
      <c r="N17" s="187">
        <f>VLOOKUP(N16,Calculateur!$A$2:$H$153,3,0)/VLOOKUP('Scénario référence'!$G$15,Paramètres!A1:I88,3,0)/VLOOKUP('Scénario référence'!$G$15,Paramètres!A1:I88,5,0)</f>
        <v>40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>
        <v>1920</v>
      </c>
      <c r="F18" s="261"/>
      <c r="G18" s="322"/>
      <c r="J18" s="216"/>
      <c r="K18" s="225"/>
      <c r="L18" s="289" t="s">
        <v>255</v>
      </c>
      <c r="M18" s="291"/>
      <c r="N18" s="205">
        <v>50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>
        <v>220</v>
      </c>
      <c r="F19" s="261"/>
      <c r="G19" s="322"/>
      <c r="H19" s="232" t="s">
        <v>178</v>
      </c>
      <c r="I19" s="232" t="s">
        <v>288</v>
      </c>
      <c r="J19" s="260"/>
      <c r="K19" s="183"/>
      <c r="L19" s="318" t="s">
        <v>289</v>
      </c>
      <c r="M19" s="319"/>
      <c r="N19" s="191">
        <f>N17*N18</f>
        <v>2000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>
        <v>400</v>
      </c>
      <c r="F20" s="261"/>
      <c r="G20" s="322"/>
      <c r="H20" s="203">
        <v>0</v>
      </c>
      <c r="I20" s="204">
        <v>18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>
        <v>220</v>
      </c>
      <c r="F21" s="261"/>
      <c r="H21" s="203">
        <f>H20+1</f>
        <v>1</v>
      </c>
      <c r="I21" s="204">
        <v>418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>
        <v>0</v>
      </c>
      <c r="F22" s="261"/>
      <c r="H22" s="203">
        <f t="shared" ref="H22:H80" si="2">H21+1</f>
        <v>2</v>
      </c>
      <c r="I22" s="204">
        <v>18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25</v>
      </c>
      <c r="B23" s="193">
        <f>'Données projet'!D36</f>
        <v>0</v>
      </c>
      <c r="C23" s="206">
        <v>11.000003089953495</v>
      </c>
      <c r="D23" s="194">
        <f>B23*C23</f>
        <v>0</v>
      </c>
      <c r="E23" s="206"/>
      <c r="F23" s="261"/>
      <c r="H23" s="203">
        <f t="shared" si="2"/>
        <v>3</v>
      </c>
      <c r="I23" s="204">
        <v>18</v>
      </c>
      <c r="K23" s="225"/>
      <c r="L23" s="320" t="s">
        <v>260</v>
      </c>
      <c r="M23" s="320"/>
      <c r="N23" s="320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-28808.871416327456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34</v>
      </c>
      <c r="B24" s="193">
        <f>'Données projet'!D37</f>
        <v>48</v>
      </c>
      <c r="C24" s="206">
        <v>23.000001176188015</v>
      </c>
      <c r="D24" s="194">
        <f t="shared" ref="D24:D42" si="3">B24*C24</f>
        <v>1104.0000564570246</v>
      </c>
      <c r="E24" s="206"/>
      <c r="F24" s="264"/>
      <c r="H24" s="203">
        <f t="shared" si="2"/>
        <v>4</v>
      </c>
      <c r="I24" s="204">
        <v>18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2578.9305163111512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44</v>
      </c>
      <c r="B25" s="193">
        <f>'Données projet'!D38</f>
        <v>61</v>
      </c>
      <c r="C25" s="206">
        <v>22.999998307961906</v>
      </c>
      <c r="D25" s="194">
        <f t="shared" si="3"/>
        <v>1402.9998967856764</v>
      </c>
      <c r="E25" s="206"/>
      <c r="F25" s="264"/>
      <c r="G25" s="1"/>
      <c r="H25" s="203">
        <f t="shared" si="2"/>
        <v>5</v>
      </c>
      <c r="I25" s="204">
        <v>18</v>
      </c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-31387.801932638606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54</v>
      </c>
      <c r="B26" s="193">
        <f>'Données projet'!D39</f>
        <v>60</v>
      </c>
      <c r="C26" s="206">
        <v>47.00000085601927</v>
      </c>
      <c r="D26" s="194">
        <f t="shared" si="3"/>
        <v>2820.0000513611562</v>
      </c>
      <c r="E26" s="206"/>
      <c r="F26" s="264"/>
      <c r="G26" s="259"/>
      <c r="H26" s="203">
        <f t="shared" si="2"/>
        <v>6</v>
      </c>
      <c r="I26" s="204">
        <v>18</v>
      </c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64</v>
      </c>
      <c r="B27" s="193">
        <f>'Données projet'!D40</f>
        <v>63</v>
      </c>
      <c r="C27" s="206">
        <v>47.000000071043694</v>
      </c>
      <c r="D27" s="194">
        <f t="shared" si="3"/>
        <v>2961.0000044757526</v>
      </c>
      <c r="E27" s="206"/>
      <c r="F27" s="264"/>
      <c r="G27" s="259"/>
      <c r="H27" s="203">
        <f t="shared" si="2"/>
        <v>7</v>
      </c>
      <c r="I27" s="204">
        <v>18</v>
      </c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74</v>
      </c>
      <c r="B28" s="193">
        <f>'Données projet'!D41</f>
        <v>63</v>
      </c>
      <c r="C28" s="206">
        <v>47.000000071043694</v>
      </c>
      <c r="D28" s="194">
        <f t="shared" si="3"/>
        <v>2961.0000044757526</v>
      </c>
      <c r="E28" s="206"/>
      <c r="F28" s="264"/>
      <c r="G28" s="222"/>
      <c r="H28" s="203">
        <f t="shared" si="2"/>
        <v>8</v>
      </c>
      <c r="I28" s="204">
        <v>18</v>
      </c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84</v>
      </c>
      <c r="B29" s="193">
        <f>'Données projet'!D42</f>
        <v>58</v>
      </c>
      <c r="C29" s="206">
        <v>47.000000071043694</v>
      </c>
      <c r="D29" s="194">
        <f t="shared" si="3"/>
        <v>2726.0000041205344</v>
      </c>
      <c r="E29" s="206"/>
      <c r="F29" s="264"/>
      <c r="G29" s="218"/>
      <c r="H29" s="203">
        <f t="shared" si="2"/>
        <v>9</v>
      </c>
      <c r="I29" s="204">
        <v>18</v>
      </c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94</v>
      </c>
      <c r="B30" s="193">
        <f>'Données projet'!D43</f>
        <v>438</v>
      </c>
      <c r="C30" s="206">
        <v>47.000000071043694</v>
      </c>
      <c r="D30" s="194">
        <f t="shared" si="3"/>
        <v>20586.000031117139</v>
      </c>
      <c r="E30" s="206"/>
      <c r="F30" s="264"/>
      <c r="G30" s="218"/>
      <c r="H30" s="203">
        <f t="shared" si="2"/>
        <v>10</v>
      </c>
      <c r="I30" s="204">
        <v>18</v>
      </c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3"/>
        <v>0</v>
      </c>
      <c r="E31" s="206"/>
      <c r="F31" s="264"/>
      <c r="G31" s="218"/>
      <c r="H31" s="203">
        <f t="shared" si="2"/>
        <v>11</v>
      </c>
      <c r="I31" s="204">
        <v>18</v>
      </c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3"/>
        <v>0</v>
      </c>
      <c r="E32" s="206"/>
      <c r="F32" s="264"/>
      <c r="G32" s="218"/>
      <c r="H32" s="203">
        <f t="shared" si="2"/>
        <v>12</v>
      </c>
      <c r="I32" s="204">
        <v>18</v>
      </c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3"/>
        <v>0</v>
      </c>
      <c r="E33" s="206"/>
      <c r="F33" s="264"/>
      <c r="G33" s="218"/>
      <c r="H33" s="203">
        <f t="shared" si="2"/>
        <v>13</v>
      </c>
      <c r="I33" s="204">
        <v>18</v>
      </c>
      <c r="K33" s="183"/>
      <c r="L33" s="5"/>
      <c r="M33" s="5"/>
      <c r="N33" s="5"/>
      <c r="O33" s="207">
        <v>0</v>
      </c>
      <c r="P33" s="197">
        <f t="shared" ref="P33:P64" si="4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3"/>
        <v>0</v>
      </c>
      <c r="E34" s="206"/>
      <c r="F34" s="264"/>
      <c r="G34" s="218"/>
      <c r="H34" s="203">
        <f t="shared" si="2"/>
        <v>14</v>
      </c>
      <c r="I34" s="204">
        <v>18</v>
      </c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4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3"/>
        <v>0</v>
      </c>
      <c r="E35" s="206"/>
      <c r="F35" s="264"/>
      <c r="G35" s="218"/>
      <c r="H35" s="203">
        <f t="shared" si="2"/>
        <v>15</v>
      </c>
      <c r="I35" s="204">
        <v>18</v>
      </c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4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3"/>
        <v>0</v>
      </c>
      <c r="E36" s="206"/>
      <c r="F36" s="264"/>
      <c r="G36" s="218"/>
      <c r="H36" s="203">
        <f t="shared" si="2"/>
        <v>16</v>
      </c>
      <c r="I36" s="204">
        <v>18</v>
      </c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4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3"/>
        <v>0</v>
      </c>
      <c r="E37" s="206"/>
      <c r="F37" s="264"/>
      <c r="G37" s="218"/>
      <c r="H37" s="203">
        <f t="shared" si="2"/>
        <v>17</v>
      </c>
      <c r="I37" s="204">
        <v>18</v>
      </c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4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3"/>
        <v>0</v>
      </c>
      <c r="E38" s="206"/>
      <c r="F38" s="264"/>
      <c r="G38" s="218"/>
      <c r="H38" s="203">
        <f t="shared" si="2"/>
        <v>18</v>
      </c>
      <c r="I38" s="204">
        <v>18</v>
      </c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4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3"/>
        <v>0</v>
      </c>
      <c r="E39" s="206"/>
      <c r="F39" s="264"/>
      <c r="G39" s="218"/>
      <c r="H39" s="203">
        <f t="shared" si="2"/>
        <v>19</v>
      </c>
      <c r="I39" s="204">
        <v>18</v>
      </c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4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3"/>
        <v>0</v>
      </c>
      <c r="E40" s="206"/>
      <c r="F40" s="264"/>
      <c r="G40" s="218"/>
      <c r="H40" s="203">
        <f t="shared" si="2"/>
        <v>20</v>
      </c>
      <c r="I40" s="204">
        <v>18</v>
      </c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4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3"/>
        <v>0</v>
      </c>
      <c r="E41" s="206"/>
      <c r="F41" s="264"/>
      <c r="G41" s="218"/>
      <c r="H41" s="203">
        <f t="shared" si="2"/>
        <v>21</v>
      </c>
      <c r="I41" s="204">
        <v>18</v>
      </c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4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3"/>
        <v>0</v>
      </c>
      <c r="E42" s="206"/>
      <c r="F42" s="264"/>
      <c r="G42" s="218"/>
      <c r="H42" s="203">
        <f t="shared" si="2"/>
        <v>22</v>
      </c>
      <c r="I42" s="204">
        <v>18</v>
      </c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4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>
        <f t="shared" si="2"/>
        <v>23</v>
      </c>
      <c r="I43" s="204">
        <v>18</v>
      </c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4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>
        <f t="shared" si="2"/>
        <v>24</v>
      </c>
      <c r="I44" s="204">
        <v>18</v>
      </c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4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>
        <f t="shared" si="2"/>
        <v>25</v>
      </c>
      <c r="I45" s="204">
        <v>18</v>
      </c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4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>
        <f t="shared" si="2"/>
        <v>26</v>
      </c>
      <c r="I46" s="204">
        <v>18</v>
      </c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4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287</v>
      </c>
      <c r="F47" s="262"/>
      <c r="G47" s="218"/>
      <c r="H47" s="203">
        <f t="shared" si="2"/>
        <v>27</v>
      </c>
      <c r="I47" s="204">
        <v>18</v>
      </c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4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1900</v>
      </c>
      <c r="F48" s="262"/>
      <c r="G48" s="218"/>
      <c r="H48" s="203">
        <f t="shared" si="2"/>
        <v>28</v>
      </c>
      <c r="I48" s="204">
        <v>18</v>
      </c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4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>
        <v>3280</v>
      </c>
      <c r="F49" s="262"/>
      <c r="G49" s="219"/>
      <c r="H49" s="203">
        <f t="shared" si="2"/>
        <v>29</v>
      </c>
      <c r="I49" s="204">
        <v>18</v>
      </c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4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>
        <v>220</v>
      </c>
      <c r="F50" s="262"/>
      <c r="G50" s="221"/>
      <c r="H50" s="203">
        <f t="shared" si="2"/>
        <v>30</v>
      </c>
      <c r="I50" s="204">
        <v>18</v>
      </c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4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>
        <v>400</v>
      </c>
      <c r="F51" s="262"/>
      <c r="G51" s="221"/>
      <c r="H51" s="203">
        <f t="shared" si="2"/>
        <v>31</v>
      </c>
      <c r="I51" s="204">
        <v>18</v>
      </c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4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>
        <v>220</v>
      </c>
      <c r="F52" s="262"/>
      <c r="G52" s="221"/>
      <c r="H52" s="203">
        <f t="shared" si="2"/>
        <v>32</v>
      </c>
      <c r="I52" s="204">
        <v>18</v>
      </c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4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>
        <v>0</v>
      </c>
      <c r="F53" s="262"/>
      <c r="G53" s="222"/>
      <c r="H53" s="203">
        <f t="shared" si="2"/>
        <v>33</v>
      </c>
      <c r="I53" s="204">
        <v>18</v>
      </c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4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34.5</v>
      </c>
      <c r="C54" s="206">
        <v>4.9999999269531017</v>
      </c>
      <c r="D54" s="191">
        <f>B54*C54</f>
        <v>172.49999747988201</v>
      </c>
      <c r="E54" s="206"/>
      <c r="F54" s="263"/>
      <c r="G54" s="222"/>
      <c r="H54" s="203">
        <f t="shared" si="2"/>
        <v>34</v>
      </c>
      <c r="I54" s="204">
        <v>18</v>
      </c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4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30</v>
      </c>
      <c r="B55" s="193">
        <f>'Données projet'!D63</f>
        <v>29.1</v>
      </c>
      <c r="C55" s="206">
        <v>32.500000069267763</v>
      </c>
      <c r="D55" s="191">
        <f t="shared" ref="D55:D73" si="5">B55*C55</f>
        <v>945.75000201569196</v>
      </c>
      <c r="E55" s="206"/>
      <c r="F55" s="263"/>
      <c r="G55" s="222"/>
      <c r="H55" s="203">
        <f t="shared" si="2"/>
        <v>35</v>
      </c>
      <c r="I55" s="204">
        <v>18</v>
      </c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4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40</v>
      </c>
      <c r="B56" s="193">
        <f>'Données projet'!D64</f>
        <v>37.280000000000008</v>
      </c>
      <c r="C56" s="206">
        <v>32.500000069267763</v>
      </c>
      <c r="D56" s="191">
        <f t="shared" si="5"/>
        <v>1211.6000025823025</v>
      </c>
      <c r="E56" s="206"/>
      <c r="F56" s="263"/>
      <c r="G56" s="222"/>
      <c r="H56" s="203">
        <f t="shared" si="2"/>
        <v>36</v>
      </c>
      <c r="I56" s="204">
        <v>18</v>
      </c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4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60</v>
      </c>
      <c r="B57" s="193">
        <f>'Données projet'!D65</f>
        <v>299.12</v>
      </c>
      <c r="C57" s="206">
        <v>43.500000429186464</v>
      </c>
      <c r="D57" s="191">
        <f t="shared" si="5"/>
        <v>13011.720128378256</v>
      </c>
      <c r="E57" s="206"/>
      <c r="F57" s="263"/>
      <c r="G57" s="222"/>
      <c r="H57" s="203">
        <f t="shared" si="2"/>
        <v>37</v>
      </c>
      <c r="I57" s="204">
        <v>18</v>
      </c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4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6"/>
      <c r="D58" s="191">
        <f t="shared" si="5"/>
        <v>0</v>
      </c>
      <c r="E58" s="206"/>
      <c r="F58" s="263"/>
      <c r="G58" s="222"/>
      <c r="H58" s="203">
        <f t="shared" si="2"/>
        <v>38</v>
      </c>
      <c r="I58" s="204">
        <v>18</v>
      </c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4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6"/>
      <c r="D59" s="191">
        <f t="shared" si="5"/>
        <v>0</v>
      </c>
      <c r="E59" s="206"/>
      <c r="F59" s="263"/>
      <c r="G59" s="222"/>
      <c r="H59" s="203">
        <f t="shared" si="2"/>
        <v>39</v>
      </c>
      <c r="I59" s="204">
        <v>18</v>
      </c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4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6"/>
      <c r="D60" s="191">
        <f t="shared" si="5"/>
        <v>0</v>
      </c>
      <c r="E60" s="206"/>
      <c r="F60" s="263"/>
      <c r="G60" s="223"/>
      <c r="H60" s="203">
        <f t="shared" si="2"/>
        <v>40</v>
      </c>
      <c r="I60" s="204">
        <v>18</v>
      </c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4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5"/>
        <v>0</v>
      </c>
      <c r="E61" s="206"/>
      <c r="F61" s="263"/>
      <c r="G61" s="223"/>
      <c r="H61" s="203">
        <f t="shared" si="2"/>
        <v>41</v>
      </c>
      <c r="I61" s="204">
        <v>18</v>
      </c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4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5"/>
        <v>0</v>
      </c>
      <c r="E62" s="206"/>
      <c r="F62" s="263"/>
      <c r="G62" s="223"/>
      <c r="H62" s="203">
        <f t="shared" si="2"/>
        <v>42</v>
      </c>
      <c r="I62" s="204">
        <v>18</v>
      </c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4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5"/>
        <v>0</v>
      </c>
      <c r="E63" s="206"/>
      <c r="F63" s="263"/>
      <c r="G63" s="223"/>
      <c r="H63" s="203">
        <f t="shared" si="2"/>
        <v>43</v>
      </c>
      <c r="I63" s="204">
        <v>18</v>
      </c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4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5"/>
        <v>0</v>
      </c>
      <c r="E64" s="206"/>
      <c r="F64" s="263"/>
      <c r="G64" s="223"/>
      <c r="H64" s="203">
        <f t="shared" si="2"/>
        <v>44</v>
      </c>
      <c r="I64" s="204">
        <v>18</v>
      </c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4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5"/>
        <v>0</v>
      </c>
      <c r="E65" s="206"/>
      <c r="F65" s="263"/>
      <c r="G65" s="223"/>
      <c r="H65" s="203">
        <f t="shared" si="2"/>
        <v>45</v>
      </c>
      <c r="I65" s="204">
        <v>18</v>
      </c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6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5"/>
        <v>0</v>
      </c>
      <c r="E66" s="206"/>
      <c r="F66" s="263"/>
      <c r="G66" s="223"/>
      <c r="H66" s="203">
        <f t="shared" si="2"/>
        <v>46</v>
      </c>
      <c r="I66" s="204">
        <v>18</v>
      </c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6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5"/>
        <v>0</v>
      </c>
      <c r="E67" s="206"/>
      <c r="F67" s="263"/>
      <c r="G67" s="223"/>
      <c r="H67" s="203">
        <f t="shared" si="2"/>
        <v>47</v>
      </c>
      <c r="I67" s="204">
        <v>18</v>
      </c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6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5"/>
        <v>0</v>
      </c>
      <c r="E68" s="206"/>
      <c r="F68" s="263"/>
      <c r="G68" s="223"/>
      <c r="H68" s="203">
        <f t="shared" si="2"/>
        <v>48</v>
      </c>
      <c r="I68" s="204">
        <v>18</v>
      </c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6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5"/>
        <v>0</v>
      </c>
      <c r="E69" s="206"/>
      <c r="F69" s="263"/>
      <c r="G69" s="223"/>
      <c r="H69" s="203">
        <f t="shared" si="2"/>
        <v>49</v>
      </c>
      <c r="I69" s="204">
        <v>18</v>
      </c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6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5"/>
        <v>0</v>
      </c>
      <c r="E70" s="206"/>
      <c r="F70" s="263"/>
      <c r="G70" s="223"/>
      <c r="H70" s="203">
        <f t="shared" si="2"/>
        <v>50</v>
      </c>
      <c r="I70" s="204">
        <v>18</v>
      </c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6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5"/>
        <v>0</v>
      </c>
      <c r="E71" s="206"/>
      <c r="F71" s="263"/>
      <c r="G71" s="223"/>
      <c r="H71" s="203">
        <f t="shared" si="2"/>
        <v>51</v>
      </c>
      <c r="I71" s="204">
        <v>18</v>
      </c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6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5"/>
        <v>0</v>
      </c>
      <c r="E72" s="206"/>
      <c r="F72" s="263"/>
      <c r="G72" s="223"/>
      <c r="H72" s="203">
        <f t="shared" si="2"/>
        <v>52</v>
      </c>
      <c r="I72" s="204">
        <v>18</v>
      </c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6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5"/>
        <v>0</v>
      </c>
      <c r="E73" s="206"/>
      <c r="F73" s="263"/>
      <c r="G73" s="223"/>
      <c r="H73" s="203">
        <f t="shared" si="2"/>
        <v>53</v>
      </c>
      <c r="I73" s="204">
        <v>18</v>
      </c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6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>
        <f t="shared" si="2"/>
        <v>54</v>
      </c>
      <c r="I74" s="204">
        <v>18</v>
      </c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6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>
        <f t="shared" si="2"/>
        <v>55</v>
      </c>
      <c r="I75" s="204">
        <v>18</v>
      </c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6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Pin maritime</v>
      </c>
      <c r="C76" s="5"/>
      <c r="D76" s="5"/>
      <c r="E76" s="5"/>
      <c r="F76" s="261"/>
      <c r="G76" s="223"/>
      <c r="H76" s="203">
        <f t="shared" si="2"/>
        <v>56</v>
      </c>
      <c r="I76" s="204">
        <v>18</v>
      </c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6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>
        <f t="shared" si="2"/>
        <v>57</v>
      </c>
      <c r="I77" s="204">
        <v>18</v>
      </c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6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287</v>
      </c>
      <c r="F78" s="262"/>
      <c r="G78" s="223"/>
      <c r="H78" s="203">
        <f t="shared" si="2"/>
        <v>58</v>
      </c>
      <c r="I78" s="204">
        <v>18</v>
      </c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6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1900</v>
      </c>
      <c r="F79" s="262"/>
      <c r="G79" s="223"/>
      <c r="H79" s="203">
        <f t="shared" si="2"/>
        <v>59</v>
      </c>
      <c r="I79" s="204">
        <v>18</v>
      </c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6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>
        <f>1600*(0.77+0.15)</f>
        <v>1472</v>
      </c>
      <c r="F80" s="262"/>
      <c r="G80" s="221"/>
      <c r="H80" s="203">
        <f t="shared" si="2"/>
        <v>60</v>
      </c>
      <c r="I80" s="204">
        <v>18</v>
      </c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6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>
        <v>220</v>
      </c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6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>
        <v>400</v>
      </c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6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>
        <v>220</v>
      </c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6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>
        <v>0</v>
      </c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6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12</v>
      </c>
      <c r="B85" s="193">
        <f>'Données projet'!D88</f>
        <v>0</v>
      </c>
      <c r="C85" s="206">
        <v>8.5000004135063971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6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16</v>
      </c>
      <c r="B86" s="193">
        <f>'Données projet'!D89</f>
        <v>4.0999999999999996</v>
      </c>
      <c r="C86" s="206">
        <v>15.500000330608874</v>
      </c>
      <c r="D86" s="191">
        <f t="shared" ref="D86:D104" si="7">B86*C86</f>
        <v>63.550001355496377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6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20</v>
      </c>
      <c r="B87" s="193">
        <f>'Données projet'!D90</f>
        <v>4.7</v>
      </c>
      <c r="C87" s="206">
        <v>15.499999990791176</v>
      </c>
      <c r="D87" s="191">
        <f t="shared" si="7"/>
        <v>72.849999956718534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6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24</v>
      </c>
      <c r="B88" s="193">
        <f>'Données projet'!D91</f>
        <v>12.5</v>
      </c>
      <c r="C88" s="206">
        <v>15.499999952373605</v>
      </c>
      <c r="D88" s="191">
        <f t="shared" si="7"/>
        <v>193.74999940467006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6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28</v>
      </c>
      <c r="B89" s="193">
        <f>'Données projet'!D92</f>
        <v>13.1</v>
      </c>
      <c r="C89" s="206">
        <v>15.499999988095331</v>
      </c>
      <c r="D89" s="191">
        <f t="shared" si="7"/>
        <v>203.04999984404884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6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34</v>
      </c>
      <c r="B90" s="193">
        <f>'Données projet'!D93</f>
        <v>24.8</v>
      </c>
      <c r="C90" s="206">
        <v>15.499999988095331</v>
      </c>
      <c r="D90" s="191">
        <f t="shared" si="7"/>
        <v>384.39999970476424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6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40</v>
      </c>
      <c r="B91" s="193">
        <f>'Données projet'!D94</f>
        <v>23.3</v>
      </c>
      <c r="C91" s="206">
        <v>15.499999988095331</v>
      </c>
      <c r="D91" s="191">
        <f t="shared" si="7"/>
        <v>361.1499997226212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6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46</v>
      </c>
      <c r="B92" s="193">
        <f>'Données projet'!D95</f>
        <v>18.600000000000001</v>
      </c>
      <c r="C92" s="206">
        <v>15.499999988095331</v>
      </c>
      <c r="D92" s="191">
        <f t="shared" si="7"/>
        <v>288.29999977857318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6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54</v>
      </c>
      <c r="B93" s="193">
        <f>'Données projet'!D96</f>
        <v>15.7</v>
      </c>
      <c r="C93" s="204">
        <v>30.5</v>
      </c>
      <c r="D93" s="191">
        <f t="shared" si="7"/>
        <v>478.84999999999997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6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62</v>
      </c>
      <c r="B94" s="193">
        <f>'Données projet'!D97</f>
        <v>10.7</v>
      </c>
      <c r="C94" s="204">
        <v>30.5</v>
      </c>
      <c r="D94" s="191">
        <f t="shared" si="7"/>
        <v>326.34999999999997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6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7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6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7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6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7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8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7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8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7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8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7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8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7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8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7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8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7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8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7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8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8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8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8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8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287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8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8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8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8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8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8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8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8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9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8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9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8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9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8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9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8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9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8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9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8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9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8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9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8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9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8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9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8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9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8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9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8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9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10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9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10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9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10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9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10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9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9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9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287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1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1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1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1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1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1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1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1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1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1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1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1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1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1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1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1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1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1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1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287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2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2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2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2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2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2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2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2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2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2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2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2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2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2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2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2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2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2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2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287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3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3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3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3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3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3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3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3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3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3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3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3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3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3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3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3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3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3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3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287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4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4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4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4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4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4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4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4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4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4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4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4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4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4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4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4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4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4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4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287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5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5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5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5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5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5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5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5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5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5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5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5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5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5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5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5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5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5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5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287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6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6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6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6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6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6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6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6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6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6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6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6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6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6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6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6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6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6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6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okQo/kRoK/jfjuAaoMyM0XgB43xLErDOlD6fNnDn0anV8vgxgJ3BLEeIxbFf97SrUUnRqs6xEX05XlNiXHoWag==" saltValue="+h6Xbsy8Ch1n1hTXPTafZw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4a0a9159-faee-4929-bc18-6e0874945f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1" ma:contentTypeDescription="Crée un document." ma:contentTypeScope="" ma:versionID="a55dd56dd0c35a8863f1fdb6cf23ba49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35b8e7cb453b19f972219f41c485328e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A6BA3C-FD63-4C0B-8C9C-094F984DE4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D5C5DC-EE8F-4785-8631-08BF31A2E356}">
  <ds:schemaRefs>
    <ds:schemaRef ds:uri="http://schemas.microsoft.com/office/2006/metadata/properties"/>
    <ds:schemaRef ds:uri="http://schemas.microsoft.com/office/infopath/2007/PartnerControls"/>
    <ds:schemaRef ds:uri="4a0a9159-faee-4929-bc18-6e0874945fe3"/>
  </ds:schemaRefs>
</ds:datastoreItem>
</file>

<file path=customXml/itemProps3.xml><?xml version="1.0" encoding="utf-8"?>
<ds:datastoreItem xmlns:ds="http://schemas.openxmlformats.org/officeDocument/2006/customXml" ds:itemID="{1D15E1B2-0056-466C-99F5-2B22FA120A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OCCI_OG</dc:creator>
  <cp:lastModifiedBy>Aurélien Blond</cp:lastModifiedBy>
  <dcterms:created xsi:type="dcterms:W3CDTF">2021-02-01T08:22:39Z</dcterms:created>
  <dcterms:modified xsi:type="dcterms:W3CDTF">2022-04-01T15:49:01Z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Order">
    <vt:r8>1767800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