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Contrats NIF/Contrats NIF - Propriétaires/2PAYR-121 - M.Castella - Le Pay Richereau/Administration/LBC/Projet/Mars 2022/"/>
    </mc:Choice>
  </mc:AlternateContent>
  <xr:revisionPtr revIDLastSave="0" documentId="10_ncr:20000_{38FF557A-3123-4C26-9DA9-6E8C43F067C7}" xr6:coauthVersionLast="47" xr6:coauthVersionMax="47" xr10:uidLastSave="{00000000-0000-0000-0000-000000000000}"/>
  <bookViews>
    <workbookView xWindow="-108" yWindow="-108" windowWidth="23256" windowHeight="12576" tabRatio="807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6" l="1"/>
  <c r="H67" i="6"/>
  <c r="H68" i="6"/>
  <c r="H69" i="6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22" i="6" l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2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HI6" i="2"/>
  <c r="FR6" i="2"/>
  <c r="EV6" i="2"/>
  <c r="EA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X7" i="2"/>
  <c r="HI7" i="2"/>
  <c r="EA7" i="2"/>
  <c r="EW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B10" i="2"/>
  <c r="HG10" i="2"/>
  <c r="EA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HG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FS12" i="2" l="1"/>
  <c r="EV12" i="2"/>
  <c r="HI12" i="2"/>
  <c r="EW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FS13" i="2" l="1"/>
  <c r="HG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I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EX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X17" i="2" l="1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HG18" i="2"/>
  <c r="EA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V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EV21" i="2"/>
  <c r="HH21" i="2"/>
  <c r="EW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EW22" i="2"/>
  <c r="HG22" i="2"/>
  <c r="EA22" i="2"/>
  <c r="EB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C23" i="2" l="1"/>
  <c r="EX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V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FS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I35" i="2"/>
  <c r="FQ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HI39" i="2"/>
  <c r="EX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HG42" i="2"/>
  <c r="EA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DG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W44" i="2"/>
  <c r="HG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B45" i="2"/>
  <c r="EX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HG46" i="2"/>
  <c r="EC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C47" i="2" l="1"/>
  <c r="FS47" i="2"/>
  <c r="HG47" i="2"/>
  <c r="EA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X48" i="2" l="1"/>
  <c r="HH48" i="2"/>
  <c r="HI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FS51" i="2"/>
  <c r="HI51" i="2"/>
  <c r="EA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B52" i="2"/>
  <c r="EV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EB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FS58" i="2" l="1"/>
  <c r="EX58" i="2"/>
  <c r="EC58" i="2"/>
  <c r="EA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FS59" i="2"/>
  <c r="HI59" i="2"/>
  <c r="EB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W60" i="2"/>
  <c r="EV60" i="2"/>
  <c r="HH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FS61" i="2" l="1"/>
  <c r="EW61" i="2"/>
  <c r="EX61" i="2"/>
  <c r="EA61" i="2"/>
  <c r="HI61" i="2"/>
  <c r="EV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A64" i="2"/>
  <c r="EV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X68" i="2" l="1"/>
  <c r="FS68" i="2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FS71" i="2" l="1"/>
  <c r="HI71" i="2"/>
  <c r="EA71" i="2"/>
  <c r="EW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I75" i="2"/>
  <c r="HG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A77" i="2"/>
  <c r="EW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HG79" i="2"/>
  <c r="EB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C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HI83" i="2" l="1"/>
  <c r="EV83" i="2"/>
  <c r="EC83" i="2"/>
  <c r="EW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I84" i="2" l="1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G85" i="2"/>
  <c r="EC85" i="2"/>
  <c r="FS85" i="2"/>
  <c r="HH85" i="2"/>
  <c r="EV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HI86" i="2"/>
  <c r="EX86" i="2"/>
  <c r="FS86" i="2"/>
  <c r="EA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HI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HG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EX92" i="2"/>
  <c r="EW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HG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EC97" i="2" l="1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FS103" i="2" l="1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HG106" i="2"/>
  <c r="EB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HG107" i="2"/>
  <c r="EC107" i="2"/>
  <c r="EB107" i="2"/>
  <c r="EA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B108" i="2"/>
  <c r="EA108" i="2"/>
  <c r="EW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C109" i="2" l="1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C115" i="2" l="1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A116" i="2"/>
  <c r="HI116" i="2"/>
  <c r="EV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C117" i="2" l="1"/>
  <c r="EX117" i="2"/>
  <c r="EA117" i="2"/>
  <c r="HG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FR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C123" i="2" l="1"/>
  <c r="HH123" i="2"/>
  <c r="FS123" i="2"/>
  <c r="HI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I124" i="2"/>
  <c r="HG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C129" i="2"/>
  <c r="EX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C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HG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S135" i="2" l="1"/>
  <c r="EA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C140" i="2"/>
  <c r="HI140" i="2"/>
  <c r="HG140" i="2"/>
  <c r="EX140" i="2"/>
  <c r="EB140" i="2"/>
  <c r="FR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HG144" i="2"/>
  <c r="EA144" i="2"/>
  <c r="FR144" i="2"/>
  <c r="EX144" i="2"/>
  <c r="EB144" i="2"/>
  <c r="HH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HG145" i="2"/>
  <c r="EB145" i="2"/>
  <c r="HH145" i="2"/>
  <c r="EX145" i="2"/>
  <c r="FR145" i="2"/>
  <c r="EA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HH146" i="2"/>
  <c r="FR146" i="2"/>
  <c r="HG146" i="2"/>
  <c r="EA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C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X155" i="2"/>
  <c r="EW155" i="2"/>
  <c r="HG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EX160" i="2"/>
  <c r="FS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FS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G162" i="2"/>
  <c r="FS162" i="2"/>
  <c r="EB162" i="2"/>
  <c r="HH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EC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HI164" i="2" s="1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EV164" i="2"/>
  <c r="HG164" i="2"/>
  <c r="FR164" i="2"/>
  <c r="EC164" i="2"/>
  <c r="EA164" i="2"/>
  <c r="DI163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X168" i="2"/>
  <c r="FS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C171" i="2" l="1"/>
  <c r="FS171" i="2"/>
  <c r="EX171" i="2"/>
  <c r="HI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B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X177" i="2"/>
  <c r="EW177" i="2"/>
  <c r="HH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HI178" i="2"/>
  <c r="EB178" i="2"/>
  <c r="HG178" i="2"/>
  <c r="FS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V179" i="2"/>
  <c r="HG179" i="2"/>
  <c r="FS179" i="2"/>
  <c r="EX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G185" i="2" l="1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X191" i="2" l="1"/>
  <c r="HG191" i="2"/>
  <c r="HH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Q193" i="2"/>
  <c r="EX193" i="2"/>
  <c r="HI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I196" i="2" l="1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D197" i="2" s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EV199" i="2"/>
  <c r="EA199" i="2"/>
  <c r="EW199" i="2"/>
  <c r="HG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FS201" i="2"/>
  <c r="HI201" i="2"/>
  <c r="EA201" i="2"/>
  <c r="ED201" i="2" s="1"/>
  <c r="EB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114" i="2" a="1"/>
  <c r="BC114" i="2" s="1"/>
  <c r="BC65" i="2" a="1"/>
  <c r="BC65" i="2" s="1"/>
  <c r="DN56" i="2" a="1"/>
  <c r="DN56" i="2" s="1"/>
  <c r="GT68" i="2" a="1"/>
  <c r="GT68" i="2" s="1"/>
  <c r="GT133" i="2" a="1"/>
  <c r="GT133" i="2" s="1"/>
  <c r="GT102" i="2" a="1"/>
  <c r="GT102" i="2" s="1"/>
  <c r="EI166" i="2" a="1"/>
  <c r="EI166" i="2" s="1"/>
  <c r="EI153" i="2" a="1"/>
  <c r="EI153" i="2" s="1"/>
  <c r="EI150" i="2" a="1"/>
  <c r="EI150" i="2" s="1"/>
  <c r="EI162" i="2" a="1"/>
  <c r="EI162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21" i="2" a="1"/>
  <c r="GT21" i="2" s="1"/>
  <c r="GT74" i="2" a="1"/>
  <c r="GT74" i="2" s="1"/>
  <c r="GT190" i="2" a="1"/>
  <c r="GT190" i="2" s="1"/>
  <c r="GT15" i="2" a="1"/>
  <c r="GT15" i="2" s="1"/>
  <c r="EI87" i="2" a="1"/>
  <c r="EI87" i="2" s="1"/>
  <c r="EI36" i="2" a="1"/>
  <c r="EI36" i="2" s="1"/>
  <c r="EI165" i="2" a="1"/>
  <c r="EI165" i="2" s="1"/>
  <c r="EI34" i="2" a="1"/>
  <c r="EI34" i="2" s="1"/>
  <c r="EI113" i="2" a="1"/>
  <c r="EI113" i="2" s="1"/>
  <c r="EI16" i="2" a="1"/>
  <c r="EI16" i="2" s="1"/>
  <c r="EI139" i="2" a="1"/>
  <c r="EI139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7" i="2" l="1" a="1"/>
  <c r="BC117" i="2" s="1"/>
  <c r="BC126" i="2" a="1"/>
  <c r="BC126" i="2" s="1"/>
  <c r="BC181" i="2" a="1"/>
  <c r="BC181" i="2" s="1"/>
  <c r="BC82" i="2" a="1"/>
  <c r="BC82" i="2" s="1"/>
  <c r="BC47" i="2" a="1"/>
  <c r="BC47" i="2" s="1"/>
  <c r="BC68" i="2" a="1"/>
  <c r="BC68" i="2" s="1"/>
  <c r="BC58" i="2" a="1"/>
  <c r="BC58" i="2" s="1"/>
  <c r="BP203" i="2"/>
  <c r="GT191" i="2" a="1"/>
  <c r="GT191" i="2" s="1"/>
  <c r="GT12" i="2" a="1"/>
  <c r="GT12" i="2" s="1"/>
  <c r="GT147" i="2" a="1"/>
  <c r="GT147" i="2" s="1"/>
  <c r="GT181" i="2" a="1"/>
  <c r="GT181" i="2" s="1"/>
  <c r="EI67" i="2" a="1"/>
  <c r="EI67" i="2" s="1"/>
  <c r="EI128" i="2" a="1"/>
  <c r="EI128" i="2" s="1"/>
  <c r="EI71" i="2" a="1"/>
  <c r="EI71" i="2" s="1"/>
  <c r="EI109" i="2" a="1"/>
  <c r="EI109" i="2" s="1"/>
  <c r="GT107" i="2" a="1"/>
  <c r="GT107" i="2" s="1"/>
  <c r="GT38" i="2" a="1"/>
  <c r="GT38" i="2" s="1"/>
  <c r="GT189" i="2" a="1"/>
  <c r="GT189" i="2" s="1"/>
  <c r="EI195" i="2" a="1"/>
  <c r="EI195" i="2" s="1"/>
  <c r="EI178" i="2" a="1"/>
  <c r="EI178" i="2" s="1"/>
  <c r="EI29" i="2" a="1"/>
  <c r="EI29" i="2" s="1"/>
  <c r="EI198" i="2" a="1"/>
  <c r="EI198" i="2" s="1"/>
  <c r="GT152" i="2" a="1"/>
  <c r="GT152" i="2" s="1"/>
  <c r="GT122" i="2" a="1"/>
  <c r="GT122" i="2" s="1"/>
  <c r="GT184" i="2" a="1"/>
  <c r="GT184" i="2" s="1"/>
  <c r="HI203" i="2"/>
  <c r="EX203" i="2"/>
  <c r="GT138" i="2" a="1"/>
  <c r="GT138" i="2" s="1"/>
  <c r="GT178" i="2" a="1"/>
  <c r="GT178" i="2" s="1"/>
  <c r="GT121" i="2" a="1"/>
  <c r="GT121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GT174" i="2" a="1"/>
  <c r="GT174" i="2" s="1"/>
  <c r="GT126" i="2" a="1"/>
  <c r="GT126" i="2" s="1"/>
  <c r="GT198" i="2" a="1"/>
  <c r="GT198" i="2" s="1"/>
  <c r="EI145" i="2" a="1"/>
  <c r="EI145" i="2" s="1"/>
  <c r="EI106" i="2" a="1"/>
  <c r="EI106" i="2" s="1"/>
  <c r="GT11" i="2" a="1"/>
  <c r="GT11" i="2" s="1"/>
  <c r="GT33" i="2" a="1"/>
  <c r="GT33" i="2" s="1"/>
  <c r="GT51" i="2" a="1"/>
  <c r="GT51" i="2" s="1"/>
  <c r="GT115" i="2" a="1"/>
  <c r="GT115" i="2" s="1"/>
  <c r="EC203" i="2"/>
  <c r="FR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<sst xmlns="http://schemas.openxmlformats.org/spreadsheetml/2006/main" count="1171" uniqueCount="323">
  <si>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</si>
  <si>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</si>
  <si>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</si>
  <si>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</si>
  <si>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</si>
  <si>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</si>
  <si>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</si>
  <si>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</si>
  <si>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</si>
  <si>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</si>
  <si>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</si>
  <si>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</si>
  <si>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</si>
  <si>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</si>
  <si>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</si>
  <si>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</si>
  <si>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</si>
  <si>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</si>
  <si>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</si>
  <si>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</si>
  <si>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</si>
  <si>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</si>
  <si>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</si>
  <si>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</si>
  <si>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</si>
  <si>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</si>
  <si>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</si>
  <si>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</si>
  <si>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</si>
  <si>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</si>
  <si>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</si>
  <si>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</si>
  <si>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</si>
  <si>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</si>
  <si>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</si>
  <si>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</si>
  <si>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</si>
  <si>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</si>
  <si>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</si>
  <si>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</si>
  <si>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</si>
  <si>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</si>
  <si>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</si>
  <si>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</si>
  <si>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</si>
  <si>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</si>
  <si>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</si>
  <si>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</si>
  <si>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</si>
  <si>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</si>
  <si>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</si>
  <si>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</si>
  <si>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</si>
  <si>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</si>
  <si>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</si>
  <si>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</si>
  <si>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</si>
  <si>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</si>
  <si>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</si>
  <si>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</si>
  <si>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</si>
  <si>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</si>
  <si>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</si>
  <si>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</si>
  <si>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</si>
  <si>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</si>
  <si>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</si>
  <si>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</si>
  <si>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</si>
  <si>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</si>
  <si>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</si>
  <si>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</si>
  <si>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</si>
  <si>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</si>
  <si>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</si>
  <si>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</si>
  <si>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</si>
  <si>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</si>
  <si>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</si>
  <si>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</si>
  <si>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</si>
  <si>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</si>
  <si>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</si>
  <si>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</si>
  <si>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</si>
  <si>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</si>
  <si>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</si>
  <si>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</si>
  <si>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</si>
  <si>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</si>
  <si>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</si>
  <si>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</si>
  <si>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</si>
  <si>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</si>
  <si>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</si>
  <si>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</si>
  <si>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</si>
  <si>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</si>
  <si>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</si>
  <si>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</si>
  <si>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</si>
  <si>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</si>
  <si>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</si>
  <si>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</si>
  <si>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</si>
  <si>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</si>
  <si>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</si>
  <si>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</si>
  <si>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</si>
  <si>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</si>
  <si>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</si>
  <si>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</si>
  <si>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</si>
  <si>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</si>
  <si>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</si>
  <si>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</si>
  <si>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</si>
  <si>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</si>
  <si>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</si>
  <si>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</si>
  <si>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</si>
  <si>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</si>
  <si>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</si>
  <si>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</si>
  <si>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</si>
  <si>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</si>
  <si>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</si>
  <si>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</si>
  <si>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</si>
  <si>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</si>
  <si>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</si>
  <si>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</si>
  <si>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</si>
  <si>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</si>
  <si>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</si>
  <si>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</si>
  <si>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</si>
  <si>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</si>
  <si>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</si>
  <si>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</si>
  <si>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</si>
  <si>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</si>
  <si>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</si>
  <si>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</si>
  <si>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</si>
  <si>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</si>
  <si>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</si>
  <si>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</si>
  <si>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</si>
  <si>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</si>
  <si>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</si>
  <si>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</si>
  <si>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</si>
  <si>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</si>
  <si>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</si>
  <si>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</si>
  <si>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</si>
  <si>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</si>
  <si>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</si>
  <si>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</si>
  <si>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</si>
  <si>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</si>
  <si>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</si>
  <si>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</si>
  <si>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</si>
  <si>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</si>
  <si>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</si>
  <si>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</si>
  <si>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</si>
  <si>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</si>
  <si>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</si>
  <si>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</si>
  <si>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</si>
  <si>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</si>
  <si>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</si>
  <si>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</si>
  <si>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</si>
  <si>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</si>
  <si>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</si>
  <si>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</si>
  <si>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</si>
  <si>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</si>
  <si>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</si>
  <si>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</si>
  <si>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</si>
  <si>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</si>
  <si>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</si>
  <si>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</si>
  <si>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</si>
  <si>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</si>
  <si>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</si>
  <si>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</si>
  <si>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</si>
  <si>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</si>
  <si>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</si>
  <si>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</si>
  <si>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</si>
  <si>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</si>
  <si>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</si>
  <si>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</si>
  <si>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</si>
  <si>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</si>
  <si>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</si>
  <si>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</si>
  <si>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</si>
  <si>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</si>
  <si>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</si>
  <si>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</si>
  <si>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</si>
  <si>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</si>
  <si>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</si>
  <si>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</si>
  <si>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</si>
  <si>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</si>
  <si>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</si>
  <si>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</si>
  <si>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</si>
  <si>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</si>
  <si>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</si>
  <si>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</si>
  <si>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</si>
  <si>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</si>
  <si>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</si>
  <si>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</si>
  <si>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</si>
  <si>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</si>
  <si>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</si>
  <si>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</si>
  <si>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</si>
  <si>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</si>
  <si>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</si>
  <si>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</si>
  <si>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</si>
  <si>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</si>
  <si>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</si>
  <si>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</si>
  <si>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</si>
  <si>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</si>
  <si>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</si>
  <si>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</si>
  <si>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</si>
  <si>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</si>
  <si>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</si>
  <si>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</si>
  <si>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</si>
  <si>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</si>
  <si>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</si>
  <si>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</si>
  <si>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</si>
  <si>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</si>
  <si>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</si>
  <si>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</si>
  <si>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</si>
  <si>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</si>
  <si>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</si>
  <si>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</si>
  <si>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</si>
  <si>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</si>
  <si>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</si>
  <si>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</si>
  <si>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</si>
  <si>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</si>
  <si>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</si>
  <si>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</si>
  <si>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</si>
  <si>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</si>
  <si>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</si>
  <si>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</si>
  <si>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</si>
  <si>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</si>
  <si>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</si>
  <si>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</si>
  <si>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</si>
  <si>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</si>
  <si>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</si>
  <si>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</si>
  <si>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</si>
  <si>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</si>
  <si>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</si>
  <si>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</si>
  <si>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</si>
  <si>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</si>
  <si>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</si>
  <si>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</si>
  <si>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</si>
  <si>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</si>
  <si>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</si>
  <si>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</si>
  <si>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</si>
  <si>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</si>
  <si>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</si>
  <si>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</si>
  <si>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</si>
  <si>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</si>
  <si>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</si>
  <si>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</si>
  <si>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</si>
  <si>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</si>
  <si>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</si>
  <si>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</si>
  <si>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</si>
  <si>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</si>
  <si>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</si>
  <si>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</si>
  <si>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</si>
  <si>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</si>
  <si>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</si>
  <si>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</si>
  <si>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</si>
  <si>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</si>
  <si>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</si>
  <si>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</si>
  <si>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</si>
  <si>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</si>
  <si>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</si>
  <si>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</si>
  <si>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</si>
  <si>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</si>
  <si>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</si>
  <si>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</si>
  <si>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</si>
  <si>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Mélange pin maritime / pin laricio</t>
  </si>
  <si>
    <t>2PAYR-121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</si>
</sst>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3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 xr:uid="{C64F1607-4C23-49B3-93ED-031608F044B9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8.0347563681720615</c:v>
                </c:pt>
                <c:pt idx="2">
                  <c:v>15.712893075174582</c:v>
                </c:pt>
                <c:pt idx="3">
                  <c:v>23.275859532806511</c:v>
                </c:pt>
                <c:pt idx="4">
                  <c:v>30.767832369010307</c:v>
                </c:pt>
                <c:pt idx="5">
                  <c:v>38.208833879775106</c:v>
                </c:pt>
                <c:pt idx="6">
                  <c:v>45.610285618687335</c:v>
                </c:pt>
                <c:pt idx="7">
                  <c:v>52.979550619723362</c:v>
                </c:pt>
                <c:pt idx="8">
                  <c:v>60.3217575267401</c:v>
                </c:pt>
                <c:pt idx="9">
                  <c:v>67.640675958213976</c:v>
                </c:pt>
                <c:pt idx="10">
                  <c:v>74.939188696257972</c:v>
                </c:pt>
                <c:pt idx="11">
                  <c:v>82.219568602783184</c:v>
                </c:pt>
                <c:pt idx="12">
                  <c:v>89.483651589556459</c:v>
                </c:pt>
                <c:pt idx="13">
                  <c:v>96.732950134477633</c:v>
                </c:pt>
                <c:pt idx="14">
                  <c:v>103.96873080831166</c:v>
                </c:pt>
                <c:pt idx="15">
                  <c:v>111.19206899030382</c:v>
                </c:pt>
                <c:pt idx="16">
                  <c:v>118.40388856391083</c:v>
                </c:pt>
                <c:pt idx="17">
                  <c:v>125.60499139989965</c:v>
                </c:pt>
                <c:pt idx="18">
                  <c:v>132.79607970209247</c:v>
                </c:pt>
                <c:pt idx="19">
                  <c:v>139.97777324502763</c:v>
                </c:pt>
                <c:pt idx="20">
                  <c:v>147.15062287911286</c:v>
                </c:pt>
                <c:pt idx="21">
                  <c:v>154.31512125798903</c:v>
                </c:pt>
                <c:pt idx="22">
                  <c:v>161.47171146469259</c:v>
                </c:pt>
                <c:pt idx="23">
                  <c:v>168.62079402508999</c:v>
                </c:pt>
                <c:pt idx="24">
                  <c:v>175.76273266716774</c:v>
                </c:pt>
                <c:pt idx="25">
                  <c:v>182.89785909339261</c:v>
                </c:pt>
                <c:pt idx="26">
                  <c:v>190.02647696800031</c:v>
                </c:pt>
                <c:pt idx="27">
                  <c:v>197.14886527360179</c:v>
                </c:pt>
                <c:pt idx="28">
                  <c:v>204.26528115653423</c:v>
                </c:pt>
                <c:pt idx="29">
                  <c:v>211.37596235431226</c:v>
                </c:pt>
                <c:pt idx="30">
                  <c:v>218.48112927884972</c:v>
                </c:pt>
                <c:pt idx="31">
                  <c:v>225.58098681411772</c:v>
                </c:pt>
                <c:pt idx="32">
                  <c:v>232.6757258753297</c:v>
                </c:pt>
                <c:pt idx="33">
                  <c:v>239.76552476775382</c:v>
                </c:pt>
                <c:pt idx="34">
                  <c:v>246.85055037619284</c:v>
                </c:pt>
                <c:pt idx="35">
                  <c:v>253.9309592105935</c:v>
                </c:pt>
                <c:pt idx="36">
                  <c:v>261.00689832879777</c:v>
                </c:pt>
                <c:pt idx="37">
                  <c:v>208.06558084260018</c:v>
                </c:pt>
                <c:pt idx="38">
                  <c:v>225.31009500962546</c:v>
                </c:pt>
                <c:pt idx="39">
                  <c:v>242.52437576473483</c:v>
                </c:pt>
                <c:pt idx="40">
                  <c:v>259.71087111615606</c:v>
                </c:pt>
                <c:pt idx="41">
                  <c:v>276.87167846584765</c:v>
                </c:pt>
                <c:pt idx="42">
                  <c:v>294.00861390700948</c:v>
                </c:pt>
                <c:pt idx="43">
                  <c:v>230.50992525899244</c:v>
                </c:pt>
                <c:pt idx="44">
                  <c:v>246.74241713656806</c:v>
                </c:pt>
                <c:pt idx="45">
                  <c:v>262.95066686184316</c:v>
                </c:pt>
                <c:pt idx="46">
                  <c:v>279.13637908968929</c:v>
                </c:pt>
                <c:pt idx="47">
                  <c:v>295.30104458450182</c:v>
                </c:pt>
                <c:pt idx="48">
                  <c:v>311.44597754536488</c:v>
                </c:pt>
                <c:pt idx="49">
                  <c:v>247.06681362820646</c:v>
                </c:pt>
                <c:pt idx="50">
                  <c:v>262.30278018519817</c:v>
                </c:pt>
                <c:pt idx="51">
                  <c:v>277.51877807553302</c:v>
                </c:pt>
                <c:pt idx="52">
                  <c:v>292.71605638412353</c:v>
                </c:pt>
                <c:pt idx="53">
                  <c:v>307.89572387305174</c:v>
                </c:pt>
                <c:pt idx="54">
                  <c:v>323.05877103273156</c:v>
                </c:pt>
                <c:pt idx="55">
                  <c:v>277.76143169068007</c:v>
                </c:pt>
                <c:pt idx="56">
                  <c:v>292.55447774309101</c:v>
                </c:pt>
                <c:pt idx="57">
                  <c:v>307.33082720049566</c:v>
                </c:pt>
                <c:pt idx="58">
                  <c:v>322.09139590753102</c:v>
                </c:pt>
                <c:pt idx="59">
                  <c:v>336.83700890324593</c:v>
                </c:pt>
                <c:pt idx="60">
                  <c:v>351.56841308920235</c:v>
                </c:pt>
                <c:pt idx="61">
                  <c:v>366.28628766255997</c:v>
                </c:pt>
                <c:pt idx="62">
                  <c:v>380.99125278423691</c:v>
                </c:pt>
                <c:pt idx="63">
                  <c:v>321.60768425352512</c:v>
                </c:pt>
                <c:pt idx="64">
                  <c:v>337.56183059630445</c:v>
                </c:pt>
                <c:pt idx="65">
                  <c:v>353.49938310207608</c:v>
                </c:pt>
                <c:pt idx="66">
                  <c:v>369.42119511414558</c:v>
                </c:pt>
                <c:pt idx="67">
                  <c:v>385.32804042350341</c:v>
                </c:pt>
                <c:pt idx="68">
                  <c:v>401.22062373138334</c:v>
                </c:pt>
                <c:pt idx="69">
                  <c:v>417.09958936741742</c:v>
                </c:pt>
                <c:pt idx="70">
                  <c:v>432.96552861089231</c:v>
                </c:pt>
                <c:pt idx="71">
                  <c:v>345.29114635937071</c:v>
                </c:pt>
                <c:pt idx="72">
                  <c:v>359.7734465356848</c:v>
                </c:pt>
                <c:pt idx="73">
                  <c:v>374.24299819156408</c:v>
                </c:pt>
                <c:pt idx="74">
                  <c:v>388.70036362009404</c:v>
                </c:pt>
                <c:pt idx="75">
                  <c:v>403.14605987521986</c:v>
                </c:pt>
                <c:pt idx="76">
                  <c:v>417.58056393601959</c:v>
                </c:pt>
                <c:pt idx="77">
                  <c:v>432.00431711964893</c:v>
                </c:pt>
                <c:pt idx="78">
                  <c:v>446.4177288742074</c:v>
                </c:pt>
                <c:pt idx="79">
                  <c:v>377.99235259899916</c:v>
                </c:pt>
                <c:pt idx="80">
                  <c:v>390.41304605128545</c:v>
                </c:pt>
                <c:pt idx="81">
                  <c:v>402.82516769451541</c:v>
                </c:pt>
                <c:pt idx="82">
                  <c:v>415.22901889020221</c:v>
                </c:pt>
                <c:pt idx="83">
                  <c:v>427.62488152479727</c:v>
                </c:pt>
                <c:pt idx="84">
                  <c:v>440.01301980824041</c:v>
                </c:pt>
                <c:pt idx="85">
                  <c:v>452.39368185940026</c:v>
                </c:pt>
                <c:pt idx="86">
                  <c:v>464.76710110891577</c:v>
                </c:pt>
                <c:pt idx="87">
                  <c:v>477.13349754486808</c:v>
                </c:pt>
                <c:pt idx="88">
                  <c:v>413.92485656153281</c:v>
                </c:pt>
                <c:pt idx="89">
                  <c:v>425.65916330199121</c:v>
                </c:pt>
                <c:pt idx="90">
                  <c:v>437.38651290584789</c:v>
                </c:pt>
                <c:pt idx="91">
                  <c:v>449.107118215301</c:v>
                </c:pt>
                <c:pt idx="92">
                  <c:v>460.82118005626143</c:v>
                </c:pt>
                <c:pt idx="93">
                  <c:v>472.52888821143898</c:v>
                </c:pt>
                <c:pt idx="94">
                  <c:v>484.23042229196682</c:v>
                </c:pt>
                <c:pt idx="95">
                  <c:v>495.92595252039081</c:v>
                </c:pt>
                <c:pt idx="96">
                  <c:v>507.61564043595689</c:v>
                </c:pt>
                <c:pt idx="97">
                  <c:v>519.29963953155618</c:v>
                </c:pt>
                <c:pt idx="98">
                  <c:v>451.02789946978191</c:v>
                </c:pt>
                <c:pt idx="99">
                  <c:v>463.31679190893493</c:v>
                </c:pt>
                <c:pt idx="100">
                  <c:v>475.59873329316855</c:v>
                </c:pt>
                <c:pt idx="101">
                  <c:v>487.87392841353494</c:v>
                </c:pt>
                <c:pt idx="102">
                  <c:v>500.14257091604304</c:v>
                </c:pt>
                <c:pt idx="103">
                  <c:v>512.40484417246978</c:v>
                </c:pt>
                <c:pt idx="104">
                  <c:v>524.6609220634881</c:v>
                </c:pt>
                <c:pt idx="105">
                  <c:v>536.91096968482668</c:v>
                </c:pt>
                <c:pt idx="106">
                  <c:v>549.15514398564073</c:v>
                </c:pt>
                <c:pt idx="107">
                  <c:v>561.39359434700032</c:v>
                </c:pt>
                <c:pt idx="108">
                  <c:v>486.3398912388916</c:v>
                </c:pt>
                <c:pt idx="109">
                  <c:v>499.37596921206176</c:v>
                </c:pt>
                <c:pt idx="110">
                  <c:v>512.40484417246967</c:v>
                </c:pt>
                <c:pt idx="111">
                  <c:v>525.42672503969129</c:v>
                </c:pt>
                <c:pt idx="112">
                  <c:v>538.44180953565865</c:v>
                </c:pt>
                <c:pt idx="113">
                  <c:v>551.45028504666323</c:v>
                </c:pt>
                <c:pt idx="114">
                  <c:v>564.45232939981622</c:v>
                </c:pt>
                <c:pt idx="115">
                  <c:v>577.44811156426488</c:v>
                </c:pt>
                <c:pt idx="116">
                  <c:v>590.43779228602443</c:v>
                </c:pt>
                <c:pt idx="117">
                  <c:v>603.42152466405832</c:v>
                </c:pt>
                <c:pt idx="118">
                  <c:v>529.03206537897017</c:v>
                </c:pt>
                <c:pt idx="119">
                  <c:v>540.6741204487231</c:v>
                </c:pt>
                <c:pt idx="120">
                  <c:v>552.31091126495005</c:v>
                </c:pt>
                <c:pt idx="121">
                  <c:v>563.94256435591433</c:v>
                </c:pt>
                <c:pt idx="122">
                  <c:v>575.56920060576613</c:v>
                </c:pt>
                <c:pt idx="123">
                  <c:v>587.19093561764703</c:v>
                </c:pt>
                <c:pt idx="124">
                  <c:v>598.80788004655813</c:v>
                </c:pt>
                <c:pt idx="125">
                  <c:v>610.42013990506518</c:v>
                </c:pt>
                <c:pt idx="126">
                  <c:v>622.02781684453782</c:v>
                </c:pt>
                <c:pt idx="127">
                  <c:v>633.63100841431367</c:v>
                </c:pt>
                <c:pt idx="128">
                  <c:v>645.22980830089625</c:v>
                </c:pt>
                <c:pt idx="129">
                  <c:v>656.82430654907148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1.9945543415594731</c:v>
                </c:pt>
                <c:pt idx="2">
                  <c:v>2.5653185167237957</c:v>
                </c:pt>
                <c:pt idx="3">
                  <c:v>3.3000724830756227</c:v>
                </c:pt>
                <c:pt idx="4">
                  <c:v>4.2461118996177705</c:v>
                </c:pt>
                <c:pt idx="5">
                  <c:v>5.4644210507744324</c:v>
                </c:pt>
                <c:pt idx="6">
                  <c:v>7.0336476853705534</c:v>
                </c:pt>
                <c:pt idx="7">
                  <c:v>9.0552355319668045</c:v>
                </c:pt>
                <c:pt idx="8">
                  <c:v>11.660052595305286</c:v>
                </c:pt>
                <c:pt idx="9">
                  <c:v>15.016952331494551</c:v>
                </c:pt>
                <c:pt idx="10">
                  <c:v>19.34383284215561</c:v>
                </c:pt>
                <c:pt idx="11">
                  <c:v>24.921924862227019</c:v>
                </c:pt>
                <c:pt idx="12">
                  <c:v>32.114253601114271</c:v>
                </c:pt>
                <c:pt idx="13">
                  <c:v>41.389496750008156</c:v>
                </c:pt>
                <c:pt idx="14">
                  <c:v>53.352819728125041</c:v>
                </c:pt>
                <c:pt idx="15">
                  <c:v>68.78573351330796</c:v>
                </c:pt>
                <c:pt idx="16">
                  <c:v>64.643161527664788</c:v>
                </c:pt>
                <c:pt idx="17">
                  <c:v>80.550019068211597</c:v>
                </c:pt>
                <c:pt idx="18">
                  <c:v>96.377032942291933</c:v>
                </c:pt>
                <c:pt idx="19">
                  <c:v>112.1392205195818</c:v>
                </c:pt>
                <c:pt idx="20">
                  <c:v>127.84700164805349</c:v>
                </c:pt>
                <c:pt idx="21">
                  <c:v>143.50801381877469</c:v>
                </c:pt>
                <c:pt idx="22">
                  <c:v>159.12808551271138</c:v>
                </c:pt>
                <c:pt idx="23">
                  <c:v>174.7118045337007</c:v>
                </c:pt>
                <c:pt idx="24">
                  <c:v>190.26287181372933</c:v>
                </c:pt>
                <c:pt idx="25">
                  <c:v>205.78433298649477</c:v>
                </c:pt>
                <c:pt idx="26">
                  <c:v>165.95967009953571</c:v>
                </c:pt>
                <c:pt idx="27">
                  <c:v>186.50431883199599</c:v>
                </c:pt>
                <c:pt idx="28">
                  <c:v>206.99612823042116</c:v>
                </c:pt>
                <c:pt idx="29">
                  <c:v>227.44106630063968</c:v>
                </c:pt>
                <c:pt idx="30">
                  <c:v>247.84393906402136</c:v>
                </c:pt>
                <c:pt idx="31">
                  <c:v>268.20869597094753</c:v>
                </c:pt>
                <c:pt idx="32">
                  <c:v>288.53863743627562</c:v>
                </c:pt>
                <c:pt idx="33">
                  <c:v>308.83656069789555</c:v>
                </c:pt>
                <c:pt idx="34">
                  <c:v>329.10486526176646</c:v>
                </c:pt>
                <c:pt idx="35">
                  <c:v>349.34563098153814</c:v>
                </c:pt>
                <c:pt idx="36">
                  <c:v>267.59413615025022</c:v>
                </c:pt>
                <c:pt idx="37">
                  <c:v>288.50109606605878</c:v>
                </c:pt>
                <c:pt idx="38">
                  <c:v>309.37418920969372</c:v>
                </c:pt>
                <c:pt idx="39">
                  <c:v>330.21602089516222</c:v>
                </c:pt>
                <c:pt idx="40">
                  <c:v>351.02884074986167</c:v>
                </c:pt>
                <c:pt idx="41">
                  <c:v>371.81460992425491</c:v>
                </c:pt>
                <c:pt idx="42">
                  <c:v>392.57505247750282</c:v>
                </c:pt>
                <c:pt idx="43">
                  <c:v>413.31169532126279</c:v>
                </c:pt>
                <c:pt idx="44">
                  <c:v>434.02589972701611</c:v>
                </c:pt>
                <c:pt idx="45">
                  <c:v>454.71888650433976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1.428882791082307</c:v>
                </c:pt>
                <c:pt idx="2">
                  <c:v>1.6662247363261216</c:v>
                </c:pt>
                <c:pt idx="3">
                  <c:v>1.9431377499893758</c:v>
                </c:pt>
                <c:pt idx="4">
                  <c:v>2.2662427368639864</c:v>
                </c:pt>
                <c:pt idx="5">
                  <c:v>2.6432720743222449</c:v>
                </c:pt>
                <c:pt idx="6">
                  <c:v>3.0832567772224699</c:v>
                </c:pt>
                <c:pt idx="7">
                  <c:v>3.5967452707134391</c:v>
                </c:pt>
                <c:pt idx="8">
                  <c:v>4.1960591229154289</c:v>
                </c:pt>
                <c:pt idx="9">
                  <c:v>4.8955919978711329</c:v>
                </c:pt>
                <c:pt idx="10">
                  <c:v>5.712159152105639</c:v>
                </c:pt>
                <c:pt idx="11">
                  <c:v>6.6654060419505923</c:v>
                </c:pt>
                <c:pt idx="12">
                  <c:v>7.7782860643116694</c:v>
                </c:pt>
                <c:pt idx="13">
                  <c:v>9.0776191568951266</c:v>
                </c:pt>
                <c:pt idx="14">
                  <c:v>10.594744977331377</c:v>
                </c:pt>
                <c:pt idx="15">
                  <c:v>12.366286713638312</c:v>
                </c:pt>
                <c:pt idx="16">
                  <c:v>14.435044309010479</c:v>
                </c:pt>
                <c:pt idx="17">
                  <c:v>16.851039079867366</c:v>
                </c:pt>
                <c:pt idx="18">
                  <c:v>19.672735446914366</c:v>
                </c:pt>
                <c:pt idx="19">
                  <c:v>22.968469877724306</c:v>
                </c:pt>
                <c:pt idx="20">
                  <c:v>26.818122265017632</c:v>
                </c:pt>
                <c:pt idx="21">
                  <c:v>25.232109962984058</c:v>
                </c:pt>
                <c:pt idx="22">
                  <c:v>31.442364305395174</c:v>
                </c:pt>
                <c:pt idx="23">
                  <c:v>37.618513476503104</c:v>
                </c:pt>
                <c:pt idx="24">
                  <c:v>43.766985139221255</c:v>
                </c:pt>
                <c:pt idx="25">
                  <c:v>49.892235712058579</c:v>
                </c:pt>
                <c:pt idx="26">
                  <c:v>55.997529836025542</c:v>
                </c:pt>
                <c:pt idx="27">
                  <c:v>62.085357855181336</c:v>
                </c:pt>
                <c:pt idx="28">
                  <c:v>68.157679370094328</c:v>
                </c:pt>
                <c:pt idx="29">
                  <c:v>74.216074756338386</c:v>
                </c:pt>
                <c:pt idx="30">
                  <c:v>80.261844284137609</c:v>
                </c:pt>
                <c:pt idx="31">
                  <c:v>75.022535839215763</c:v>
                </c:pt>
                <c:pt idx="32">
                  <c:v>85.404428510398063</c:v>
                </c:pt>
                <c:pt idx="33">
                  <c:v>95.754516853546988</c:v>
                </c:pt>
                <c:pt idx="34">
                  <c:v>106.07673035427206</c:v>
                </c:pt>
                <c:pt idx="35">
                  <c:v>116.37416854190023</c:v>
                </c:pt>
                <c:pt idx="36">
                  <c:v>126.64933599445402</c:v>
                </c:pt>
                <c:pt idx="37">
                  <c:v>136.90429668245213</c:v>
                </c:pt>
                <c:pt idx="38">
                  <c:v>147.14077944348685</c:v>
                </c:pt>
                <c:pt idx="39">
                  <c:v>157.36025246030269</c:v>
                </c:pt>
                <c:pt idx="40">
                  <c:v>167.56397731728737</c:v>
                </c:pt>
                <c:pt idx="41">
                  <c:v>151.20539106741626</c:v>
                </c:pt>
                <c:pt idx="42">
                  <c:v>167.54846139554678</c:v>
                </c:pt>
                <c:pt idx="43">
                  <c:v>183.85392672142279</c:v>
                </c:pt>
                <c:pt idx="44">
                  <c:v>200.12559315748044</c:v>
                </c:pt>
                <c:pt idx="45">
                  <c:v>216.36659650367744</c:v>
                </c:pt>
                <c:pt idx="46">
                  <c:v>232.57956287342515</c:v>
                </c:pt>
                <c:pt idx="47">
                  <c:v>248.76672207058417</c:v>
                </c:pt>
                <c:pt idx="48">
                  <c:v>264.92998985147551</c:v>
                </c:pt>
                <c:pt idx="49">
                  <c:v>281.0710290281624</c:v>
                </c:pt>
                <c:pt idx="50">
                  <c:v>297.19129578299118</c:v>
                </c:pt>
                <c:pt idx="51">
                  <c:v>313.2920753981889</c:v>
                </c:pt>
                <c:pt idx="52">
                  <c:v>329.37451025040485</c:v>
                </c:pt>
                <c:pt idx="53">
                  <c:v>345.43962204832934</c:v>
                </c:pt>
                <c:pt idx="54">
                  <c:v>361.48832971535211</c:v>
                </c:pt>
                <c:pt idx="55">
                  <c:v>377.52146392949658</c:v>
                </c:pt>
                <c:pt idx="56">
                  <c:v>393.53977906375007</c:v>
                </c:pt>
                <c:pt idx="57">
                  <c:v>409.5439630805858</c:v>
                </c:pt>
                <c:pt idx="58">
                  <c:v>425.53464579904562</c:v>
                </c:pt>
                <c:pt idx="59">
                  <c:v>441.51240585438296</c:v>
                </c:pt>
                <c:pt idx="60">
                  <c:v>457.47777659781076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1.96014993236136</c:v>
                </c:pt>
                <c:pt idx="2">
                  <c:v>2.4775160405281209</c:v>
                </c:pt>
                <c:pt idx="3">
                  <c:v>3.1319797684948303</c:v>
                </c:pt>
                <c:pt idx="4">
                  <c:v>3.9600066784226322</c:v>
                </c:pt>
                <c:pt idx="5">
                  <c:v>5.007795394723086</c:v>
                </c:pt>
                <c:pt idx="6">
                  <c:v>6.333883874761054</c:v>
                </c:pt>
                <c:pt idx="7">
                  <c:v>8.0124556544368684</c:v>
                </c:pt>
                <c:pt idx="8">
                  <c:v>10.137534576483057</c:v>
                </c:pt>
                <c:pt idx="9">
                  <c:v>12.828307401924713</c:v>
                </c:pt>
                <c:pt idx="10">
                  <c:v>16.235878368511603</c:v>
                </c:pt>
                <c:pt idx="11">
                  <c:v>20.55184192775501</c:v>
                </c:pt>
                <c:pt idx="12">
                  <c:v>26.019164312402776</c:v>
                </c:pt>
                <c:pt idx="13">
                  <c:v>32.94599729679296</c:v>
                </c:pt>
                <c:pt idx="14">
                  <c:v>41.723216192810504</c:v>
                </c:pt>
                <c:pt idx="15">
                  <c:v>52.846688541454519</c:v>
                </c:pt>
                <c:pt idx="16">
                  <c:v>49.463806478733012</c:v>
                </c:pt>
                <c:pt idx="17">
                  <c:v>61.475872033046677</c:v>
                </c:pt>
                <c:pt idx="18">
                  <c:v>73.426716806950182</c:v>
                </c:pt>
                <c:pt idx="19">
                  <c:v>85.327759379758788</c:v>
                </c:pt>
                <c:pt idx="20">
                  <c:v>97.186947730657849</c:v>
                </c:pt>
                <c:pt idx="21">
                  <c:v>109.01012081267713</c:v>
                </c:pt>
                <c:pt idx="22">
                  <c:v>120.80174223107004</c:v>
                </c:pt>
                <c:pt idx="23">
                  <c:v>132.56533017265937</c:v>
                </c:pt>
                <c:pt idx="24">
                  <c:v>144.30372578994692</c:v>
                </c:pt>
                <c:pt idx="25">
                  <c:v>156.01926925056657</c:v>
                </c:pt>
                <c:pt idx="26">
                  <c:v>134.43563419010655</c:v>
                </c:pt>
                <c:pt idx="27">
                  <c:v>150.93341116446777</c:v>
                </c:pt>
                <c:pt idx="28">
                  <c:v>167.38820339099874</c:v>
                </c:pt>
                <c:pt idx="29">
                  <c:v>183.80483419828113</c:v>
                </c:pt>
                <c:pt idx="30">
                  <c:v>200.18719337734296</c:v>
                </c:pt>
                <c:pt idx="31">
                  <c:v>216.53848121298577</c:v>
                </c:pt>
                <c:pt idx="32">
                  <c:v>232.86137470276239</c:v>
                </c:pt>
                <c:pt idx="33">
                  <c:v>249.15814460842003</c:v>
                </c:pt>
                <c:pt idx="34">
                  <c:v>265.43074021659646</c:v>
                </c:pt>
                <c:pt idx="35">
                  <c:v>281.68085219175731</c:v>
                </c:pt>
                <c:pt idx="36">
                  <c:v>230.71307522374721</c:v>
                </c:pt>
                <c:pt idx="37">
                  <c:v>248.64026798746931</c:v>
                </c:pt>
                <c:pt idx="38">
                  <c:v>266.53813956084741</c:v>
                </c:pt>
                <c:pt idx="39">
                  <c:v>284.40893566778828</c:v>
                </c:pt>
                <c:pt idx="40">
                  <c:v>302.25459669975913</c:v>
                </c:pt>
                <c:pt idx="41">
                  <c:v>320.07681518731692</c:v>
                </c:pt>
                <c:pt idx="42">
                  <c:v>337.87707978982075</c:v>
                </c:pt>
                <c:pt idx="43">
                  <c:v>355.65670952397585</c:v>
                </c:pt>
                <c:pt idx="44">
                  <c:v>373.41688078670535</c:v>
                </c:pt>
                <c:pt idx="45">
                  <c:v>391.15864896670217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115" zoomScaleNormal="115" workbookViewId="0">
      <selection activeCell="C40" sqref="C40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7" t="s">
        <v>292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3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3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3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3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3">
      <c r="B18" s="287" t="s">
        <v>293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3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3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3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3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3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3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3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3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3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3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3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3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3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workbookViewId="0">
      <selection activeCell="E12" sqref="E12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88" t="s">
        <v>190</v>
      </c>
      <c r="D1" s="288"/>
      <c r="E1" s="28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3" t="s">
        <v>192</v>
      </c>
      <c r="C3" s="294"/>
      <c r="D3" s="294"/>
      <c r="E3" s="294"/>
      <c r="F3" s="295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9" t="s">
        <v>231</v>
      </c>
      <c r="B5" s="299"/>
      <c r="C5" s="26">
        <v>6.56</v>
      </c>
      <c r="D5" s="300" t="s">
        <v>229</v>
      </c>
      <c r="E5" s="301"/>
      <c r="F5" s="97"/>
      <c r="G5" s="238"/>
      <c r="H5" s="239"/>
      <c r="I5" s="239" t="s">
        <v>322</v>
      </c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7" t="s">
        <v>226</v>
      </c>
      <c r="B7" s="297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0.19389312977099238</v>
      </c>
      <c r="D9" s="36">
        <f t="shared" ref="D9:D18" si="0">C9*$C$5</f>
        <v>1.2719389312977099</v>
      </c>
      <c r="E9" s="37">
        <v>129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36</v>
      </c>
      <c r="C10" s="35">
        <v>0.22900763358778625</v>
      </c>
      <c r="D10" s="36">
        <f t="shared" si="0"/>
        <v>1.5022900763358777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35</v>
      </c>
      <c r="C11" s="35">
        <v>6.106870229007634E-2</v>
      </c>
      <c r="D11" s="36">
        <f t="shared" si="0"/>
        <v>0.40061068702290076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0.23664122137404581</v>
      </c>
      <c r="D12" s="36">
        <f t="shared" si="0"/>
        <v>1.5523664122137404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36</v>
      </c>
      <c r="C13" s="35">
        <v>0.27938931297709924</v>
      </c>
      <c r="D13" s="36">
        <f t="shared" si="0"/>
        <v>1.8327938931297709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6.56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6" t="s">
        <v>232</v>
      </c>
      <c r="B22" s="296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8" t="s">
        <v>227</v>
      </c>
      <c r="B30" s="298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36</v>
      </c>
      <c r="B36" s="63">
        <v>131</v>
      </c>
      <c r="C36" s="53">
        <v>1</v>
      </c>
      <c r="D36" s="63">
        <v>36</v>
      </c>
      <c r="E36" s="286">
        <v>0</v>
      </c>
      <c r="F36" s="286">
        <v>0</v>
      </c>
      <c r="G36" s="286">
        <v>0</v>
      </c>
      <c r="H36" s="286">
        <v>1</v>
      </c>
      <c r="I36" s="52">
        <f>IFERROR(B36/A36,"")</f>
        <v>3.6388888888888888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42</v>
      </c>
      <c r="B37" s="63">
        <v>148</v>
      </c>
      <c r="C37" s="53">
        <v>2</v>
      </c>
      <c r="D37" s="63">
        <v>41</v>
      </c>
      <c r="E37" s="286">
        <v>0.3</v>
      </c>
      <c r="F37" s="286">
        <v>0</v>
      </c>
      <c r="G37" s="286">
        <v>0</v>
      </c>
      <c r="H37" s="286">
        <v>0.7</v>
      </c>
      <c r="I37" s="56">
        <f t="shared" ref="I37:I55" si="1">IF(A37&lt;&gt;0,(B37-(B36-D36))/(A37-A36),"")</f>
        <v>8.8333333333333339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48</v>
      </c>
      <c r="B38" s="63">
        <v>157</v>
      </c>
      <c r="C38" s="53">
        <v>3</v>
      </c>
      <c r="D38" s="63">
        <v>41</v>
      </c>
      <c r="E38" s="286">
        <v>0.3</v>
      </c>
      <c r="F38" s="286">
        <v>0</v>
      </c>
      <c r="G38" s="286">
        <v>0</v>
      </c>
      <c r="H38" s="286">
        <v>0.7</v>
      </c>
      <c r="I38" s="56">
        <f t="shared" si="1"/>
        <v>8.3333333333333339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54</v>
      </c>
      <c r="B39" s="63">
        <v>163</v>
      </c>
      <c r="C39" s="53">
        <v>4</v>
      </c>
      <c r="D39" s="63">
        <v>31</v>
      </c>
      <c r="E39" s="286">
        <v>0.3</v>
      </c>
      <c r="F39" s="286">
        <v>0</v>
      </c>
      <c r="G39" s="286">
        <v>0</v>
      </c>
      <c r="H39" s="286">
        <v>0.7</v>
      </c>
      <c r="I39" s="52">
        <f t="shared" si="1"/>
        <v>7.833333333333333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62</v>
      </c>
      <c r="B40" s="63">
        <v>193</v>
      </c>
      <c r="C40" s="53">
        <v>5</v>
      </c>
      <c r="D40" s="63">
        <v>39</v>
      </c>
      <c r="E40" s="286">
        <v>0.6</v>
      </c>
      <c r="F40" s="286">
        <v>0</v>
      </c>
      <c r="G40" s="286">
        <v>0</v>
      </c>
      <c r="H40" s="286">
        <v>0.4</v>
      </c>
      <c r="I40" s="52">
        <f t="shared" si="1"/>
        <v>7.625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220</v>
      </c>
      <c r="C41" s="53">
        <v>6</v>
      </c>
      <c r="D41" s="63">
        <v>53</v>
      </c>
      <c r="E41" s="286">
        <v>0.6</v>
      </c>
      <c r="F41" s="286">
        <v>0</v>
      </c>
      <c r="G41" s="286">
        <v>0</v>
      </c>
      <c r="H41" s="286">
        <v>0.40000000000000008</v>
      </c>
      <c r="I41" s="56">
        <f t="shared" si="1"/>
        <v>8.25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78</v>
      </c>
      <c r="B42" s="63">
        <v>227</v>
      </c>
      <c r="C42" s="53">
        <v>7</v>
      </c>
      <c r="D42" s="63">
        <v>42</v>
      </c>
      <c r="E42" s="286">
        <v>0.6</v>
      </c>
      <c r="F42" s="286">
        <v>0</v>
      </c>
      <c r="G42" s="286">
        <v>0</v>
      </c>
      <c r="H42" s="286">
        <v>0.4</v>
      </c>
      <c r="I42" s="56">
        <f t="shared" si="1"/>
        <v>7.5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87</v>
      </c>
      <c r="B43" s="63">
        <v>243</v>
      </c>
      <c r="C43" s="53">
        <v>8</v>
      </c>
      <c r="D43" s="63">
        <v>39</v>
      </c>
      <c r="E43" s="286">
        <v>0.6</v>
      </c>
      <c r="F43" s="286">
        <v>0</v>
      </c>
      <c r="G43" s="286">
        <v>0</v>
      </c>
      <c r="H43" s="286">
        <v>0.4</v>
      </c>
      <c r="I43" s="52">
        <f t="shared" si="1"/>
        <v>6.4444444444444446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97</v>
      </c>
      <c r="B44" s="63">
        <v>265</v>
      </c>
      <c r="C44" s="53">
        <v>9</v>
      </c>
      <c r="D44" s="63">
        <v>42</v>
      </c>
      <c r="E44" s="286">
        <v>0.6</v>
      </c>
      <c r="F44" s="286">
        <v>0</v>
      </c>
      <c r="G44" s="286">
        <v>0</v>
      </c>
      <c r="H44" s="286">
        <v>0.4</v>
      </c>
      <c r="I44" s="52">
        <f t="shared" si="1"/>
        <v>6.1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107</v>
      </c>
      <c r="B45" s="63">
        <v>287</v>
      </c>
      <c r="C45" s="53">
        <v>10</v>
      </c>
      <c r="D45" s="63">
        <v>46</v>
      </c>
      <c r="E45" s="286">
        <v>0.6</v>
      </c>
      <c r="F45" s="286">
        <v>0</v>
      </c>
      <c r="G45" s="286">
        <v>0</v>
      </c>
      <c r="H45" s="286">
        <v>0.4</v>
      </c>
      <c r="I45" s="52">
        <f t="shared" si="1"/>
        <v>6.4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117</v>
      </c>
      <c r="B46" s="63">
        <v>309</v>
      </c>
      <c r="C46" s="53">
        <v>11</v>
      </c>
      <c r="D46" s="63">
        <v>45</v>
      </c>
      <c r="E46" s="286">
        <v>0.6</v>
      </c>
      <c r="F46" s="286">
        <v>0</v>
      </c>
      <c r="G46" s="286">
        <v>0</v>
      </c>
      <c r="H46" s="286">
        <v>0.4</v>
      </c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129</v>
      </c>
      <c r="B47" s="63">
        <v>337</v>
      </c>
      <c r="C47" s="53">
        <v>12</v>
      </c>
      <c r="D47" s="63">
        <v>337</v>
      </c>
      <c r="E47" s="286">
        <v>0.6</v>
      </c>
      <c r="F47" s="286">
        <v>0</v>
      </c>
      <c r="G47" s="286">
        <v>0</v>
      </c>
      <c r="H47" s="286">
        <v>0.4</v>
      </c>
      <c r="I47" s="52">
        <f t="shared" si="1"/>
        <v>6.083333333333333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maritime</v>
      </c>
      <c r="D58" s="259" t="s">
        <v>308</v>
      </c>
      <c r="I58" s="25" t="s">
        <v>321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50.415004939257237</v>
      </c>
      <c r="C62" s="53">
        <v>1</v>
      </c>
      <c r="D62" s="63">
        <v>15.124501481777171</v>
      </c>
      <c r="E62" s="286">
        <v>0</v>
      </c>
      <c r="F62" s="286">
        <v>1</v>
      </c>
      <c r="G62" s="286">
        <v>0</v>
      </c>
      <c r="H62" s="286">
        <v>0</v>
      </c>
      <c r="I62" s="56">
        <f>IFERROR(B62/A62,"")</f>
        <v>3.361000329283816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155.33815305993591</v>
      </c>
      <c r="C63" s="53">
        <v>2</v>
      </c>
      <c r="D63" s="63">
        <v>46.601445917980769</v>
      </c>
      <c r="E63" s="286">
        <v>0.1</v>
      </c>
      <c r="F63" s="286">
        <v>0.8</v>
      </c>
      <c r="G63" s="286">
        <v>0</v>
      </c>
      <c r="H63" s="286">
        <v>0.1</v>
      </c>
      <c r="I63" s="52">
        <f>IF(A63&lt;&gt;0,(B63-(B62-D62))/(A63-A62),"")</f>
        <v>12.004764960245584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267.20200629275985</v>
      </c>
      <c r="C64" s="53">
        <v>3</v>
      </c>
      <c r="D64" s="63">
        <v>80.160601887827937</v>
      </c>
      <c r="E64" s="286">
        <v>0.3</v>
      </c>
      <c r="F64" s="286">
        <v>0.5</v>
      </c>
      <c r="G64" s="286">
        <v>0</v>
      </c>
      <c r="H64" s="286">
        <v>0.19999999999999998</v>
      </c>
      <c r="I64" s="52">
        <f>IF(A64&lt;&gt;0,(B64-(B63-D63))/(A64-A63),"")</f>
        <v>15.84652991508047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45</v>
      </c>
      <c r="B65" s="63">
        <v>350.0000355233642</v>
      </c>
      <c r="C65" s="53">
        <v>4</v>
      </c>
      <c r="D65" s="63">
        <v>350.0000355233642</v>
      </c>
      <c r="E65" s="286">
        <v>0.3</v>
      </c>
      <c r="F65" s="286">
        <v>0.5</v>
      </c>
      <c r="G65" s="286">
        <v>0</v>
      </c>
      <c r="H65" s="286">
        <v>0.2</v>
      </c>
      <c r="I65" s="52">
        <f>IF(A65&lt;&gt;0,(B65-(B64-D64))/(A65-A64),"")</f>
        <v>16.295863111843229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laricio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22</v>
      </c>
      <c r="B88" s="63">
        <v>123</v>
      </c>
      <c r="C88" s="53">
        <v>1</v>
      </c>
      <c r="D88" s="63">
        <v>16</v>
      </c>
      <c r="E88" s="286">
        <v>0.1</v>
      </c>
      <c r="F88" s="286">
        <v>0.8</v>
      </c>
      <c r="G88" s="286">
        <v>0</v>
      </c>
      <c r="H88" s="286">
        <v>0.1</v>
      </c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144</v>
      </c>
      <c r="C89" s="53">
        <v>2</v>
      </c>
      <c r="D89" s="63">
        <v>17</v>
      </c>
      <c r="E89" s="286">
        <v>0.3</v>
      </c>
      <c r="F89" s="286">
        <v>0.5</v>
      </c>
      <c r="G89" s="286">
        <v>0</v>
      </c>
      <c r="H89" s="286">
        <v>0.19999999999999998</v>
      </c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194</v>
      </c>
      <c r="C90" s="53">
        <v>3</v>
      </c>
      <c r="D90" s="63">
        <v>34</v>
      </c>
      <c r="E90" s="286">
        <v>0.3</v>
      </c>
      <c r="F90" s="286">
        <v>0.5</v>
      </c>
      <c r="G90" s="286">
        <v>0</v>
      </c>
      <c r="H90" s="286">
        <v>0.19999999999999998</v>
      </c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233</v>
      </c>
      <c r="C91" s="53">
        <v>4</v>
      </c>
      <c r="D91" s="63">
        <v>41</v>
      </c>
      <c r="E91" s="286">
        <v>0.3</v>
      </c>
      <c r="F91" s="286">
        <v>0.5</v>
      </c>
      <c r="G91" s="286">
        <v>0</v>
      </c>
      <c r="H91" s="286">
        <v>0.19999999999999998</v>
      </c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264</v>
      </c>
      <c r="C92" s="63">
        <v>5</v>
      </c>
      <c r="D92" s="63">
        <v>41</v>
      </c>
      <c r="E92" s="286">
        <v>0.3</v>
      </c>
      <c r="F92" s="286">
        <v>0.5</v>
      </c>
      <c r="G92" s="286">
        <v>0</v>
      </c>
      <c r="H92" s="286">
        <v>0.19999999999999998</v>
      </c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318</v>
      </c>
      <c r="C93" s="63">
        <v>6</v>
      </c>
      <c r="D93" s="63">
        <v>53</v>
      </c>
      <c r="E93" s="286">
        <v>0.3</v>
      </c>
      <c r="F93" s="286">
        <v>0.5</v>
      </c>
      <c r="G93" s="286">
        <v>0</v>
      </c>
      <c r="H93" s="286">
        <v>0.19999999999999998</v>
      </c>
      <c r="I93" s="56">
        <f t="shared" si="3"/>
        <v>19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352</v>
      </c>
      <c r="C94" s="63">
        <v>7</v>
      </c>
      <c r="D94" s="63">
        <v>53</v>
      </c>
      <c r="E94" s="93">
        <v>0.7</v>
      </c>
      <c r="F94" s="93">
        <v>0.3</v>
      </c>
      <c r="G94" s="93">
        <v>0</v>
      </c>
      <c r="H94" s="93">
        <v>0</v>
      </c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58</v>
      </c>
      <c r="B95" s="63">
        <v>440</v>
      </c>
      <c r="C95" s="63">
        <v>8</v>
      </c>
      <c r="D95" s="63">
        <v>78</v>
      </c>
      <c r="E95" s="93">
        <v>0.7</v>
      </c>
      <c r="F95" s="93">
        <v>0.3</v>
      </c>
      <c r="G95" s="93">
        <v>0</v>
      </c>
      <c r="H95" s="93">
        <v>0</v>
      </c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66</v>
      </c>
      <c r="B96" s="63">
        <v>495</v>
      </c>
      <c r="C96" s="63">
        <v>9</v>
      </c>
      <c r="D96" s="63">
        <v>65</v>
      </c>
      <c r="E96" s="93">
        <v>0.7</v>
      </c>
      <c r="F96" s="93">
        <v>0.3</v>
      </c>
      <c r="G96" s="93">
        <v>0</v>
      </c>
      <c r="H96" s="93">
        <v>0</v>
      </c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74</v>
      </c>
      <c r="B97" s="63">
        <v>533</v>
      </c>
      <c r="C97" s="63">
        <v>10</v>
      </c>
      <c r="D97" s="63">
        <v>37</v>
      </c>
      <c r="E97" s="93">
        <v>0.7</v>
      </c>
      <c r="F97" s="93">
        <v>0.3</v>
      </c>
      <c r="G97" s="93">
        <v>0</v>
      </c>
      <c r="H97" s="93">
        <v>0</v>
      </c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82</v>
      </c>
      <c r="B98" s="63">
        <v>567</v>
      </c>
      <c r="C98" s="63">
        <v>11</v>
      </c>
      <c r="D98" s="63">
        <v>567</v>
      </c>
      <c r="E98" s="93">
        <v>0.7</v>
      </c>
      <c r="F98" s="93">
        <v>0.3</v>
      </c>
      <c r="G98" s="93">
        <v>0</v>
      </c>
      <c r="H98" s="93">
        <v>0</v>
      </c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24.424960873773458</v>
      </c>
      <c r="C114" s="53">
        <v>1</v>
      </c>
      <c r="D114" s="63">
        <v>7.3274882621320367</v>
      </c>
      <c r="E114" s="286">
        <v>0</v>
      </c>
      <c r="F114" s="286">
        <v>1</v>
      </c>
      <c r="G114" s="286">
        <v>0</v>
      </c>
      <c r="H114" s="286">
        <v>0</v>
      </c>
      <c r="I114" s="56">
        <f>IFERROR(B114/A114,"")</f>
        <v>1.2212480436886728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75.493630318244357</v>
      </c>
      <c r="C115" s="53">
        <v>2</v>
      </c>
      <c r="D115" s="63">
        <v>15.098726063648872</v>
      </c>
      <c r="E115" s="286">
        <v>0</v>
      </c>
      <c r="F115" s="286">
        <v>1</v>
      </c>
      <c r="G115" s="286">
        <v>0</v>
      </c>
      <c r="H115" s="286">
        <v>0</v>
      </c>
      <c r="I115" s="56">
        <f t="shared" ref="I115:I133" si="4">IF(A115&lt;&gt;0,(B115-(B114-D114))/(A115-A114),"")</f>
        <v>5.8396157706602931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3">
        <v>160.76882827007191</v>
      </c>
      <c r="C116" s="53">
        <v>3</v>
      </c>
      <c r="D116" s="63">
        <v>32.153765654014386</v>
      </c>
      <c r="E116" s="286">
        <v>0.5</v>
      </c>
      <c r="F116" s="286">
        <v>0.5</v>
      </c>
      <c r="G116" s="286">
        <v>0</v>
      </c>
      <c r="H116" s="286">
        <v>0</v>
      </c>
      <c r="I116" s="56">
        <f t="shared" si="4"/>
        <v>10.037392401547642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60</v>
      </c>
      <c r="B117" s="63">
        <v>449.99997715771997</v>
      </c>
      <c r="C117" s="53">
        <v>4</v>
      </c>
      <c r="D117" s="63">
        <v>449.99997715771997</v>
      </c>
      <c r="E117" s="286">
        <v>0.7</v>
      </c>
      <c r="F117" s="286">
        <v>0.3</v>
      </c>
      <c r="G117" s="286">
        <v>0</v>
      </c>
      <c r="H117" s="286">
        <v>0</v>
      </c>
      <c r="I117" s="56">
        <f t="shared" si="4"/>
        <v>16.069245727083121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maritime</v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38.441125468439573</v>
      </c>
      <c r="C140" s="53">
        <v>1</v>
      </c>
      <c r="D140" s="63">
        <v>11.532337640531871</v>
      </c>
      <c r="E140" s="286">
        <v>0</v>
      </c>
      <c r="F140" s="286">
        <v>1</v>
      </c>
      <c r="G140" s="286">
        <v>0</v>
      </c>
      <c r="H140" s="286">
        <v>0</v>
      </c>
      <c r="I140" s="60">
        <f>IFERROR(B140/A140,"")</f>
        <v>2.5627416978959716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3">
        <v>116.93225579625344</v>
      </c>
      <c r="C141" s="53">
        <v>2</v>
      </c>
      <c r="D141" s="63">
        <v>29.233063949063361</v>
      </c>
      <c r="E141" s="286">
        <v>0.1</v>
      </c>
      <c r="F141" s="286">
        <v>0.8</v>
      </c>
      <c r="G141" s="286">
        <v>0</v>
      </c>
      <c r="H141" s="286">
        <v>0.1</v>
      </c>
      <c r="I141" s="60">
        <f t="shared" ref="I141:I159" si="5">IF(A141&lt;&gt;0,(B141-(B140-D140))/(A141-A140),"")</f>
        <v>9.0023467968345745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3">
        <v>214.31410367457565</v>
      </c>
      <c r="C142" s="53">
        <v>3</v>
      </c>
      <c r="D142" s="63">
        <v>53.578525918643912</v>
      </c>
      <c r="E142" s="286">
        <v>0.3</v>
      </c>
      <c r="F142" s="286">
        <v>0.5</v>
      </c>
      <c r="G142" s="286">
        <v>0</v>
      </c>
      <c r="H142" s="286">
        <v>0.2</v>
      </c>
      <c r="I142" s="60">
        <f t="shared" si="5"/>
        <v>12.661491182738557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45</v>
      </c>
      <c r="B143" s="63">
        <v>300.00003649240455</v>
      </c>
      <c r="C143" s="53">
        <v>4</v>
      </c>
      <c r="D143" s="63">
        <v>300.00003649240455</v>
      </c>
      <c r="E143" s="286">
        <v>0.3</v>
      </c>
      <c r="F143" s="286">
        <v>0.5</v>
      </c>
      <c r="G143" s="286">
        <v>0</v>
      </c>
      <c r="H143" s="286">
        <v>0.2</v>
      </c>
      <c r="I143" s="60">
        <f t="shared" si="5"/>
        <v>13.926445873647282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70" zoomScaleNormal="70" workbookViewId="0">
      <selection activeCell="D42" sqref="D42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3" t="s">
        <v>191</v>
      </c>
      <c r="C2" s="304"/>
      <c r="D2" s="304"/>
      <c r="E2" s="304"/>
      <c r="F2" s="304"/>
      <c r="G2" s="30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2"/>
      <c r="C4" s="302"/>
      <c r="D4" s="302"/>
      <c r="E4" s="302"/>
      <c r="F4" s="302"/>
      <c r="G4" s="30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0.3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0.7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="70" zoomScaleNormal="70" workbookViewId="0">
      <pane xSplit="1" ySplit="2" topLeftCell="AX27" activePane="bottomRight" state="frozen"/>
      <selection pane="topRight" activeCell="B1" sqref="B1"/>
      <selection pane="bottomLeft" activeCell="A3" sqref="A3"/>
      <selection pane="bottomRight" activeCell="A33" sqref="A33:XFD33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Chêne sessile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Pin maritime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Pin laricio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>Cèdre de l'Atlas</v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>Pin maritime</v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/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/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/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/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/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1.5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5.5</v>
      </c>
      <c r="H3" s="70">
        <f>(B3+E3+F3)*44/12+(C3+D3)*0.475*44/12</f>
        <v>234.66666666666666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229.16666666666666</v>
      </c>
      <c r="S3" s="62">
        <f ca="1">AVERAGE(OFFSET($R$3,0,0,'Données projet'!$E$9+1,1))-AVERAGE(OFFSET($H$3,0,0,'Données projet'!$E$9+1,1))</f>
        <v>387.16864229348823</v>
      </c>
      <c r="T3" s="62">
        <f>IF('Données projet'!E9&gt;30,$R$33-$H$33,LOOKUP('Données projet'!$E$9,$A$3:$A$203,R3:R203)-LOOKUP('Données projet'!$E$9,$A$3:$A$203,$H$3:$H$203))</f>
        <v>260.88002342542893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229.16666666666666</v>
      </c>
      <c r="AN3" s="62">
        <f ca="1">AVERAGE(OFFSET($AM$3,0,0,'Données projet'!$E$10+1,1))-AVERAGE(OFFSET($H$3,0,0,'Données projet'!$E$10+1,1))</f>
        <v>197.84745001458262</v>
      </c>
      <c r="AO3" s="62">
        <f>IF('Données projet'!E10&gt;30,$AM$33-$H$33,LOOKUP('Données projet'!$E$10,$A$3:$A$203,AM3:AM203)-LOOKUP('Données projet'!$E$10,$A$3:$A$203,$H$3:$H$203))</f>
        <v>290.24283321060068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229.16666666666666</v>
      </c>
      <c r="BI3" s="62">
        <f ca="1">AVERAGE(OFFSET($BH$3,0,0,'Données projet'!$E$11+1,1))-AVERAGE(OFFSET($H$3,0,0,'Données projet'!$E$11+1,1))</f>
        <v>377.49758296179459</v>
      </c>
      <c r="BJ3" s="62">
        <f>IF('Données projet'!E11&gt;30,$BH$33-$H$33,LOOKUP('Données projet'!$E$11,$A$3:$A$203,BH3:BH203)-LOOKUP('Données projet'!$E$11,$A$3:$A$203,$H$3:$H$203))</f>
        <v>297.9972591134441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229.16666666666666</v>
      </c>
      <c r="CD3" s="62">
        <f ca="1">AVERAGE(OFFSET($CC$3,0,0,'Données projet'!$E$12+1,1))-AVERAGE(OFFSET($H$3,0,0,'Données projet'!$E$12+1,1))</f>
        <v>163.77317062597106</v>
      </c>
      <c r="CE3" s="62">
        <f>IF('Données projet'!E12&gt;30,$CC$33-$H$33,LOOKUP('Données projet'!$E$12,$A$3:$A$203,CC3:CC203)-LOOKUP('Données projet'!$E$12,$A$3:$A$203,$H$3:$H$203))</f>
        <v>122.66073843071686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229.16666666666666</v>
      </c>
      <c r="CY3" s="62">
        <f ca="1">AVERAGE(OFFSET($CX$3,0,0,'Données projet'!$E$13+1,1))-AVERAGE(OFFSET($H$3,0,0,'Données projet'!$E$13+1,1))</f>
        <v>167.84261986874142</v>
      </c>
      <c r="CZ3" s="62">
        <f>IF('Données projet'!E13&gt;30,$CX$33-$H$33,LOOKUP('Données projet'!$E$13,$A$3:$A$203,CX3:CX203)-LOOKUP('Données projet'!$E$13,$A$3:$A$203,$H$3:$H$203))</f>
        <v>242.5860875239222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1.5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</v>
      </c>
      <c r="H4" s="70">
        <f t="shared" ref="H4:H67" si="1">(B4+E4+F4)*44/12+(C4+D4)*0.475*44/12</f>
        <v>234.66666666666666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3.6388888888888888</v>
      </c>
      <c r="N4" s="14">
        <f>IF('Données projet'!$A$36&gt;35,N3+M4-V3,IF(A4&lt;'Données projet'!$A$36,$K$205^A4,IF(A4='Données projet'!$A$36,'Données projet'!$B$36,N3+M4-V3)))</f>
        <v>3.6388888888888888</v>
      </c>
      <c r="O4" s="14">
        <f>N4*VLOOKUP('Données projet'!$B$9,Paramètres!$A$1:$I$88,3,0)*VLOOKUP('Données projet'!$B$9,Paramètres!$A$1:$I$88,5,0)</f>
        <v>3.2924666666666669</v>
      </c>
      <c r="P4" s="14">
        <f>EXP(-1.0587+0.8836*LN(O4)+0.284)</f>
        <v>1.3207905782168134</v>
      </c>
      <c r="Q4" s="22">
        <f t="shared" ref="Q4:Q34" si="2">(O4+P4)*0.475*44/12</f>
        <v>8.0347563681720615</v>
      </c>
      <c r="R4" s="62">
        <f t="shared" si="0"/>
        <v>238.90070877627144</v>
      </c>
      <c r="S4" s="62">
        <f ca="1">AVERAGE(OFFSET($R$3,0,0,'Données projet'!$E$9+1,1))-AVERAGE(OFFSET($H$3,0,0,'Données projet'!$E$9+1,1))</f>
        <v>387.16864229348823</v>
      </c>
      <c r="T4" s="62">
        <f>$T$3</f>
        <v>260.88002342542893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3.361000329283816</v>
      </c>
      <c r="AI4" s="14">
        <f>IF('Données projet'!$A$62&gt;35,AI3+AH4-AQ3,IF(A4&lt;'Données projet'!$A$62,$AF$205^A4,IF(A4='Données projet'!$A$62,'Données projet'!$B$62,AI3+AH4-AQ3)))</f>
        <v>1.2986854880443837</v>
      </c>
      <c r="AJ4" s="14">
        <f>AI4*VLOOKUP('Données projet'!$B$10,Paramètres!$A$1:$I$88,3,0)*VLOOKUP('Données projet'!$B$10,Paramètres!$A$1:$I$88,5,0)</f>
        <v>0.77661392185054157</v>
      </c>
      <c r="AK4" s="14">
        <f>EXP(-1.0587+0.8836*LN(AJ4)+0.284)</f>
        <v>0.36858474315968248</v>
      </c>
      <c r="AL4" s="22">
        <f t="shared" ref="AL4:AL67" si="4">(AJ4+AK4)*0.475*44/12</f>
        <v>1.9945543415594731</v>
      </c>
      <c r="AM4" s="62">
        <f t="shared" ref="AM4:AM67" si="5">AL4+(AD4+AE4)*44/12</f>
        <v>232.86050674965887</v>
      </c>
      <c r="AN4" s="62">
        <f ca="1">AVERAGE(OFFSET($AM$3,0,0,'Données projet'!$E$10+1,1))-AVERAGE(OFFSET($H$3,0,0,'Données projet'!$E$10+1,1))</f>
        <v>197.84745001458262</v>
      </c>
      <c r="AO4" s="62">
        <f>$AO$3</f>
        <v>290.24283321060068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projet'!$B$11,Paramètres!$A$1:$I$88,3,0)*VLOOKUP('Données projet'!$B$11,Paramètres!$A$1:$I$88,5,0)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232.78034994556191</v>
      </c>
      <c r="BI4" s="62">
        <f ca="1">AVERAGE(OFFSET($BH$3,0,0,'Données projet'!$E$11+1,1))-AVERAGE(OFFSET($H$3,0,0,'Données projet'!$E$11+1,1))</f>
        <v>377.49758296179459</v>
      </c>
      <c r="BJ4" s="62">
        <f>$BJ$3</f>
        <v>297.9972591134441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1.2212480436886728</v>
      </c>
      <c r="BY4" s="13">
        <f>IF('Données projet'!$A$114&gt;35,BY3+BX4-CG3,IF(A4&lt;'Données projet'!$A$114,$BV$205^A4,IF(A4='Données projet'!$A$114,'Données projet'!$B$114,BY3+BX4-CG3)))</f>
        <v>1.1732530552752831</v>
      </c>
      <c r="BZ4" s="14">
        <f>BY4*VLOOKUP('Données projet'!$B$12,Paramètres!$A$1:$I$88,3,0)*VLOOKUP('Données projet'!$B$12,Paramètres!$A$1:$I$88,5,0)</f>
        <v>0.54908242986883249</v>
      </c>
      <c r="CA4" s="14">
        <f>EXP(-1.0587+0.8836*LN(BZ4)+0.284)</f>
        <v>0.27132874204445379</v>
      </c>
      <c r="CB4" s="22">
        <f t="shared" ref="CB4:CB67" si="10">(BZ4+CA4)*0.475*44/12</f>
        <v>1.428882791082307</v>
      </c>
      <c r="CC4" s="62">
        <f t="shared" ref="CC4:CC67" si="11">CB4+(BT4+BU4)*44/12</f>
        <v>232.2948351991817</v>
      </c>
      <c r="CD4" s="62">
        <f ca="1">AVERAGE(OFFSET($CC$3,0,0,'Données projet'!$E$12+1,1))-AVERAGE(OFFSET($H$3,0,0,'Données projet'!$E$12+1,1))</f>
        <v>163.77317062597106</v>
      </c>
      <c r="CE4" s="62">
        <f>$CE$3</f>
        <v>122.66073843071686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2.5627416978959716</v>
      </c>
      <c r="CT4" s="13">
        <f>IF('Données projet'!$A$140&gt;35,CT3+CS4-DB3,IF(A4&lt;'Données projet'!$A$140,$CQ$205^A4,IF(A4='Données projet'!$A$140,'Données projet'!$B$140,CT3+CS4-DB3)))</f>
        <v>1.2754195595792377</v>
      </c>
      <c r="CU4" s="18">
        <f>CT4*VLOOKUP('Données projet'!$B$13,Paramètres!$A$1:$I$88,3,0)*VLOOKUP('Données projet'!$B$13,Paramètres!$A$1:$I$88,5,0)</f>
        <v>0.76270089662838414</v>
      </c>
      <c r="CV4" s="14">
        <f>EXP(-1.0587+0.8836*LN(CU4)+0.284)</f>
        <v>0.36274404061258825</v>
      </c>
      <c r="CW4" s="22">
        <f t="shared" ref="CW4:CW67" si="13">(CU4+CV4)*0.475*44/12</f>
        <v>1.96014993236136</v>
      </c>
      <c r="CX4" s="62">
        <f t="shared" ref="CX4:CX67" si="14">CW4+(CO4+CP4)*44/12</f>
        <v>232.82610234046075</v>
      </c>
      <c r="CY4" s="62">
        <f ca="1">AVERAGE(OFFSET($CX$3,0,0,'Données projet'!$E$13+1,1))-AVERAGE(OFFSET($H$3,0,0,'Données projet'!$E$13+1,1))</f>
        <v>167.84261986874142</v>
      </c>
      <c r="CZ4" s="62">
        <f>$CZ$3</f>
        <v>242.5860875239222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1.5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5.5</v>
      </c>
      <c r="H5" s="70">
        <f t="shared" si="1"/>
        <v>234.66666666666666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3.6388888888888888</v>
      </c>
      <c r="N5" s="14">
        <f>IF('Données projet'!$A$36&gt;35,N4+M5-V4,IF(A5&lt;'Données projet'!$A$36,$K$205^A5,IF(A5='Données projet'!$A$36,'Données projet'!$B$36,N4+M5-V4)))</f>
        <v>7.2777777777777777</v>
      </c>
      <c r="O5" s="14">
        <f>N5*VLOOKUP('Données projet'!$B$9,Paramètres!$A$1:$I$88,3,0)*VLOOKUP('Données projet'!$B$9,Paramètres!$A$1:$I$88,5,0)</f>
        <v>6.5849333333333337</v>
      </c>
      <c r="P5" s="14">
        <f t="shared" ref="P5:P68" si="33">EXP(-1.0587+0.8836*LN(O5)+0.284)</f>
        <v>2.4368234562405915</v>
      </c>
      <c r="Q5" s="22">
        <f t="shared" si="2"/>
        <v>15.712893075174582</v>
      </c>
      <c r="R5" s="62">
        <f t="shared" si="0"/>
        <v>248.2698552392026</v>
      </c>
      <c r="S5" s="62">
        <f ca="1">AVERAGE(OFFSET($R$3,0,0,'Données projet'!$E$9+1,1))-AVERAGE(OFFSET($H$3,0,0,'Données projet'!$E$9+1,1))</f>
        <v>387.16864229348823</v>
      </c>
      <c r="T5" s="62">
        <f t="shared" ref="T5:T68" si="34">$T$3</f>
        <v>260.88002342542893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3.361000329283816</v>
      </c>
      <c r="AI5" s="14">
        <f>IF('Données projet'!$A$62&gt;35,AI4+AH5-AQ4,IF(A5&lt;'Données projet'!$A$62,$AF$205^A5,IF(A5='Données projet'!$A$62,'Données projet'!$B$62,AI4+AH5-AQ4)))</f>
        <v>1.686583996857079</v>
      </c>
      <c r="AJ5" s="14">
        <f>AI5*VLOOKUP('Données projet'!$B$10,Paramètres!$A$1:$I$88,3,0)*VLOOKUP('Données projet'!$B$10,Paramètres!$A$1:$I$88,5,0)</f>
        <v>1.0085772301205334</v>
      </c>
      <c r="AK5" s="14">
        <f t="shared" ref="AK5:AK68" si="35">EXP(-1.0587+0.8836*LN(AJ5)+0.284)</f>
        <v>0.46433292302231594</v>
      </c>
      <c r="AL5" s="22">
        <f t="shared" si="4"/>
        <v>2.5653185167237957</v>
      </c>
      <c r="AM5" s="62">
        <f t="shared" si="5"/>
        <v>235.12228068075183</v>
      </c>
      <c r="AN5" s="62">
        <f ca="1">AVERAGE(OFFSET($AM$3,0,0,'Données projet'!$E$10+1,1))-AVERAGE(OFFSET($H$3,0,0,'Données projet'!$E$10+1,1))</f>
        <v>197.84745001458262</v>
      </c>
      <c r="AO5" s="62">
        <f t="shared" ref="AO5:AO68" si="36">$AO$3</f>
        <v>290.24283321060068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projet'!$B$11,Paramètres!$A$1:$I$88,3,0)*VLOOKUP('Données projet'!$B$11,Paramètres!$A$1:$I$88,5,0)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234.92009228638818</v>
      </c>
      <c r="BI5" s="62">
        <f ca="1">AVERAGE(OFFSET($BH$3,0,0,'Données projet'!$E$11+1,1))-AVERAGE(OFFSET($H$3,0,0,'Données projet'!$E$11+1,1))</f>
        <v>377.49758296179459</v>
      </c>
      <c r="BJ5" s="62">
        <f t="shared" ref="BJ5:BJ68" si="38">$BJ$3</f>
        <v>297.9972591134441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1.2212480436886728</v>
      </c>
      <c r="BY5" s="13">
        <f>IF('Données projet'!$A$114&gt;35,BY4+BX5-CG4,IF(A5&lt;'Données projet'!$A$114,$BV$205^A5,IF(A5='Données projet'!$A$114,'Données projet'!$B$114,BY4+BX5-CG4)))</f>
        <v>1.3765227317127866</v>
      </c>
      <c r="BZ5" s="14">
        <f>BY5*VLOOKUP('Données projet'!$B$12,Paramètres!$A$1:$I$88,3,0)*VLOOKUP('Données projet'!$B$12,Paramètres!$A$1:$I$88,5,0)</f>
        <v>0.64421263844158416</v>
      </c>
      <c r="CA5" s="14">
        <f t="shared" ref="CA5:CA68" si="39">EXP(-1.0587+0.8836*LN(BZ5)+0.284)</f>
        <v>0.31247142069303108</v>
      </c>
      <c r="CB5" s="22">
        <f t="shared" si="10"/>
        <v>1.6662247363261216</v>
      </c>
      <c r="CC5" s="62">
        <f t="shared" si="11"/>
        <v>234.22318690035414</v>
      </c>
      <c r="CD5" s="62">
        <f ca="1">AVERAGE(OFFSET($CC$3,0,0,'Données projet'!$E$12+1,1))-AVERAGE(OFFSET($H$3,0,0,'Données projet'!$E$12+1,1))</f>
        <v>163.77317062597106</v>
      </c>
      <c r="CE5" s="62">
        <f t="shared" ref="CE5:CE68" si="40">$CE$3</f>
        <v>122.66073843071686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2.5627416978959716</v>
      </c>
      <c r="CT5" s="13">
        <f>IF('Données projet'!$A$140&gt;35,CT4+CS5-DB4,IF(A5&lt;'Données projet'!$A$140,$CQ$205^A5,IF(A5='Données projet'!$A$140,'Données projet'!$B$140,CT4+CS5-DB4)))</f>
        <v>1.6266950529572966</v>
      </c>
      <c r="CU5" s="18">
        <f>CT5*VLOOKUP('Données projet'!$B$13,Paramètres!$A$1:$I$88,3,0)*VLOOKUP('Données projet'!$B$13,Paramètres!$A$1:$I$88,5,0)</f>
        <v>0.9727636416684633</v>
      </c>
      <c r="CV5" s="14">
        <f t="shared" ref="CV5:CV68" si="41">EXP(-1.0587+0.8836*LN(CU5)+0.284)</f>
        <v>0.44973360648165406</v>
      </c>
      <c r="CW5" s="22">
        <f t="shared" si="13"/>
        <v>2.4775160405281209</v>
      </c>
      <c r="CX5" s="62">
        <f t="shared" si="14"/>
        <v>235.03447820455614</v>
      </c>
      <c r="CY5" s="62">
        <f ca="1">AVERAGE(OFFSET($CX$3,0,0,'Données projet'!$E$13+1,1))-AVERAGE(OFFSET($H$3,0,0,'Données projet'!$E$13+1,1))</f>
        <v>167.84261986874142</v>
      </c>
      <c r="CZ5" s="62">
        <f t="shared" ref="CZ5:CZ68" si="42">$CZ$3</f>
        <v>242.5860875239222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1.5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5.5</v>
      </c>
      <c r="H6" s="70">
        <f t="shared" si="1"/>
        <v>234.66666666666666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3.6388888888888888</v>
      </c>
      <c r="N6" s="14">
        <f>IF('Données projet'!$A$36&gt;35,N5+M6-V5,IF(A6&lt;'Données projet'!$A$36,$K$205^A6,IF(A6='Données projet'!$A$36,'Données projet'!$B$36,N5+M6-V5)))</f>
        <v>10.916666666666666</v>
      </c>
      <c r="O6" s="14">
        <f>N6*VLOOKUP('Données projet'!$B$9,Paramètres!$A$1:$I$88,3,0)*VLOOKUP('Données projet'!$B$9,Paramètres!$A$1:$I$88,5,0)</f>
        <v>9.8773999999999997</v>
      </c>
      <c r="P6" s="14">
        <f t="shared" si="33"/>
        <v>3.4867298752956057</v>
      </c>
      <c r="Q6" s="22">
        <f t="shared" si="2"/>
        <v>23.275859532806511</v>
      </c>
      <c r="R6" s="62">
        <f t="shared" si="0"/>
        <v>257.51569903710532</v>
      </c>
      <c r="S6" s="62">
        <f ca="1">AVERAGE(OFFSET($R$3,0,0,'Données projet'!$E$9+1,1))-AVERAGE(OFFSET($H$3,0,0,'Données projet'!$E$9+1,1))</f>
        <v>387.16864229348823</v>
      </c>
      <c r="T6" s="62">
        <f t="shared" si="34"/>
        <v>260.88002342542893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3.361000329283816</v>
      </c>
      <c r="AI6" s="14">
        <f>IF('Données projet'!$A$62&gt;35,AI5+AH6-AQ5,IF(A6&lt;'Données projet'!$A$62,$AF$205^A6,IF(A6='Données projet'!$A$62,'Données projet'!$B$62,AI5+AH6-AQ5)))</f>
        <v>2.1903421610861828</v>
      </c>
      <c r="AJ6" s="14">
        <f>AI6*VLOOKUP('Données projet'!$B$10,Paramètres!$A$1:$I$88,3,0)*VLOOKUP('Données projet'!$B$10,Paramètres!$A$1:$I$88,5,0)</f>
        <v>1.3098246123295374</v>
      </c>
      <c r="AK6" s="14">
        <f t="shared" si="35"/>
        <v>0.5849538468526384</v>
      </c>
      <c r="AL6" s="22">
        <f t="shared" si="4"/>
        <v>3.3000724830756227</v>
      </c>
      <c r="AM6" s="62">
        <f t="shared" si="5"/>
        <v>237.53991198737444</v>
      </c>
      <c r="AN6" s="62">
        <f ca="1">AVERAGE(OFFSET($AM$3,0,0,'Données projet'!$E$10+1,1))-AVERAGE(OFFSET($H$3,0,0,'Données projet'!$E$10+1,1))</f>
        <v>197.84745001458262</v>
      </c>
      <c r="AO6" s="62">
        <f t="shared" si="36"/>
        <v>290.24283321060068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projet'!$B$11,Paramètres!$A$1:$I$88,3,0)*VLOOKUP('Données projet'!$B$11,Paramètres!$A$1:$I$88,5,0)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237.15729432817085</v>
      </c>
      <c r="BI6" s="62">
        <f ca="1">AVERAGE(OFFSET($BH$3,0,0,'Données projet'!$E$11+1,1))-AVERAGE(OFFSET($H$3,0,0,'Données projet'!$E$11+1,1))</f>
        <v>377.49758296179459</v>
      </c>
      <c r="BJ6" s="62">
        <f t="shared" si="38"/>
        <v>297.9972591134441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1.2212480436886728</v>
      </c>
      <c r="BY6" s="13">
        <f>IF('Données projet'!$A$114&gt;35,BY5+BX6-CG5,IF(A6&lt;'Données projet'!$A$114,$BV$205^A6,IF(A6='Données projet'!$A$114,'Données projet'!$B$114,BY5+BX6-CG5)))</f>
        <v>1.6150095006379057</v>
      </c>
      <c r="BZ6" s="14">
        <f>BY6*VLOOKUP('Données projet'!$B$12,Paramètres!$A$1:$I$88,3,0)*VLOOKUP('Données projet'!$B$12,Paramètres!$A$1:$I$88,5,0)</f>
        <v>0.75582444629853995</v>
      </c>
      <c r="CA6" s="14">
        <f t="shared" si="39"/>
        <v>0.35985273072885299</v>
      </c>
      <c r="CB6" s="22">
        <f t="shared" si="10"/>
        <v>1.9431377499893758</v>
      </c>
      <c r="CC6" s="62">
        <f t="shared" si="11"/>
        <v>236.1829772542882</v>
      </c>
      <c r="CD6" s="62">
        <f ca="1">AVERAGE(OFFSET($CC$3,0,0,'Données projet'!$E$12+1,1))-AVERAGE(OFFSET($H$3,0,0,'Données projet'!$E$12+1,1))</f>
        <v>163.77317062597106</v>
      </c>
      <c r="CE6" s="62">
        <f t="shared" si="40"/>
        <v>122.66073843071686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2.5627416978959716</v>
      </c>
      <c r="CT6" s="13">
        <f>IF('Données projet'!$A$140&gt;35,CT5+CS6-DB5,IF(A6&lt;'Données projet'!$A$140,$CQ$205^A6,IF(A6='Données projet'!$A$140,'Données projet'!$B$140,CT5+CS6-DB5)))</f>
        <v>2.0747186880125197</v>
      </c>
      <c r="CU6" s="18">
        <f>CT6*VLOOKUP('Données projet'!$B$13,Paramètres!$A$1:$I$88,3,0)*VLOOKUP('Données projet'!$B$13,Paramètres!$A$1:$I$88,5,0)</f>
        <v>1.2406817754314867</v>
      </c>
      <c r="CV6" s="14">
        <f t="shared" si="41"/>
        <v>0.55758412035501903</v>
      </c>
      <c r="CW6" s="22">
        <f t="shared" si="13"/>
        <v>3.1319797684948303</v>
      </c>
      <c r="CX6" s="62">
        <f t="shared" si="14"/>
        <v>237.37181927279366</v>
      </c>
      <c r="CY6" s="62">
        <f ca="1">AVERAGE(OFFSET($CX$3,0,0,'Données projet'!$E$13+1,1))-AVERAGE(OFFSET($H$3,0,0,'Données projet'!$E$13+1,1))</f>
        <v>167.84261986874142</v>
      </c>
      <c r="CZ6" s="62">
        <f t="shared" si="42"/>
        <v>242.5860875239222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1.5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5.5</v>
      </c>
      <c r="H7" s="70">
        <f t="shared" si="1"/>
        <v>234.66666666666666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3.6388888888888888</v>
      </c>
      <c r="N7" s="14">
        <f>IF('Données projet'!$A$36&gt;35,N6+M7-V6,IF(A7&lt;'Données projet'!$A$36,$K$205^A7,IF(A7='Données projet'!$A$36,'Données projet'!$B$36,N6+M7-V6)))</f>
        <v>14.555555555555555</v>
      </c>
      <c r="O7" s="14">
        <f>N7*VLOOKUP('Données projet'!$B$9,Paramètres!$A$1:$I$88,3,0)*VLOOKUP('Données projet'!$B$9,Paramètres!$A$1:$I$88,5,0)</f>
        <v>13.169866666666667</v>
      </c>
      <c r="P7" s="14">
        <f t="shared" si="33"/>
        <v>4.4958744064492988</v>
      </c>
      <c r="Q7" s="22">
        <f t="shared" si="2"/>
        <v>30.767832369010307</v>
      </c>
      <c r="R7" s="62">
        <f t="shared" si="0"/>
        <v>266.68255787715225</v>
      </c>
      <c r="S7" s="62">
        <f ca="1">AVERAGE(OFFSET($R$3,0,0,'Données projet'!$E$9+1,1))-AVERAGE(OFFSET($H$3,0,0,'Données projet'!$E$9+1,1))</f>
        <v>387.16864229348823</v>
      </c>
      <c r="T7" s="62">
        <f t="shared" si="34"/>
        <v>260.88002342542893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3.361000329283816</v>
      </c>
      <c r="AI7" s="14">
        <f>IF('Données projet'!$A$62&gt;35,AI6+AH7-AQ6,IF(A7&lt;'Données projet'!$A$62,$AF$205^A7,IF(A7='Données projet'!$A$62,'Données projet'!$B$62,AI6+AH7-AQ6)))</f>
        <v>2.8445655784543997</v>
      </c>
      <c r="AJ7" s="14">
        <f>AI7*VLOOKUP('Données projet'!$B$10,Paramètres!$A$1:$I$88,3,0)*VLOOKUP('Données projet'!$B$10,Paramètres!$A$1:$I$88,5,0)</f>
        <v>1.701050215915731</v>
      </c>
      <c r="AK7" s="14">
        <f t="shared" si="35"/>
        <v>0.73690876951074014</v>
      </c>
      <c r="AL7" s="22">
        <f t="shared" si="4"/>
        <v>4.2461118996177705</v>
      </c>
      <c r="AM7" s="62">
        <f t="shared" si="5"/>
        <v>240.16083740775974</v>
      </c>
      <c r="AN7" s="62">
        <f ca="1">AVERAGE(OFFSET($AM$3,0,0,'Données projet'!$E$10+1,1))-AVERAGE(OFFSET($H$3,0,0,'Données projet'!$E$10+1,1))</f>
        <v>197.84745001458262</v>
      </c>
      <c r="AO7" s="62">
        <f t="shared" si="36"/>
        <v>290.24283321060068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projet'!$B$11,Paramètres!$A$1:$I$88,3,0)*VLOOKUP('Données projet'!$B$11,Paramètres!$A$1:$I$88,5,0)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239.51703535464273</v>
      </c>
      <c r="BI7" s="62">
        <f ca="1">AVERAGE(OFFSET($BH$3,0,0,'Données projet'!$E$11+1,1))-AVERAGE(OFFSET($H$3,0,0,'Données projet'!$E$11+1,1))</f>
        <v>377.49758296179459</v>
      </c>
      <c r="BJ7" s="62">
        <f t="shared" si="38"/>
        <v>297.9972591134441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1.2212480436886728</v>
      </c>
      <c r="BY7" s="13">
        <f>IF('Données projet'!$A$114&gt;35,BY6+BX7-CG6,IF(A7&lt;'Données projet'!$A$114,$BV$205^A7,IF(A7='Données projet'!$A$114,'Données projet'!$B$114,BY6+BX7-CG6)))</f>
        <v>1.8948148309220323</v>
      </c>
      <c r="BZ7" s="14">
        <f>BY7*VLOOKUP('Données projet'!$B$12,Paramètres!$A$1:$I$88,3,0)*VLOOKUP('Données projet'!$B$12,Paramètres!$A$1:$I$88,5,0)</f>
        <v>0.88677334087151116</v>
      </c>
      <c r="CA7" s="14">
        <f t="shared" si="39"/>
        <v>0.41441866115565806</v>
      </c>
      <c r="CB7" s="22">
        <f t="shared" si="10"/>
        <v>2.2662427368639864</v>
      </c>
      <c r="CC7" s="62">
        <f t="shared" si="11"/>
        <v>238.18096824500594</v>
      </c>
      <c r="CD7" s="62">
        <f ca="1">AVERAGE(OFFSET($CC$3,0,0,'Données projet'!$E$12+1,1))-AVERAGE(OFFSET($H$3,0,0,'Données projet'!$E$12+1,1))</f>
        <v>163.77317062597106</v>
      </c>
      <c r="CE7" s="62">
        <f t="shared" si="40"/>
        <v>122.66073843071686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2.5627416978959716</v>
      </c>
      <c r="CT7" s="13">
        <f>IF('Données projet'!$A$140&gt;35,CT6+CS7-DB6,IF(A7&lt;'Données projet'!$A$140,$CQ$205^A7,IF(A7='Données projet'!$A$140,'Données projet'!$B$140,CT6+CS7-DB6)))</f>
        <v>2.646136795315742</v>
      </c>
      <c r="CU7" s="18">
        <f>CT7*VLOOKUP('Données projet'!$B$13,Paramètres!$A$1:$I$88,3,0)*VLOOKUP('Données projet'!$B$13,Paramètres!$A$1:$I$88,5,0)</f>
        <v>1.5823898035988138</v>
      </c>
      <c r="CV7" s="14">
        <f t="shared" si="41"/>
        <v>0.69129824142853524</v>
      </c>
      <c r="CW7" s="22">
        <f t="shared" si="13"/>
        <v>3.9600066784226322</v>
      </c>
      <c r="CX7" s="62">
        <f t="shared" si="14"/>
        <v>239.87473218656461</v>
      </c>
      <c r="CY7" s="62">
        <f ca="1">AVERAGE(OFFSET($CX$3,0,0,'Données projet'!$E$13+1,1))-AVERAGE(OFFSET($H$3,0,0,'Données projet'!$E$13+1,1))</f>
        <v>167.84261986874142</v>
      </c>
      <c r="CZ7" s="62">
        <f t="shared" si="42"/>
        <v>242.5860875239222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1.5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5.5</v>
      </c>
      <c r="H8" s="70">
        <f t="shared" si="1"/>
        <v>234.66666666666666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3.6388888888888888</v>
      </c>
      <c r="N8" s="14">
        <f>IF('Données projet'!$A$36&gt;35,N7+M8-V7,IF(A8&lt;'Données projet'!$A$36,$K$205^A8,IF(A8='Données projet'!$A$36,'Données projet'!$B$36,N7+M8-V7)))</f>
        <v>18.194444444444443</v>
      </c>
      <c r="O8" s="14">
        <f>N8*VLOOKUP('Données projet'!$B$9,Paramètres!$A$1:$I$88,3,0)*VLOOKUP('Données projet'!$B$9,Paramètres!$A$1:$I$88,5,0)</f>
        <v>16.46233333333333</v>
      </c>
      <c r="P8" s="14">
        <f t="shared" si="33"/>
        <v>5.4757531048150545</v>
      </c>
      <c r="Q8" s="22">
        <f t="shared" si="2"/>
        <v>38.208833879775106</v>
      </c>
      <c r="R8" s="62">
        <f t="shared" si="0"/>
        <v>275.79059268715378</v>
      </c>
      <c r="S8" s="62">
        <f ca="1">AVERAGE(OFFSET($R$3,0,0,'Données projet'!$E$9+1,1))-AVERAGE(OFFSET($H$3,0,0,'Données projet'!$E$9+1,1))</f>
        <v>387.16864229348823</v>
      </c>
      <c r="T8" s="62">
        <f t="shared" si="34"/>
        <v>260.88002342542893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3.361000329283816</v>
      </c>
      <c r="AI8" s="14">
        <f>IF('Données projet'!$A$62&gt;35,AI7+AH8-AQ7,IF(A8&lt;'Données projet'!$A$62,$AF$205^A8,IF(A8='Données projet'!$A$62,'Données projet'!$B$62,AI7+AH8-AQ7)))</f>
        <v>3.6941960365293065</v>
      </c>
      <c r="AJ8" s="14">
        <f>AI8*VLOOKUP('Données projet'!$B$10,Paramètres!$A$1:$I$88,3,0)*VLOOKUP('Données projet'!$B$10,Paramètres!$A$1:$I$88,5,0)</f>
        <v>2.2091292298445255</v>
      </c>
      <c r="AK8" s="14">
        <f t="shared" si="35"/>
        <v>0.9283374021790719</v>
      </c>
      <c r="AL8" s="22">
        <f t="shared" si="4"/>
        <v>5.4644210507744324</v>
      </c>
      <c r="AM8" s="62">
        <f t="shared" si="5"/>
        <v>243.04617985815312</v>
      </c>
      <c r="AN8" s="62">
        <f ca="1">AVERAGE(OFFSET($AM$3,0,0,'Données projet'!$E$10+1,1))-AVERAGE(OFFSET($H$3,0,0,'Données projet'!$E$10+1,1))</f>
        <v>197.84745001458262</v>
      </c>
      <c r="AO8" s="62">
        <f t="shared" si="36"/>
        <v>290.24283321060068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projet'!$B$11,Paramètres!$A$1:$I$88,3,0)*VLOOKUP('Données projet'!$B$11,Paramètres!$A$1:$I$88,5,0)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242.030302167077</v>
      </c>
      <c r="BI8" s="62">
        <f ca="1">AVERAGE(OFFSET($BH$3,0,0,'Données projet'!$E$11+1,1))-AVERAGE(OFFSET($H$3,0,0,'Données projet'!$E$11+1,1))</f>
        <v>377.49758296179459</v>
      </c>
      <c r="BJ8" s="62">
        <f t="shared" si="38"/>
        <v>297.9972591134441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1.2212480436886728</v>
      </c>
      <c r="BY8" s="13">
        <f>IF('Données projet'!$A$114&gt;35,BY7+BX8-CG7,IF(A8&lt;'Données projet'!$A$114,$BV$205^A8,IF(A8='Données projet'!$A$114,'Données projet'!$B$114,BY7+BX8-CG7)))</f>
        <v>2.2230972895601933</v>
      </c>
      <c r="BZ8" s="14">
        <f>BY8*VLOOKUP('Données projet'!$B$12,Paramètres!$A$1:$I$88,3,0)*VLOOKUP('Données projet'!$B$12,Paramètres!$A$1:$I$88,5,0)</f>
        <v>1.0404095315141704</v>
      </c>
      <c r="CA8" s="14">
        <f t="shared" si="39"/>
        <v>0.47725864513018079</v>
      </c>
      <c r="CB8" s="22">
        <f t="shared" si="10"/>
        <v>2.6432720743222449</v>
      </c>
      <c r="CC8" s="62">
        <f t="shared" si="11"/>
        <v>240.22503088170095</v>
      </c>
      <c r="CD8" s="62">
        <f ca="1">AVERAGE(OFFSET($CC$3,0,0,'Données projet'!$E$12+1,1))-AVERAGE(OFFSET($H$3,0,0,'Données projet'!$E$12+1,1))</f>
        <v>163.77317062597106</v>
      </c>
      <c r="CE8" s="62">
        <f t="shared" si="40"/>
        <v>122.66073843071686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2.5627416978959716</v>
      </c>
      <c r="CT8" s="13">
        <f>IF('Données projet'!$A$140&gt;35,CT7+CS8-DB7,IF(A8&lt;'Données projet'!$A$140,$CQ$205^A8,IF(A8='Données projet'!$A$140,'Données projet'!$B$140,CT7+CS8-DB7)))</f>
        <v>3.3749346260680189</v>
      </c>
      <c r="CU8" s="18">
        <f>CT8*VLOOKUP('Données projet'!$B$13,Paramètres!$A$1:$I$88,3,0)*VLOOKUP('Données projet'!$B$13,Paramètres!$A$1:$I$88,5,0)</f>
        <v>2.0182109063886755</v>
      </c>
      <c r="CV8" s="14">
        <f t="shared" si="41"/>
        <v>0.85707831546190072</v>
      </c>
      <c r="CW8" s="22">
        <f t="shared" si="13"/>
        <v>5.007795394723086</v>
      </c>
      <c r="CX8" s="62">
        <f t="shared" si="14"/>
        <v>242.58955420210177</v>
      </c>
      <c r="CY8" s="62">
        <f ca="1">AVERAGE(OFFSET($CX$3,0,0,'Données projet'!$E$13+1,1))-AVERAGE(OFFSET($H$3,0,0,'Données projet'!$E$13+1,1))</f>
        <v>167.84261986874142</v>
      </c>
      <c r="CZ8" s="62">
        <f t="shared" si="42"/>
        <v>242.5860875239222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1.5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5.5</v>
      </c>
      <c r="H9" s="70">
        <f t="shared" si="1"/>
        <v>234.66666666666666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3.6388888888888888</v>
      </c>
      <c r="N9" s="14">
        <f>IF('Données projet'!$A$36&gt;35,N8+M9-V8,IF(A9&lt;'Données projet'!$A$36,$K$205^A9,IF(A9='Données projet'!$A$36,'Données projet'!$B$36,N8+M9-V8)))</f>
        <v>21.833333333333332</v>
      </c>
      <c r="O9" s="14">
        <f>N9*VLOOKUP('Données projet'!$B$9,Paramètres!$A$1:$I$88,3,0)*VLOOKUP('Données projet'!$B$9,Paramètres!$A$1:$I$88,5,0)</f>
        <v>19.754799999999999</v>
      </c>
      <c r="P9" s="14">
        <f t="shared" si="33"/>
        <v>6.4329238002032598</v>
      </c>
      <c r="Q9" s="22">
        <f t="shared" si="2"/>
        <v>45.610285618687335</v>
      </c>
      <c r="R9" s="62">
        <f t="shared" si="0"/>
        <v>284.85136124756502</v>
      </c>
      <c r="S9" s="62">
        <f ca="1">AVERAGE(OFFSET($R$3,0,0,'Données projet'!$E$9+1,1))-AVERAGE(OFFSET($H$3,0,0,'Données projet'!$E$9+1,1))</f>
        <v>387.16864229348823</v>
      </c>
      <c r="T9" s="62">
        <f t="shared" si="34"/>
        <v>260.88002342542893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3.361000329283816</v>
      </c>
      <c r="AI9" s="14">
        <f>IF('Données projet'!$A$62&gt;35,AI8+AH9-AQ8,IF(A9&lt;'Données projet'!$A$62,$AF$205^A9,IF(A9='Données projet'!$A$62,'Données projet'!$B$62,AI8+AH9-AQ8)))</f>
        <v>4.7975987826316908</v>
      </c>
      <c r="AJ9" s="14">
        <f>AI9*VLOOKUP('Données projet'!$B$10,Paramètres!$A$1:$I$88,3,0)*VLOOKUP('Données projet'!$B$10,Paramètres!$A$1:$I$88,5,0)</f>
        <v>2.8689640720137515</v>
      </c>
      <c r="AK9" s="14">
        <f t="shared" si="35"/>
        <v>1.1694939291559447</v>
      </c>
      <c r="AL9" s="22">
        <f t="shared" si="4"/>
        <v>7.0336476853705534</v>
      </c>
      <c r="AM9" s="62">
        <f t="shared" si="5"/>
        <v>246.27472331424821</v>
      </c>
      <c r="AN9" s="62">
        <f ca="1">AVERAGE(OFFSET($AM$3,0,0,'Données projet'!$E$10+1,1))-AVERAGE(OFFSET($H$3,0,0,'Données projet'!$E$10+1,1))</f>
        <v>197.84745001458262</v>
      </c>
      <c r="AO9" s="62">
        <f t="shared" si="36"/>
        <v>290.24283321060068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projet'!$B$11,Paramètres!$A$1:$I$88,3,0)*VLOOKUP('Données projet'!$B$11,Paramètres!$A$1:$I$88,5,0)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244.73539415224431</v>
      </c>
      <c r="BI9" s="62">
        <f ca="1">AVERAGE(OFFSET($BH$3,0,0,'Données projet'!$E$11+1,1))-AVERAGE(OFFSET($H$3,0,0,'Données projet'!$E$11+1,1))</f>
        <v>377.49758296179459</v>
      </c>
      <c r="BJ9" s="62">
        <f t="shared" si="38"/>
        <v>297.9972591134441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1.2212480436886728</v>
      </c>
      <c r="BY9" s="13">
        <f>IF('Données projet'!$A$114&gt;35,BY8+BX9-CG8,IF(A9&lt;'Données projet'!$A$114,$BV$205^A9,IF(A9='Données projet'!$A$114,'Données projet'!$B$114,BY8+BX9-CG8)))</f>
        <v>2.6082556871506979</v>
      </c>
      <c r="BZ9" s="14">
        <f>BY9*VLOOKUP('Données projet'!$B$12,Paramètres!$A$1:$I$88,3,0)*VLOOKUP('Données projet'!$B$12,Paramètres!$A$1:$I$88,5,0)</f>
        <v>1.2206636615865267</v>
      </c>
      <c r="CA9" s="14">
        <f t="shared" si="39"/>
        <v>0.54962731098139894</v>
      </c>
      <c r="CB9" s="22">
        <f t="shared" si="10"/>
        <v>3.0832567772224699</v>
      </c>
      <c r="CC9" s="62">
        <f t="shared" si="11"/>
        <v>242.32433240610013</v>
      </c>
      <c r="CD9" s="62">
        <f ca="1">AVERAGE(OFFSET($CC$3,0,0,'Données projet'!$E$12+1,1))-AVERAGE(OFFSET($H$3,0,0,'Données projet'!$E$12+1,1))</f>
        <v>163.77317062597106</v>
      </c>
      <c r="CE9" s="62">
        <f t="shared" si="40"/>
        <v>122.66073843071686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2.5627416978959716</v>
      </c>
      <c r="CT9" s="13">
        <f>IF('Données projet'!$A$140&gt;35,CT8+CS9-DB8,IF(A9&lt;'Données projet'!$A$140,$CQ$205^A9,IF(A9='Données projet'!$A$140,'Données projet'!$B$140,CT8+CS9-DB8)))</f>
        <v>4.3044576343883918</v>
      </c>
      <c r="CU9" s="18">
        <f>CT9*VLOOKUP('Données projet'!$B$13,Paramètres!$A$1:$I$88,3,0)*VLOOKUP('Données projet'!$B$13,Paramètres!$A$1:$I$88,5,0)</f>
        <v>2.5740656653642584</v>
      </c>
      <c r="CV9" s="14">
        <f t="shared" si="41"/>
        <v>1.0626140713406527</v>
      </c>
      <c r="CW9" s="22">
        <f t="shared" si="13"/>
        <v>6.333883874761054</v>
      </c>
      <c r="CX9" s="62">
        <f t="shared" si="14"/>
        <v>245.57495950363872</v>
      </c>
      <c r="CY9" s="62">
        <f ca="1">AVERAGE(OFFSET($CX$3,0,0,'Données projet'!$E$13+1,1))-AVERAGE(OFFSET($H$3,0,0,'Données projet'!$E$13+1,1))</f>
        <v>167.84261986874142</v>
      </c>
      <c r="CZ9" s="62">
        <f t="shared" si="42"/>
        <v>242.5860875239222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1.5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5.5</v>
      </c>
      <c r="H10" s="70">
        <f t="shared" si="1"/>
        <v>234.66666666666666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3.6388888888888888</v>
      </c>
      <c r="N10" s="14">
        <f>IF('Données projet'!$A$36&gt;35,N9+M10-V9,IF(A10&lt;'Données projet'!$A$36,$K$205^A10,IF(A10='Données projet'!$A$36,'Données projet'!$B$36,N9+M10-V9)))</f>
        <v>25.472222222222221</v>
      </c>
      <c r="O10" s="14">
        <f>N10*VLOOKUP('Données projet'!$B$9,Paramètres!$A$1:$I$88,3,0)*VLOOKUP('Données projet'!$B$9,Paramètres!$A$1:$I$88,5,0)</f>
        <v>23.047266666666665</v>
      </c>
      <c r="P10" s="14">
        <f t="shared" si="33"/>
        <v>7.3716140719304786</v>
      </c>
      <c r="Q10" s="22">
        <f t="shared" si="2"/>
        <v>52.979550619723362</v>
      </c>
      <c r="R10" s="62">
        <f t="shared" si="0"/>
        <v>293.8723604559998</v>
      </c>
      <c r="S10" s="62">
        <f ca="1">AVERAGE(OFFSET($R$3,0,0,'Données projet'!$E$9+1,1))-AVERAGE(OFFSET($H$3,0,0,'Données projet'!$E$9+1,1))</f>
        <v>387.16864229348823</v>
      </c>
      <c r="T10" s="62">
        <f t="shared" si="34"/>
        <v>260.88002342542893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3.361000329283816</v>
      </c>
      <c r="AI10" s="14">
        <f>IF('Données projet'!$A$62&gt;35,AI9+AH10-AQ9,IF(A10&lt;'Données projet'!$A$62,$AF$205^A10,IF(A10='Données projet'!$A$62,'Données projet'!$B$62,AI9+AH10-AQ9)))</f>
        <v>6.2305719164631777</v>
      </c>
      <c r="AJ10" s="14">
        <f>AI10*VLOOKUP('Données projet'!$B$10,Paramètres!$A$1:$I$88,3,0)*VLOOKUP('Données projet'!$B$10,Paramètres!$A$1:$I$88,5,0)</f>
        <v>3.7258820060449804</v>
      </c>
      <c r="AK10" s="14">
        <f t="shared" si="35"/>
        <v>1.4732962898211268</v>
      </c>
      <c r="AL10" s="22">
        <f t="shared" si="4"/>
        <v>9.0552355319668045</v>
      </c>
      <c r="AM10" s="62">
        <f t="shared" si="5"/>
        <v>249.94804536824324</v>
      </c>
      <c r="AN10" s="62">
        <f ca="1">AVERAGE(OFFSET($AM$3,0,0,'Données projet'!$E$10+1,1))-AVERAGE(OFFSET($H$3,0,0,'Données projet'!$E$10+1,1))</f>
        <v>197.84745001458262</v>
      </c>
      <c r="AO10" s="62">
        <f t="shared" si="36"/>
        <v>290.24283321060068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projet'!$B$11,Paramètres!$A$1:$I$88,3,0)*VLOOKUP('Données projet'!$B$11,Paramètres!$A$1:$I$88,5,0)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247.67966335838003</v>
      </c>
      <c r="BI10" s="62">
        <f ca="1">AVERAGE(OFFSET($BH$3,0,0,'Données projet'!$E$11+1,1))-AVERAGE(OFFSET($H$3,0,0,'Données projet'!$E$11+1,1))</f>
        <v>377.49758296179459</v>
      </c>
      <c r="BJ10" s="62">
        <f t="shared" si="38"/>
        <v>297.9972591134441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1.2212480436886728</v>
      </c>
      <c r="BY10" s="13">
        <f>IF('Données projet'!$A$114&gt;35,BY9+BX10-CG9,IF(A10&lt;'Données projet'!$A$114,$BV$205^A10,IF(A10='Données projet'!$A$114,'Données projet'!$B$114,BY9+BX10-CG9)))</f>
        <v>3.060143953888689</v>
      </c>
      <c r="BZ10" s="14">
        <f>BY10*VLOOKUP('Données projet'!$B$12,Paramètres!$A$1:$I$88,3,0)*VLOOKUP('Données projet'!$B$12,Paramètres!$A$1:$I$88,5,0)</f>
        <v>1.4321473704199064</v>
      </c>
      <c r="CA10" s="14">
        <f t="shared" si="39"/>
        <v>0.63296953142513079</v>
      </c>
      <c r="CB10" s="22">
        <f t="shared" si="10"/>
        <v>3.5967452707134391</v>
      </c>
      <c r="CC10" s="62">
        <f t="shared" si="11"/>
        <v>244.48955510698985</v>
      </c>
      <c r="CD10" s="62">
        <f ca="1">AVERAGE(OFFSET($CC$3,0,0,'Données projet'!$E$12+1,1))-AVERAGE(OFFSET($H$3,0,0,'Données projet'!$E$12+1,1))</f>
        <v>163.77317062597106</v>
      </c>
      <c r="CE10" s="62">
        <f t="shared" si="40"/>
        <v>122.66073843071686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2.5627416978959716</v>
      </c>
      <c r="CT10" s="13">
        <f>IF('Données projet'!$A$140&gt;35,CT9+CS10-DB9,IF(A10&lt;'Données projet'!$A$140,$CQ$205^A10,IF(A10='Données projet'!$A$140,'Données projet'!$B$140,CT9+CS10-DB9)))</f>
        <v>5.4899894602791299</v>
      </c>
      <c r="CU10" s="18">
        <f>CT10*VLOOKUP('Données projet'!$B$13,Paramètres!$A$1:$I$88,3,0)*VLOOKUP('Données projet'!$B$13,Paramètres!$A$1:$I$88,5,0)</f>
        <v>3.2830136972469197</v>
      </c>
      <c r="CV10" s="14">
        <f t="shared" si="41"/>
        <v>1.3174393100852533</v>
      </c>
      <c r="CW10" s="22">
        <f t="shared" si="13"/>
        <v>8.0124556544368684</v>
      </c>
      <c r="CX10" s="62">
        <f t="shared" si="14"/>
        <v>248.9052654907133</v>
      </c>
      <c r="CY10" s="62">
        <f ca="1">AVERAGE(OFFSET($CX$3,0,0,'Données projet'!$E$13+1,1))-AVERAGE(OFFSET($H$3,0,0,'Données projet'!$E$13+1,1))</f>
        <v>167.84261986874142</v>
      </c>
      <c r="CZ10" s="62">
        <f t="shared" si="42"/>
        <v>242.5860875239222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1.5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5.5</v>
      </c>
      <c r="H11" s="70">
        <f t="shared" si="1"/>
        <v>234.66666666666666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3.6388888888888888</v>
      </c>
      <c r="N11" s="14">
        <f>IF('Données projet'!$A$36&gt;35,N10+M11-V10,IF(A11&lt;'Données projet'!$A$36,$K$205^A11,IF(A11='Données projet'!$A$36,'Données projet'!$B$36,N10+M11-V10)))</f>
        <v>29.111111111111111</v>
      </c>
      <c r="O11" s="14">
        <f>N11*VLOOKUP('Données projet'!$B$9,Paramètres!$A$1:$I$88,3,0)*VLOOKUP('Données projet'!$B$9,Paramètres!$A$1:$I$88,5,0)</f>
        <v>26.339733333333335</v>
      </c>
      <c r="P11" s="14">
        <f t="shared" si="33"/>
        <v>8.2947685958954338</v>
      </c>
      <c r="Q11" s="22">
        <f t="shared" si="2"/>
        <v>60.3217575267401</v>
      </c>
      <c r="R11" s="62">
        <f t="shared" si="0"/>
        <v>302.85885049771741</v>
      </c>
      <c r="S11" s="62">
        <f ca="1">AVERAGE(OFFSET($R$3,0,0,'Données projet'!$E$9+1,1))-AVERAGE(OFFSET($H$3,0,0,'Données projet'!$E$9+1,1))</f>
        <v>387.16864229348823</v>
      </c>
      <c r="T11" s="62">
        <f t="shared" si="34"/>
        <v>260.88002342542893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3.361000329283816</v>
      </c>
      <c r="AI11" s="14">
        <f>IF('Données projet'!$A$62&gt;35,AI10+AH11-AQ10,IF(A11&lt;'Données projet'!$A$62,$AF$205^A11,IF(A11='Données projet'!$A$62,'Données projet'!$B$62,AI10+AH11-AQ10)))</f>
        <v>8.0915533301276135</v>
      </c>
      <c r="AJ11" s="14">
        <f>AI11*VLOOKUP('Données projet'!$B$10,Paramètres!$A$1:$I$88,3,0)*VLOOKUP('Données projet'!$B$10,Paramètres!$A$1:$I$88,5,0)</f>
        <v>4.838748891416313</v>
      </c>
      <c r="AK11" s="14">
        <f t="shared" si="35"/>
        <v>1.8560181489503582</v>
      </c>
      <c r="AL11" s="22">
        <f t="shared" si="4"/>
        <v>11.660052595305286</v>
      </c>
      <c r="AM11" s="62">
        <f t="shared" si="5"/>
        <v>254.19714556628256</v>
      </c>
      <c r="AN11" s="62">
        <f ca="1">AVERAGE(OFFSET($AM$3,0,0,'Données projet'!$E$10+1,1))-AVERAGE(OFFSET($H$3,0,0,'Données projet'!$E$10+1,1))</f>
        <v>197.84745001458262</v>
      </c>
      <c r="AO11" s="62">
        <f t="shared" si="36"/>
        <v>290.24283321060068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projet'!$B$11,Paramètres!$A$1:$I$88,3,0)*VLOOKUP('Données projet'!$B$11,Paramètres!$A$1:$I$88,5,0)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250.9216696722898</v>
      </c>
      <c r="BI11" s="62">
        <f ca="1">AVERAGE(OFFSET($BH$3,0,0,'Données projet'!$E$11+1,1))-AVERAGE(OFFSET($H$3,0,0,'Données projet'!$E$11+1,1))</f>
        <v>377.49758296179459</v>
      </c>
      <c r="BJ11" s="62">
        <f t="shared" si="38"/>
        <v>297.9972591134441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1.2212480436886728</v>
      </c>
      <c r="BY11" s="13">
        <f>IF('Données projet'!$A$114&gt;35,BY10+BX11-CG10,IF(A11&lt;'Données projet'!$A$114,$BV$205^A11,IF(A11='Données projet'!$A$114,'Données projet'!$B$114,BY10+BX11-CG10)))</f>
        <v>3.5903232434820898</v>
      </c>
      <c r="BZ11" s="14">
        <f>BY11*VLOOKUP('Données projet'!$B$12,Paramètres!$A$1:$I$88,3,0)*VLOOKUP('Données projet'!$B$12,Paramètres!$A$1:$I$88,5,0)</f>
        <v>1.6802712779496181</v>
      </c>
      <c r="CA11" s="14">
        <f t="shared" si="39"/>
        <v>0.72894927109273333</v>
      </c>
      <c r="CB11" s="22">
        <f t="shared" si="10"/>
        <v>4.1960591229154289</v>
      </c>
      <c r="CC11" s="62">
        <f t="shared" si="11"/>
        <v>246.73315209389273</v>
      </c>
      <c r="CD11" s="62">
        <f ca="1">AVERAGE(OFFSET($CC$3,0,0,'Données projet'!$E$12+1,1))-AVERAGE(OFFSET($H$3,0,0,'Données projet'!$E$12+1,1))</f>
        <v>163.77317062597106</v>
      </c>
      <c r="CE11" s="62">
        <f t="shared" si="40"/>
        <v>122.66073843071686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2.5627416978959716</v>
      </c>
      <c r="CT11" s="13">
        <f>IF('Données projet'!$A$140&gt;35,CT10+CS11-DB10,IF(A11&lt;'Données projet'!$A$140,$CQ$205^A11,IF(A11='Données projet'!$A$140,'Données projet'!$B$140,CT10+CS11-DB10)))</f>
        <v>7.0020399395238648</v>
      </c>
      <c r="CU11" s="18">
        <f>CT11*VLOOKUP('Données projet'!$B$13,Paramètres!$A$1:$I$88,3,0)*VLOOKUP('Données projet'!$B$13,Paramètres!$A$1:$I$88,5,0)</f>
        <v>4.1872198838352714</v>
      </c>
      <c r="CV11" s="14">
        <f t="shared" si="41"/>
        <v>1.6333741313703116</v>
      </c>
      <c r="CW11" s="22">
        <f t="shared" si="13"/>
        <v>10.137534576483057</v>
      </c>
      <c r="CX11" s="62">
        <f t="shared" si="14"/>
        <v>252.67462754746035</v>
      </c>
      <c r="CY11" s="62">
        <f ca="1">AVERAGE(OFFSET($CX$3,0,0,'Données projet'!$E$13+1,1))-AVERAGE(OFFSET($H$3,0,0,'Données projet'!$E$13+1,1))</f>
        <v>167.84261986874142</v>
      </c>
      <c r="CZ11" s="62">
        <f t="shared" si="42"/>
        <v>242.5860875239222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1.5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5.5</v>
      </c>
      <c r="H12" s="70">
        <f t="shared" si="1"/>
        <v>234.66666666666666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3.6388888888888888</v>
      </c>
      <c r="N12" s="14">
        <f>IF('Données projet'!$A$36&gt;35,N11+M12-V11,IF(A12&lt;'Données projet'!$A$36,$K$205^A12,IF(A12='Données projet'!$A$36,'Données projet'!$B$36,N11+M12-V11)))</f>
        <v>32.75</v>
      </c>
      <c r="O12" s="14">
        <f>N12*VLOOKUP('Données projet'!$B$9,Paramètres!$A$1:$I$88,3,0)*VLOOKUP('Données projet'!$B$9,Paramètres!$A$1:$I$88,5,0)</f>
        <v>29.632199999999997</v>
      </c>
      <c r="P12" s="14">
        <f t="shared" si="33"/>
        <v>9.2045517463429647</v>
      </c>
      <c r="Q12" s="22">
        <f t="shared" si="2"/>
        <v>67.640675958213976</v>
      </c>
      <c r="R12" s="62">
        <f t="shared" si="0"/>
        <v>311.81473025064741</v>
      </c>
      <c r="S12" s="62">
        <f ca="1">AVERAGE(OFFSET($R$3,0,0,'Données projet'!$E$9+1,1))-AVERAGE(OFFSET($H$3,0,0,'Données projet'!$E$9+1,1))</f>
        <v>387.16864229348823</v>
      </c>
      <c r="T12" s="62">
        <f t="shared" si="34"/>
        <v>260.88002342542893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3.361000329283816</v>
      </c>
      <c r="AI12" s="14">
        <f>IF('Données projet'!$A$62&gt;35,AI11+AH12-AQ11,IF(A12&lt;'Données projet'!$A$62,$AF$205^A12,IF(A12='Données projet'!$A$62,'Données projet'!$B$62,AI11+AH12-AQ11)))</f>
        <v>10.508382885573937</v>
      </c>
      <c r="AJ12" s="14">
        <f>AI12*VLOOKUP('Données projet'!$B$10,Paramètres!$A$1:$I$88,3,0)*VLOOKUP('Données projet'!$B$10,Paramètres!$A$1:$I$88,5,0)</f>
        <v>6.284012965573214</v>
      </c>
      <c r="AK12" s="14">
        <f t="shared" si="35"/>
        <v>2.3381606218877722</v>
      </c>
      <c r="AL12" s="22">
        <f t="shared" si="4"/>
        <v>15.016952331494551</v>
      </c>
      <c r="AM12" s="62">
        <f t="shared" si="5"/>
        <v>259.19100662392799</v>
      </c>
      <c r="AN12" s="62">
        <f ca="1">AVERAGE(OFFSET($AM$3,0,0,'Données projet'!$E$10+1,1))-AVERAGE(OFFSET($H$3,0,0,'Données projet'!$E$10+1,1))</f>
        <v>197.84745001458262</v>
      </c>
      <c r="AO12" s="62">
        <f t="shared" si="36"/>
        <v>290.24283321060068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projet'!$B$11,Paramètres!$A$1:$I$88,3,0)*VLOOKUP('Données projet'!$B$11,Paramètres!$A$1:$I$88,5,0)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254.53385038620254</v>
      </c>
      <c r="BI12" s="62">
        <f ca="1">AVERAGE(OFFSET($BH$3,0,0,'Données projet'!$E$11+1,1))-AVERAGE(OFFSET($H$3,0,0,'Données projet'!$E$11+1,1))</f>
        <v>377.49758296179459</v>
      </c>
      <c r="BJ12" s="62">
        <f t="shared" si="38"/>
        <v>297.9972591134441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1.2212480436886728</v>
      </c>
      <c r="BY12" s="13">
        <f>IF('Données projet'!$A$114&gt;35,BY11+BX12-CG11,IF(A12&lt;'Données projet'!$A$114,$BV$205^A12,IF(A12='Données projet'!$A$114,'Données projet'!$B$114,BY11+BX12-CG11)))</f>
        <v>4.2123577148412261</v>
      </c>
      <c r="BZ12" s="14">
        <f>BY12*VLOOKUP('Données projet'!$B$12,Paramètres!$A$1:$I$88,3,0)*VLOOKUP('Données projet'!$B$12,Paramètres!$A$1:$I$88,5,0)</f>
        <v>1.971383410545694</v>
      </c>
      <c r="CA12" s="14">
        <f t="shared" si="39"/>
        <v>0.83948280832768418</v>
      </c>
      <c r="CB12" s="22">
        <f t="shared" si="10"/>
        <v>4.8955919978711329</v>
      </c>
      <c r="CC12" s="62">
        <f t="shared" si="11"/>
        <v>249.06964629030458</v>
      </c>
      <c r="CD12" s="62">
        <f ca="1">AVERAGE(OFFSET($CC$3,0,0,'Données projet'!$E$12+1,1))-AVERAGE(OFFSET($H$3,0,0,'Données projet'!$E$12+1,1))</f>
        <v>163.77317062597106</v>
      </c>
      <c r="CE12" s="62">
        <f t="shared" si="40"/>
        <v>122.66073843071686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2.5627416978959716</v>
      </c>
      <c r="CT12" s="13">
        <f>IF('Données projet'!$A$140&gt;35,CT11+CS12-DB11,IF(A12&lt;'Données projet'!$A$140,$CQ$205^A12,IF(A12='Données projet'!$A$140,'Données projet'!$B$140,CT11+CS12-DB11)))</f>
        <v>8.9305386958237598</v>
      </c>
      <c r="CU12" s="18">
        <f>CT12*VLOOKUP('Données projet'!$B$13,Paramètres!$A$1:$I$88,3,0)*VLOOKUP('Données projet'!$B$13,Paramètres!$A$1:$I$88,5,0)</f>
        <v>5.3404621401026082</v>
      </c>
      <c r="CV12" s="14">
        <f t="shared" si="41"/>
        <v>2.0250732102847873</v>
      </c>
      <c r="CW12" s="22">
        <f t="shared" si="13"/>
        <v>12.828307401924713</v>
      </c>
      <c r="CX12" s="62">
        <f t="shared" si="14"/>
        <v>257.00236169435817</v>
      </c>
      <c r="CY12" s="62">
        <f ca="1">AVERAGE(OFFSET($CX$3,0,0,'Données projet'!$E$13+1,1))-AVERAGE(OFFSET($H$3,0,0,'Données projet'!$E$13+1,1))</f>
        <v>167.84261986874142</v>
      </c>
      <c r="CZ12" s="62">
        <f t="shared" si="42"/>
        <v>242.5860875239222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1.5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5.5</v>
      </c>
      <c r="H13" s="70">
        <f t="shared" si="1"/>
        <v>234.66666666666666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3.6388888888888888</v>
      </c>
      <c r="N13" s="14">
        <f>IF('Données projet'!$A$36&gt;35,N12+M13-V12,IF(A13&lt;'Données projet'!$A$36,$K$205^A13,IF(A13='Données projet'!$A$36,'Données projet'!$B$36,N12+M13-V12)))</f>
        <v>36.388888888888886</v>
      </c>
      <c r="O13" s="14">
        <f>N13*VLOOKUP('Données projet'!$B$9,Paramètres!$A$1:$I$88,3,0)*VLOOKUP('Données projet'!$B$9,Paramètres!$A$1:$I$88,5,0)</f>
        <v>32.92466666666666</v>
      </c>
      <c r="P13" s="14">
        <f t="shared" si="33"/>
        <v>10.102618709175243</v>
      </c>
      <c r="Q13" s="22">
        <f t="shared" si="2"/>
        <v>74.939188696257972</v>
      </c>
      <c r="R13" s="62">
        <f t="shared" si="0"/>
        <v>320.74300951399363</v>
      </c>
      <c r="S13" s="62">
        <f ca="1">AVERAGE(OFFSET($R$3,0,0,'Données projet'!$E$9+1,1))-AVERAGE(OFFSET($H$3,0,0,'Données projet'!$E$9+1,1))</f>
        <v>387.16864229348823</v>
      </c>
      <c r="T13" s="62">
        <f t="shared" si="34"/>
        <v>260.88002342542893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3.361000329283816</v>
      </c>
      <c r="AI13" s="14">
        <f>IF('Données projet'!$A$62&gt;35,AI12+AH13-AQ12,IF(A13&lt;'Données projet'!$A$62,$AF$205^A13,IF(A13='Données projet'!$A$62,'Données projet'!$B$62,AI12+AH13-AQ12)))</f>
        <v>13.647084356308838</v>
      </c>
      <c r="AJ13" s="14">
        <f>AI13*VLOOKUP('Données projet'!$B$10,Paramètres!$A$1:$I$88,3,0)*VLOOKUP('Données projet'!$B$10,Paramètres!$A$1:$I$88,5,0)</f>
        <v>8.160956445072685</v>
      </c>
      <c r="AK13" s="14">
        <f t="shared" si="35"/>
        <v>2.9455504499448919</v>
      </c>
      <c r="AL13" s="22">
        <f t="shared" si="4"/>
        <v>19.34383284215561</v>
      </c>
      <c r="AM13" s="62">
        <f t="shared" si="5"/>
        <v>265.14765365989126</v>
      </c>
      <c r="AN13" s="62">
        <f ca="1">AVERAGE(OFFSET($AM$3,0,0,'Données projet'!$E$10+1,1))-AVERAGE(OFFSET($H$3,0,0,'Données projet'!$E$10+1,1))</f>
        <v>197.84745001458262</v>
      </c>
      <c r="AO13" s="62">
        <f t="shared" si="36"/>
        <v>290.24283321060068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projet'!$B$11,Paramètres!$A$1:$I$88,3,0)*VLOOKUP('Données projet'!$B$11,Paramètres!$A$1:$I$88,5,0)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258.60582724917299</v>
      </c>
      <c r="BI13" s="62">
        <f ca="1">AVERAGE(OFFSET($BH$3,0,0,'Données projet'!$E$11+1,1))-AVERAGE(OFFSET($H$3,0,0,'Données projet'!$E$11+1,1))</f>
        <v>377.49758296179459</v>
      </c>
      <c r="BJ13" s="62">
        <f t="shared" si="38"/>
        <v>297.9972591134441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1.2212480436886728</v>
      </c>
      <c r="BY13" s="13">
        <f>IF('Données projet'!$A$114&gt;35,BY12+BX13-CG12,IF(A13&lt;'Données projet'!$A$114,$BV$205^A13,IF(A13='Données projet'!$A$114,'Données projet'!$B$114,BY12+BX13-CG12)))</f>
        <v>4.9421615588498788</v>
      </c>
      <c r="BZ13" s="14">
        <f>BY13*VLOOKUP('Données projet'!$B$12,Paramètres!$A$1:$I$88,3,0)*VLOOKUP('Données projet'!$B$12,Paramètres!$A$1:$I$88,5,0)</f>
        <v>2.3129316095417431</v>
      </c>
      <c r="CA13" s="14">
        <f t="shared" si="39"/>
        <v>0.96677699453805033</v>
      </c>
      <c r="CB13" s="22">
        <f t="shared" si="10"/>
        <v>5.712159152105639</v>
      </c>
      <c r="CC13" s="62">
        <f t="shared" si="11"/>
        <v>251.51597996984131</v>
      </c>
      <c r="CD13" s="62">
        <f ca="1">AVERAGE(OFFSET($CC$3,0,0,'Données projet'!$E$12+1,1))-AVERAGE(OFFSET($H$3,0,0,'Données projet'!$E$12+1,1))</f>
        <v>163.77317062597106</v>
      </c>
      <c r="CE13" s="62">
        <f t="shared" si="40"/>
        <v>122.66073843071686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2.5627416978959716</v>
      </c>
      <c r="CT13" s="13">
        <f>IF('Données projet'!$A$140&gt;35,CT12+CS13-DB12,IF(A13&lt;'Données projet'!$A$140,$CQ$205^A13,IF(A13='Données projet'!$A$140,'Données projet'!$B$140,CT12+CS13-DB12)))</f>
        <v>11.390183730232879</v>
      </c>
      <c r="CU13" s="18">
        <f>CT13*VLOOKUP('Données projet'!$B$13,Paramètres!$A$1:$I$88,3,0)*VLOOKUP('Données projet'!$B$13,Paramètres!$A$1:$I$88,5,0)</f>
        <v>6.8113298706792618</v>
      </c>
      <c r="CV13" s="14">
        <f t="shared" si="41"/>
        <v>2.5107055562173528</v>
      </c>
      <c r="CW13" s="22">
        <f t="shared" si="13"/>
        <v>16.235878368511603</v>
      </c>
      <c r="CX13" s="62">
        <f t="shared" si="14"/>
        <v>262.03969918624728</v>
      </c>
      <c r="CY13" s="62">
        <f ca="1">AVERAGE(OFFSET($CX$3,0,0,'Données projet'!$E$13+1,1))-AVERAGE(OFFSET($H$3,0,0,'Données projet'!$E$13+1,1))</f>
        <v>167.84261986874142</v>
      </c>
      <c r="CZ13" s="62">
        <f t="shared" si="42"/>
        <v>242.5860875239222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1.5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5.5</v>
      </c>
      <c r="H14" s="70">
        <f t="shared" si="1"/>
        <v>234.66666666666666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3.6388888888888888</v>
      </c>
      <c r="N14" s="14">
        <f>IF('Données projet'!$A$36&gt;35,N13+M14-V13,IF(A14&lt;'Données projet'!$A$36,$K$205^A14,IF(A14='Données projet'!$A$36,'Données projet'!$B$36,N13+M14-V13)))</f>
        <v>40.027777777777771</v>
      </c>
      <c r="O14" s="14">
        <f>N14*VLOOKUP('Données projet'!$B$9,Paramètres!$A$1:$I$88,3,0)*VLOOKUP('Données projet'!$B$9,Paramètres!$A$1:$I$88,5,0)</f>
        <v>36.217133333333329</v>
      </c>
      <c r="P14" s="14">
        <f t="shared" si="33"/>
        <v>10.990274476877119</v>
      </c>
      <c r="Q14" s="22">
        <f t="shared" si="2"/>
        <v>82.219568602783184</v>
      </c>
      <c r="R14" s="62">
        <f t="shared" si="0"/>
        <v>329.64608596329521</v>
      </c>
      <c r="S14" s="62">
        <f ca="1">AVERAGE(OFFSET($R$3,0,0,'Données projet'!$E$9+1,1))-AVERAGE(OFFSET($H$3,0,0,'Données projet'!$E$9+1,1))</f>
        <v>387.16864229348823</v>
      </c>
      <c r="T14" s="62">
        <f t="shared" si="34"/>
        <v>260.88002342542893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3.361000329283816</v>
      </c>
      <c r="AI14" s="14">
        <f>IF('Données projet'!$A$62&gt;35,AI13+AH14-AQ13,IF(A14&lt;'Données projet'!$A$62,$AF$205^A14,IF(A14='Données projet'!$A$62,'Données projet'!$B$62,AI13+AH14-AQ13)))</f>
        <v>17.723270407655818</v>
      </c>
      <c r="AJ14" s="14">
        <f>AI14*VLOOKUP('Données projet'!$B$10,Paramètres!$A$1:$I$88,3,0)*VLOOKUP('Données projet'!$B$10,Paramètres!$A$1:$I$88,5,0)</f>
        <v>10.59851570377818</v>
      </c>
      <c r="AK14" s="14">
        <f t="shared" si="35"/>
        <v>3.7107234515674796</v>
      </c>
      <c r="AL14" s="22">
        <f t="shared" si="4"/>
        <v>24.921924862227019</v>
      </c>
      <c r="AM14" s="62">
        <f t="shared" si="5"/>
        <v>272.34844222273904</v>
      </c>
      <c r="AN14" s="62">
        <f ca="1">AVERAGE(OFFSET($AM$3,0,0,'Données projet'!$E$10+1,1))-AVERAGE(OFFSET($H$3,0,0,'Données projet'!$E$10+1,1))</f>
        <v>197.84745001458262</v>
      </c>
      <c r="AO14" s="62">
        <f t="shared" si="36"/>
        <v>290.24283321060068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projet'!$B$11,Paramètres!$A$1:$I$88,3,0)*VLOOKUP('Données projet'!$B$11,Paramètres!$A$1:$I$88,5,0)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263.24850362447359</v>
      </c>
      <c r="BI14" s="62">
        <f ca="1">AVERAGE(OFFSET($BH$3,0,0,'Données projet'!$E$11+1,1))-AVERAGE(OFFSET($H$3,0,0,'Données projet'!$E$11+1,1))</f>
        <v>377.49758296179459</v>
      </c>
      <c r="BJ14" s="62">
        <f t="shared" si="38"/>
        <v>297.9972591134441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1.2212480436886728</v>
      </c>
      <c r="BY14" s="13">
        <f>IF('Données projet'!$A$114&gt;35,BY13+BX14-CG13,IF(A14&lt;'Données projet'!$A$114,$BV$205^A14,IF(A14='Données projet'!$A$114,'Données projet'!$B$114,BY13+BX14-CG13)))</f>
        <v>5.7984061485846761</v>
      </c>
      <c r="BZ14" s="14">
        <f>BY14*VLOOKUP('Données projet'!$B$12,Paramètres!$A$1:$I$88,3,0)*VLOOKUP('Données projet'!$B$12,Paramètres!$A$1:$I$88,5,0)</f>
        <v>2.7136540775376283</v>
      </c>
      <c r="CA14" s="14">
        <f t="shared" si="39"/>
        <v>1.1133733149698888</v>
      </c>
      <c r="CB14" s="22">
        <f t="shared" si="10"/>
        <v>6.6654060419505923</v>
      </c>
      <c r="CC14" s="62">
        <f t="shared" si="11"/>
        <v>254.09192340246261</v>
      </c>
      <c r="CD14" s="62">
        <f ca="1">AVERAGE(OFFSET($CC$3,0,0,'Données projet'!$E$12+1,1))-AVERAGE(OFFSET($H$3,0,0,'Données projet'!$E$12+1,1))</f>
        <v>163.77317062597106</v>
      </c>
      <c r="CE14" s="62">
        <f t="shared" si="40"/>
        <v>122.66073843071686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2.5627416978959716</v>
      </c>
      <c r="CT14" s="13">
        <f>IF('Données projet'!$A$140&gt;35,CT13+CS14-DB13,IF(A14&lt;'Données projet'!$A$140,$CQ$205^A14,IF(A14='Données projet'!$A$140,'Données projet'!$B$140,CT13+CS14-DB13)))</f>
        <v>14.527263116740215</v>
      </c>
      <c r="CU14" s="18">
        <f>CT14*VLOOKUP('Données projet'!$B$13,Paramètres!$A$1:$I$88,3,0)*VLOOKUP('Données projet'!$B$13,Paramètres!$A$1:$I$88,5,0)</f>
        <v>8.6873033438106493</v>
      </c>
      <c r="CV14" s="14">
        <f t="shared" si="41"/>
        <v>3.1127972845654326</v>
      </c>
      <c r="CW14" s="22">
        <f t="shared" si="13"/>
        <v>20.55184192775501</v>
      </c>
      <c r="CX14" s="62">
        <f t="shared" si="14"/>
        <v>267.97835928826703</v>
      </c>
      <c r="CY14" s="62">
        <f ca="1">AVERAGE(OFFSET($CX$3,0,0,'Données projet'!$E$13+1,1))-AVERAGE(OFFSET($H$3,0,0,'Données projet'!$E$13+1,1))</f>
        <v>167.84261986874142</v>
      </c>
      <c r="CZ14" s="62">
        <f t="shared" si="42"/>
        <v>242.5860875239222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1.5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5.5</v>
      </c>
      <c r="H15" s="70">
        <f t="shared" si="1"/>
        <v>234.66666666666666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3.6388888888888888</v>
      </c>
      <c r="N15" s="14">
        <f>IF('Données projet'!$A$36&gt;35,N14+M15-V14,IF(A15&lt;'Données projet'!$A$36,$K$205^A15,IF(A15='Données projet'!$A$36,'Données projet'!$B$36,N14+M15-V14)))</f>
        <v>43.666666666666657</v>
      </c>
      <c r="O15" s="14">
        <f>N15*VLOOKUP('Données projet'!$B$9,Paramètres!$A$1:$I$88,3,0)*VLOOKUP('Données projet'!$B$9,Paramètres!$A$1:$I$88,5,0)</f>
        <v>39.509599999999992</v>
      </c>
      <c r="P15" s="14">
        <f t="shared" si="33"/>
        <v>11.868573161467834</v>
      </c>
      <c r="Q15" s="22">
        <f t="shared" si="2"/>
        <v>89.483651589556459</v>
      </c>
      <c r="R15" s="62">
        <f t="shared" si="0"/>
        <v>338.52591815870966</v>
      </c>
      <c r="S15" s="62">
        <f ca="1">AVERAGE(OFFSET($R$3,0,0,'Données projet'!$E$9+1,1))-AVERAGE(OFFSET($H$3,0,0,'Données projet'!$E$9+1,1))</f>
        <v>387.16864229348823</v>
      </c>
      <c r="T15" s="62">
        <f t="shared" si="34"/>
        <v>260.88002342542893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3.361000329283816</v>
      </c>
      <c r="AI15" s="14">
        <f>IF('Données projet'!$A$62&gt;35,AI14+AH15-AQ14,IF(A15&lt;'Données projet'!$A$62,$AF$205^A15,IF(A15='Données projet'!$A$62,'Données projet'!$B$62,AI14+AH15-AQ14)))</f>
        <v>23.01695407910908</v>
      </c>
      <c r="AJ15" s="14">
        <f>AI15*VLOOKUP('Données projet'!$B$10,Paramètres!$A$1:$I$88,3,0)*VLOOKUP('Données projet'!$B$10,Paramètres!$A$1:$I$88,5,0)</f>
        <v>13.764138539307231</v>
      </c>
      <c r="AK15" s="14">
        <f t="shared" si="35"/>
        <v>4.6746673560693832</v>
      </c>
      <c r="AL15" s="22">
        <f t="shared" si="4"/>
        <v>32.114253601114271</v>
      </c>
      <c r="AM15" s="62">
        <f t="shared" si="5"/>
        <v>281.15652017026747</v>
      </c>
      <c r="AN15" s="62">
        <f ca="1">AVERAGE(OFFSET($AM$3,0,0,'Données projet'!$E$10+1,1))-AVERAGE(OFFSET($H$3,0,0,'Données projet'!$E$10+1,1))</f>
        <v>197.84745001458262</v>
      </c>
      <c r="AO15" s="62">
        <f t="shared" si="36"/>
        <v>290.24283321060068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projet'!$B$11,Paramètres!$A$1:$I$88,3,0)*VLOOKUP('Données projet'!$B$11,Paramètres!$A$1:$I$88,5,0)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268.59914099877807</v>
      </c>
      <c r="BI15" s="62">
        <f ca="1">AVERAGE(OFFSET($BH$3,0,0,'Données projet'!$E$11+1,1))-AVERAGE(OFFSET($H$3,0,0,'Données projet'!$E$11+1,1))</f>
        <v>377.49758296179459</v>
      </c>
      <c r="BJ15" s="62">
        <f t="shared" si="38"/>
        <v>297.9972591134441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1.2212480436886728</v>
      </c>
      <c r="BY15" s="13">
        <f>IF('Données projet'!$A$114&gt;35,BY14+BX15-CG14,IF(A15&lt;'Données projet'!$A$114,$BV$205^A15,IF(A15='Données projet'!$A$114,'Données projet'!$B$114,BY14+BX15-CG14)))</f>
        <v>6.8029977295539581</v>
      </c>
      <c r="BZ15" s="14">
        <f>BY15*VLOOKUP('Données projet'!$B$12,Paramètres!$A$1:$I$88,3,0)*VLOOKUP('Données projet'!$B$12,Paramètres!$A$1:$I$88,5,0)</f>
        <v>3.1838029374312522</v>
      </c>
      <c r="CA15" s="14">
        <f t="shared" si="39"/>
        <v>1.2821986305945874</v>
      </c>
      <c r="CB15" s="22">
        <f t="shared" si="10"/>
        <v>7.7782860643116694</v>
      </c>
      <c r="CC15" s="62">
        <f t="shared" si="11"/>
        <v>256.82055263346484</v>
      </c>
      <c r="CD15" s="62">
        <f ca="1">AVERAGE(OFFSET($CC$3,0,0,'Données projet'!$E$12+1,1))-AVERAGE(OFFSET($H$3,0,0,'Données projet'!$E$12+1,1))</f>
        <v>163.77317062597106</v>
      </c>
      <c r="CE15" s="62">
        <f t="shared" si="40"/>
        <v>122.66073843071686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2.5627416978959716</v>
      </c>
      <c r="CT15" s="13">
        <f>IF('Données projet'!$A$140&gt;35,CT14+CS15-DB14,IF(A15&lt;'Données projet'!$A$140,$CQ$205^A15,IF(A15='Données projet'!$A$140,'Données projet'!$B$140,CT14+CS15-DB14)))</f>
        <v>18.528355526244511</v>
      </c>
      <c r="CU15" s="18">
        <f>CT15*VLOOKUP('Données projet'!$B$13,Paramètres!$A$1:$I$88,3,0)*VLOOKUP('Données projet'!$B$13,Paramètres!$A$1:$I$88,5,0)</f>
        <v>11.079956604694218</v>
      </c>
      <c r="CV15" s="14">
        <f t="shared" si="41"/>
        <v>3.8592764933360844</v>
      </c>
      <c r="CW15" s="22">
        <f t="shared" si="13"/>
        <v>26.019164312402776</v>
      </c>
      <c r="CX15" s="62">
        <f t="shared" si="14"/>
        <v>275.06143088155596</v>
      </c>
      <c r="CY15" s="62">
        <f ca="1">AVERAGE(OFFSET($CX$3,0,0,'Données projet'!$E$13+1,1))-AVERAGE(OFFSET($H$3,0,0,'Données projet'!$E$13+1,1))</f>
        <v>167.84261986874142</v>
      </c>
      <c r="CZ15" s="62">
        <f t="shared" si="42"/>
        <v>242.5860875239222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1.5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5.5</v>
      </c>
      <c r="H16" s="70">
        <f t="shared" si="1"/>
        <v>234.66666666666666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3.6388888888888888</v>
      </c>
      <c r="N16" s="14">
        <f>IF('Données projet'!$A$36&gt;35,N15+M16-V15,IF(A16&lt;'Données projet'!$A$36,$K$205^A16,IF(A16='Données projet'!$A$36,'Données projet'!$B$36,N15+M16-V15)))</f>
        <v>47.305555555555543</v>
      </c>
      <c r="O16" s="14">
        <f>N16*VLOOKUP('Données projet'!$B$9,Paramètres!$A$1:$I$88,3,0)*VLOOKUP('Données projet'!$B$9,Paramètres!$A$1:$I$88,5,0)</f>
        <v>42.802066666666654</v>
      </c>
      <c r="P16" s="14">
        <f t="shared" si="33"/>
        <v>12.738383171310938</v>
      </c>
      <c r="Q16" s="22">
        <f t="shared" si="2"/>
        <v>96.732950134477633</v>
      </c>
      <c r="R16" s="62">
        <f t="shared" si="0"/>
        <v>347.38413909885219</v>
      </c>
      <c r="S16" s="62">
        <f ca="1">AVERAGE(OFFSET($R$3,0,0,'Données projet'!$E$9+1,1))-AVERAGE(OFFSET($H$3,0,0,'Données projet'!$E$9+1,1))</f>
        <v>387.16864229348823</v>
      </c>
      <c r="T16" s="62">
        <f t="shared" si="34"/>
        <v>260.88002342542893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3.361000329283816</v>
      </c>
      <c r="AI16" s="14">
        <f>IF('Données projet'!$A$62&gt;35,AI15+AH16-AQ15,IF(A16&lt;'Données projet'!$A$62,$AF$205^A16,IF(A16='Données projet'!$A$62,'Données projet'!$B$62,AI15+AH16-AQ15)))</f>
        <v>29.891784241522942</v>
      </c>
      <c r="AJ16" s="14">
        <f>AI16*VLOOKUP('Données projet'!$B$10,Paramètres!$A$1:$I$88,3,0)*VLOOKUP('Données projet'!$B$10,Paramètres!$A$1:$I$88,5,0)</f>
        <v>17.875286976430719</v>
      </c>
      <c r="AK16" s="14">
        <f t="shared" si="35"/>
        <v>5.8890173776409522</v>
      </c>
      <c r="AL16" s="22">
        <f t="shared" si="4"/>
        <v>41.389496750008156</v>
      </c>
      <c r="AM16" s="62">
        <f t="shared" si="5"/>
        <v>292.04068571438268</v>
      </c>
      <c r="AN16" s="62">
        <f ca="1">AVERAGE(OFFSET($AM$3,0,0,'Données projet'!$E$10+1,1))-AVERAGE(OFFSET($H$3,0,0,'Données projet'!$E$10+1,1))</f>
        <v>197.84745001458262</v>
      </c>
      <c r="AO16" s="62">
        <f t="shared" si="36"/>
        <v>290.24283321060068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projet'!$B$11,Paramètres!$A$1:$I$88,3,0)*VLOOKUP('Données projet'!$B$11,Paramètres!$A$1:$I$88,5,0)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274.82764952051508</v>
      </c>
      <c r="BI16" s="62">
        <f ca="1">AVERAGE(OFFSET($BH$3,0,0,'Données projet'!$E$11+1,1))-AVERAGE(OFFSET($H$3,0,0,'Données projet'!$E$11+1,1))</f>
        <v>377.49758296179459</v>
      </c>
      <c r="BJ16" s="62">
        <f t="shared" si="38"/>
        <v>297.9972591134441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1.2212480436886728</v>
      </c>
      <c r="BY16" s="13">
        <f>IF('Données projet'!$A$114&gt;35,BY15+BX16-CG15,IF(A16&lt;'Données projet'!$A$114,$BV$205^A16,IF(A16='Données projet'!$A$114,'Données projet'!$B$114,BY15+BX16-CG15)))</f>
        <v>7.9816378712299958</v>
      </c>
      <c r="BZ16" s="14">
        <f>BY16*VLOOKUP('Données projet'!$B$12,Paramètres!$A$1:$I$88,3,0)*VLOOKUP('Données projet'!$B$12,Paramètres!$A$1:$I$88,5,0)</f>
        <v>3.7354065237356378</v>
      </c>
      <c r="CA16" s="14">
        <f t="shared" si="39"/>
        <v>1.4766236141945781</v>
      </c>
      <c r="CB16" s="22">
        <f t="shared" si="10"/>
        <v>9.0776191568951266</v>
      </c>
      <c r="CC16" s="62">
        <f t="shared" si="11"/>
        <v>259.72880812126965</v>
      </c>
      <c r="CD16" s="62">
        <f ca="1">AVERAGE(OFFSET($CC$3,0,0,'Données projet'!$E$12+1,1))-AVERAGE(OFFSET($H$3,0,0,'Données projet'!$E$12+1,1))</f>
        <v>163.77317062597106</v>
      </c>
      <c r="CE16" s="62">
        <f t="shared" si="40"/>
        <v>122.66073843071686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2.5627416978959716</v>
      </c>
      <c r="CT16" s="13">
        <f>IF('Données projet'!$A$140&gt;35,CT15+CS16-DB15,IF(A16&lt;'Données projet'!$A$140,$CQ$205^A16,IF(A16='Données projet'!$A$140,'Données projet'!$B$140,CT15+CS16-DB15)))</f>
        <v>23.631427045010309</v>
      </c>
      <c r="CU16" s="18">
        <f>CT16*VLOOKUP('Données projet'!$B$13,Paramètres!$A$1:$I$88,3,0)*VLOOKUP('Données projet'!$B$13,Paramètres!$A$1:$I$88,5,0)</f>
        <v>14.131593372916166</v>
      </c>
      <c r="CV16" s="14">
        <f t="shared" si="41"/>
        <v>4.7847687113668789</v>
      </c>
      <c r="CW16" s="22">
        <f t="shared" si="13"/>
        <v>32.94599729679296</v>
      </c>
      <c r="CX16" s="62">
        <f t="shared" si="14"/>
        <v>283.59718626116751</v>
      </c>
      <c r="CY16" s="62">
        <f ca="1">AVERAGE(OFFSET($CX$3,0,0,'Données projet'!$E$13+1,1))-AVERAGE(OFFSET($H$3,0,0,'Données projet'!$E$13+1,1))</f>
        <v>167.84261986874142</v>
      </c>
      <c r="CZ16" s="62">
        <f t="shared" si="42"/>
        <v>242.5860875239222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1.5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5.5</v>
      </c>
      <c r="H17" s="70">
        <f t="shared" si="1"/>
        <v>234.66666666666666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3.6388888888888888</v>
      </c>
      <c r="N17" s="14">
        <f>IF('Données projet'!$A$36&gt;35,N16+M17-V16,IF(A17&lt;'Données projet'!$A$36,$K$205^A17,IF(A17='Données projet'!$A$36,'Données projet'!$B$36,N16+M17-V16)))</f>
        <v>50.944444444444429</v>
      </c>
      <c r="O17" s="14">
        <f>N17*VLOOKUP('Données projet'!$B$9,Paramètres!$A$1:$I$88,3,0)*VLOOKUP('Données projet'!$B$9,Paramètres!$A$1:$I$88,5,0)</f>
        <v>46.094533333333317</v>
      </c>
      <c r="P17" s="14">
        <f t="shared" si="33"/>
        <v>13.600431724070521</v>
      </c>
      <c r="Q17" s="22">
        <f t="shared" si="2"/>
        <v>103.96873080831166</v>
      </c>
      <c r="R17" s="62">
        <f t="shared" si="0"/>
        <v>356.22213378443809</v>
      </c>
      <c r="S17" s="62">
        <f ca="1">AVERAGE(OFFSET($R$3,0,0,'Données projet'!$E$9+1,1))-AVERAGE(OFFSET($H$3,0,0,'Données projet'!$E$9+1,1))</f>
        <v>387.16864229348823</v>
      </c>
      <c r="T17" s="62">
        <f t="shared" si="34"/>
        <v>260.88002342542893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3.361000329283816</v>
      </c>
      <c r="AI17" s="14">
        <f>IF('Données projet'!$A$62&gt;35,AI16+AH17-AQ16,IF(A17&lt;'Données projet'!$A$62,$AF$205^A17,IF(A17='Données projet'!$A$62,'Données projet'!$B$62,AI16+AH17-AQ16)))</f>
        <v>38.82002640621964</v>
      </c>
      <c r="AJ17" s="14">
        <f>AI17*VLOOKUP('Données projet'!$B$10,Paramètres!$A$1:$I$88,3,0)*VLOOKUP('Données projet'!$B$10,Paramètres!$A$1:$I$88,5,0)</f>
        <v>23.214375790919345</v>
      </c>
      <c r="AK17" s="14">
        <f t="shared" si="35"/>
        <v>7.4188221391046065</v>
      </c>
      <c r="AL17" s="22">
        <f t="shared" si="4"/>
        <v>53.352819728125041</v>
      </c>
      <c r="AM17" s="62">
        <f t="shared" si="5"/>
        <v>305.60622270425142</v>
      </c>
      <c r="AN17" s="62">
        <f ca="1">AVERAGE(OFFSET($AM$3,0,0,'Données projet'!$E$10+1,1))-AVERAGE(OFFSET($H$3,0,0,'Données projet'!$E$10+1,1))</f>
        <v>197.84745001458262</v>
      </c>
      <c r="AO17" s="62">
        <f t="shared" si="36"/>
        <v>290.24283321060068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projet'!$B$11,Paramètres!$A$1:$I$88,3,0)*VLOOKUP('Données projet'!$B$11,Paramètres!$A$1:$I$88,5,0)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282.14438360548172</v>
      </c>
      <c r="BI17" s="62">
        <f ca="1">AVERAGE(OFFSET($BH$3,0,0,'Données projet'!$E$11+1,1))-AVERAGE(OFFSET($H$3,0,0,'Données projet'!$E$11+1,1))</f>
        <v>377.49758296179459</v>
      </c>
      <c r="BJ17" s="62">
        <f t="shared" si="38"/>
        <v>297.9972591134441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1.2212480436886728</v>
      </c>
      <c r="BY17" s="13">
        <f>IF('Données projet'!$A$114&gt;35,BY16+BX17-CG16,IF(A17&lt;'Données projet'!$A$114,$BV$205^A17,IF(A17='Données projet'!$A$114,'Données projet'!$B$114,BY16+BX17-CG16)))</f>
        <v>9.3644810185215004</v>
      </c>
      <c r="BZ17" s="14">
        <f>BY17*VLOOKUP('Données projet'!$B$12,Paramètres!$A$1:$I$88,3,0)*VLOOKUP('Données projet'!$B$12,Paramètres!$A$1:$I$88,5,0)</f>
        <v>4.3825771166680623</v>
      </c>
      <c r="CA17" s="14">
        <f t="shared" si="39"/>
        <v>1.7005300473499529</v>
      </c>
      <c r="CB17" s="22">
        <f t="shared" si="10"/>
        <v>10.594744977331377</v>
      </c>
      <c r="CC17" s="62">
        <f t="shared" si="11"/>
        <v>262.84814795345778</v>
      </c>
      <c r="CD17" s="62">
        <f ca="1">AVERAGE(OFFSET($CC$3,0,0,'Données projet'!$E$12+1,1))-AVERAGE(OFFSET($H$3,0,0,'Données projet'!$E$12+1,1))</f>
        <v>163.77317062597106</v>
      </c>
      <c r="CE17" s="62">
        <f t="shared" si="40"/>
        <v>122.66073843071686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2.5627416978959716</v>
      </c>
      <c r="CT17" s="13">
        <f>IF('Données projet'!$A$140&gt;35,CT16+CS17-DB16,IF(A17&lt;'Données projet'!$A$140,$CQ$205^A17,IF(A17='Données projet'!$A$140,'Données projet'!$B$140,CT16+CS17-DB16)))</f>
        <v>30.139984273975934</v>
      </c>
      <c r="CU17" s="18">
        <f>CT17*VLOOKUP('Données projet'!$B$13,Paramètres!$A$1:$I$88,3,0)*VLOOKUP('Données projet'!$B$13,Paramètres!$A$1:$I$88,5,0)</f>
        <v>18.02371059583761</v>
      </c>
      <c r="CV17" s="14">
        <f t="shared" si="41"/>
        <v>5.9322030076899575</v>
      </c>
      <c r="CW17" s="22">
        <f t="shared" si="13"/>
        <v>41.723216192810504</v>
      </c>
      <c r="CX17" s="62">
        <f t="shared" si="14"/>
        <v>293.97661916893691</v>
      </c>
      <c r="CY17" s="62">
        <f ca="1">AVERAGE(OFFSET($CX$3,0,0,'Données projet'!$E$13+1,1))-AVERAGE(OFFSET($H$3,0,0,'Données projet'!$E$13+1,1))</f>
        <v>167.84261986874142</v>
      </c>
      <c r="CZ17" s="62">
        <f t="shared" si="42"/>
        <v>242.5860875239222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1.5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5.5</v>
      </c>
      <c r="H18" s="70">
        <f t="shared" si="1"/>
        <v>234.66666666666666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3.6388888888888888</v>
      </c>
      <c r="N18" s="14">
        <f>IF('Données projet'!$A$36&gt;35,N17+M18-V17,IF(A18&lt;'Données projet'!$A$36,$K$205^A18,IF(A18='Données projet'!$A$36,'Données projet'!$B$36,N17+M18-V17)))</f>
        <v>54.583333333333314</v>
      </c>
      <c r="O18" s="14">
        <f>N18*VLOOKUP('Données projet'!$B$9,Paramètres!$A$1:$I$88,3,0)*VLOOKUP('Données projet'!$B$9,Paramètres!$A$1:$I$88,5,0)</f>
        <v>49.386999999999979</v>
      </c>
      <c r="P18" s="14">
        <f t="shared" si="33"/>
        <v>14.455336262375427</v>
      </c>
      <c r="Q18" s="22">
        <f t="shared" si="2"/>
        <v>111.19206899030382</v>
      </c>
      <c r="R18" s="62">
        <f t="shared" si="0"/>
        <v>365.04109397016816</v>
      </c>
      <c r="S18" s="62">
        <f ca="1">AVERAGE(OFFSET($R$3,0,0,'Données projet'!$E$9+1,1))-AVERAGE(OFFSET($H$3,0,0,'Données projet'!$E$9+1,1))</f>
        <v>387.16864229348823</v>
      </c>
      <c r="T18" s="62">
        <f t="shared" si="34"/>
        <v>260.88002342542893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50.415004939257237</v>
      </c>
      <c r="AG18" s="13">
        <f>VLOOKUP(A18,'Données projet'!$A$61:$I$81,9,0)</f>
        <v>3.361000329283816</v>
      </c>
      <c r="AH18" s="13">
        <f t="array" ref="AH18">INDEX(AG:AG,MIN(IF(ISNUMBER(AG18:AG214),ROW(AG18:AG214),"")))</f>
        <v>3.361000329283816</v>
      </c>
      <c r="AI18" s="14">
        <f>IF('Données projet'!$A$62&gt;35,AI17+AH18-AQ17,IF(A18&lt;'Données projet'!$A$62,$AF$205^A18,IF(A18='Données projet'!$A$62,'Données projet'!$B$62,AI17+AH18-AQ17)))</f>
        <v>50.415004939257237</v>
      </c>
      <c r="AJ18" s="14">
        <f>AI18*VLOOKUP('Données projet'!$B$10,Paramètres!$A$1:$I$88,3,0)*VLOOKUP('Données projet'!$B$10,Paramètres!$A$1:$I$88,5,0)</f>
        <v>30.148172953675832</v>
      </c>
      <c r="AK18" s="14">
        <f t="shared" si="35"/>
        <v>9.3460281065966893</v>
      </c>
      <c r="AL18" s="22">
        <f t="shared" si="4"/>
        <v>68.78573351330796</v>
      </c>
      <c r="AM18" s="62">
        <f t="shared" si="5"/>
        <v>322.63475849317228</v>
      </c>
      <c r="AN18" s="62">
        <f ca="1">AVERAGE(OFFSET($AM$3,0,0,'Données projet'!$E$10+1,1))-AVERAGE(OFFSET($H$3,0,0,'Données projet'!$E$10+1,1))</f>
        <v>197.84745001458262</v>
      </c>
      <c r="AO18" s="62">
        <f t="shared" si="36"/>
        <v>290.24283321060068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15.124501481777171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0.45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5.377863376307995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5.377863376307995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projet'!$B$11,Paramètres!$A$1:$I$88,3,0)*VLOOKUP('Données projet'!$B$11,Paramètres!$A$1:$I$88,5,0)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290.80980357169761</v>
      </c>
      <c r="BI18" s="62">
        <f ca="1">AVERAGE(OFFSET($BH$3,0,0,'Données projet'!$E$11+1,1))-AVERAGE(OFFSET($H$3,0,0,'Données projet'!$E$11+1,1))</f>
        <v>377.49758296179459</v>
      </c>
      <c r="BJ18" s="62">
        <f t="shared" si="38"/>
        <v>297.9972591134441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1.2212480436886728</v>
      </c>
      <c r="BY18" s="13">
        <f>IF('Données projet'!$A$114&gt;35,BY17+BX18-CG17,IF(A18&lt;'Données projet'!$A$114,$BV$205^A18,IF(A18='Données projet'!$A$114,'Données projet'!$B$114,BY17+BX18-CG17)))</f>
        <v>10.986905966047745</v>
      </c>
      <c r="BZ18" s="14">
        <f>BY18*VLOOKUP('Données projet'!$B$12,Paramètres!$A$1:$I$88,3,0)*VLOOKUP('Données projet'!$B$12,Paramètres!$A$1:$I$88,5,0)</f>
        <v>5.1418719921103442</v>
      </c>
      <c r="CA18" s="14">
        <f t="shared" si="39"/>
        <v>1.9583883219403617</v>
      </c>
      <c r="CB18" s="22">
        <f t="shared" si="10"/>
        <v>12.366286713638312</v>
      </c>
      <c r="CC18" s="62">
        <f t="shared" si="11"/>
        <v>266.2153116935026</v>
      </c>
      <c r="CD18" s="62">
        <f ca="1">AVERAGE(OFFSET($CC$3,0,0,'Données projet'!$E$12+1,1))-AVERAGE(OFFSET($H$3,0,0,'Données projet'!$E$12+1,1))</f>
        <v>163.77317062597106</v>
      </c>
      <c r="CE18" s="62">
        <f t="shared" si="40"/>
        <v>122.66073843071686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38.441125468439573</v>
      </c>
      <c r="CR18" s="13">
        <f>VLOOKUP(A18,'Données projet'!$A$139:$I$159,9,0)</f>
        <v>2.5627416978959716</v>
      </c>
      <c r="CS18" s="13">
        <f t="array" ref="CS18">INDEX(CR:CR,MIN(IF(ISNUMBER(CR18:CR214),ROW(CR18:CR214),"")))</f>
        <v>2.5627416978959716</v>
      </c>
      <c r="CT18" s="13">
        <f>IF('Données projet'!$A$140&gt;35,CT17+CS18-DB17,IF(A18&lt;'Données projet'!$A$140,$CQ$205^A18,IF(A18='Données projet'!$A$140,'Données projet'!$B$140,CT17+CS18-DB17)))</f>
        <v>38.441125468439573</v>
      </c>
      <c r="CU18" s="18">
        <f>CT18*VLOOKUP('Données projet'!$B$13,Paramètres!$A$1:$I$88,3,0)*VLOOKUP('Données projet'!$B$13,Paramètres!$A$1:$I$88,5,0)</f>
        <v>22.987793030126866</v>
      </c>
      <c r="CV18" s="14">
        <f t="shared" si="41"/>
        <v>7.3548032616173558</v>
      </c>
      <c r="CW18" s="22">
        <f t="shared" si="13"/>
        <v>52.846688541454519</v>
      </c>
      <c r="CX18" s="62">
        <f t="shared" si="14"/>
        <v>306.69571352131885</v>
      </c>
      <c r="CY18" s="62">
        <f ca="1">AVERAGE(OFFSET($CX$3,0,0,'Données projet'!$E$13+1,1))-AVERAGE(OFFSET($H$3,0,0,'Données projet'!$E$13+1,1))</f>
        <v>167.84261986874142</v>
      </c>
      <c r="CZ18" s="62">
        <f t="shared" si="42"/>
        <v>242.5860875239222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11.532337640531871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0.45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4.1005871376956664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4.1005871376956664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1.5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5.5</v>
      </c>
      <c r="H19" s="70">
        <f t="shared" si="1"/>
        <v>234.66666666666666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3.6388888888888888</v>
      </c>
      <c r="N19" s="14">
        <f>IF('Données projet'!$A$36&gt;35,N18+M19-V18,IF(A19&lt;'Données projet'!$A$36,$K$205^A19,IF(A19='Données projet'!$A$36,'Données projet'!$B$36,N18+M19-V18)))</f>
        <v>58.2222222222222</v>
      </c>
      <c r="O19" s="14">
        <f>N19*VLOOKUP('Données projet'!$B$9,Paramètres!$A$1:$I$88,3,0)*VLOOKUP('Données projet'!$B$9,Paramètres!$A$1:$I$88,5,0)</f>
        <v>52.679466666666649</v>
      </c>
      <c r="P19" s="14">
        <f t="shared" si="33"/>
        <v>15.303627245626654</v>
      </c>
      <c r="Q19" s="22">
        <f t="shared" si="2"/>
        <v>118.40388856391083</v>
      </c>
      <c r="R19" s="62">
        <f t="shared" si="0"/>
        <v>373.84205789610058</v>
      </c>
      <c r="S19" s="62">
        <f ca="1">AVERAGE(OFFSET($R$3,0,0,'Données projet'!$E$9+1,1))-AVERAGE(OFFSET($H$3,0,0,'Données projet'!$E$9+1,1))</f>
        <v>387.16864229348823</v>
      </c>
      <c r="T19" s="62">
        <f t="shared" si="34"/>
        <v>260.88002342542893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12.004764960245584</v>
      </c>
      <c r="AI19" s="14">
        <f>IF('Données projet'!$A$62&gt;35,AI18+AH19-AQ18,IF(A19&lt;'Données projet'!$A$62,$AF$205^A19,IF(A19='Données projet'!$A$62,'Données projet'!$B$62,AI18+AH19-AQ18)))</f>
        <v>47.295268417725651</v>
      </c>
      <c r="AJ19" s="14">
        <f>AI19*VLOOKUP('Données projet'!$B$10,Paramètres!$A$1:$I$88,3,0)*VLOOKUP('Données projet'!$B$10,Paramètres!$A$1:$I$88,5,0)</f>
        <v>28.282570513799939</v>
      </c>
      <c r="AK19" s="14">
        <f t="shared" si="35"/>
        <v>8.8331203154812723</v>
      </c>
      <c r="AL19" s="22">
        <f t="shared" si="4"/>
        <v>64.643161527664788</v>
      </c>
      <c r="AM19" s="62">
        <f t="shared" si="5"/>
        <v>320.08133085985452</v>
      </c>
      <c r="AN19" s="62">
        <f ca="1">AVERAGE(OFFSET($AM$3,0,0,'Données projet'!$E$10+1,1))-AVERAGE(OFFSET($H$3,0,0,'Données projet'!$E$10+1,1))</f>
        <v>197.84745001458262</v>
      </c>
      <c r="AO19" s="62">
        <f t="shared" si="36"/>
        <v>290.24283321060068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5.2308054194733096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5.2308054194733096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projet'!$B$11,Paramètres!$A$1:$I$88,3,0)*VLOOKUP('Données projet'!$B$11,Paramètres!$A$1:$I$88,5,0)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301.14645102247118</v>
      </c>
      <c r="BI19" s="62">
        <f ca="1">AVERAGE(OFFSET($BH$3,0,0,'Données projet'!$E$11+1,1))-AVERAGE(OFFSET($H$3,0,0,'Données projet'!$E$11+1,1))</f>
        <v>377.49758296179459</v>
      </c>
      <c r="BJ19" s="62">
        <f t="shared" si="38"/>
        <v>297.9972591134441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1.2212480436886728</v>
      </c>
      <c r="BY19" s="13">
        <f>IF('Données projet'!$A$114&gt;35,BY18+BX19-CG18,IF(A19&lt;'Données projet'!$A$114,$BV$205^A19,IF(A19='Données projet'!$A$114,'Données projet'!$B$114,BY18+BX19-CG18)))</f>
        <v>12.890420992687753</v>
      </c>
      <c r="BZ19" s="14">
        <f>BY19*VLOOKUP('Données projet'!$B$12,Paramètres!$A$1:$I$88,3,0)*VLOOKUP('Données projet'!$B$12,Paramètres!$A$1:$I$88,5,0)</f>
        <v>6.0327170245778676</v>
      </c>
      <c r="CA19" s="14">
        <f t="shared" si="39"/>
        <v>2.2553466935142734</v>
      </c>
      <c r="CB19" s="22">
        <f t="shared" si="10"/>
        <v>14.435044309010479</v>
      </c>
      <c r="CC19" s="62">
        <f t="shared" si="11"/>
        <v>269.87321364120021</v>
      </c>
      <c r="CD19" s="62">
        <f ca="1">AVERAGE(OFFSET($CC$3,0,0,'Données projet'!$E$12+1,1))-AVERAGE(OFFSET($H$3,0,0,'Données projet'!$E$12+1,1))</f>
        <v>163.77317062597106</v>
      </c>
      <c r="CE19" s="62">
        <f t="shared" si="40"/>
        <v>122.66073843071686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9.0023467968345745</v>
      </c>
      <c r="CT19" s="13">
        <f>IF('Données projet'!$A$140&gt;35,CT18+CS19-DB18,IF(A19&lt;'Données projet'!$A$140,$CQ$205^A19,IF(A19='Données projet'!$A$140,'Données projet'!$B$140,CT18+CS19-DB18)))</f>
        <v>35.911134624742274</v>
      </c>
      <c r="CU19" s="18">
        <f>CT19*VLOOKUP('Données projet'!$B$13,Paramètres!$A$1:$I$88,3,0)*VLOOKUP('Données projet'!$B$13,Paramètres!$A$1:$I$88,5,0)</f>
        <v>21.474858505595883</v>
      </c>
      <c r="CV19" s="14">
        <f t="shared" si="41"/>
        <v>6.9254131568345567</v>
      </c>
      <c r="CW19" s="22">
        <f t="shared" si="13"/>
        <v>49.463806478733012</v>
      </c>
      <c r="CX19" s="62">
        <f t="shared" si="14"/>
        <v>304.90197581092275</v>
      </c>
      <c r="CY19" s="62">
        <f ca="1">AVERAGE(OFFSET($CX$3,0,0,'Données projet'!$E$13+1,1))-AVERAGE(OFFSET($H$3,0,0,'Données projet'!$E$13+1,1))</f>
        <v>167.84261986874142</v>
      </c>
      <c r="CZ19" s="62">
        <f t="shared" si="42"/>
        <v>242.5860875239222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3.9884563667748729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3.9884563667748729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1.5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5.5</v>
      </c>
      <c r="H20" s="70">
        <f t="shared" si="1"/>
        <v>234.66666666666666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3.6388888888888888</v>
      </c>
      <c r="N20" s="14">
        <f>IF('Données projet'!$A$36&gt;35,N19+M20-V19,IF(A20&lt;'Données projet'!$A$36,$K$205^A20,IF(A20='Données projet'!$A$36,'Données projet'!$B$36,N19+M20-V19)))</f>
        <v>61.861111111111086</v>
      </c>
      <c r="O20" s="14">
        <f>N20*VLOOKUP('Données projet'!$B$9,Paramètres!$A$1:$I$88,3,0)*VLOOKUP('Données projet'!$B$9,Paramètres!$A$1:$I$88,5,0)</f>
        <v>55.971933333333304</v>
      </c>
      <c r="P20" s="14">
        <f t="shared" si="33"/>
        <v>16.145765078092339</v>
      </c>
      <c r="Q20" s="22">
        <f t="shared" si="2"/>
        <v>125.60499139989965</v>
      </c>
      <c r="R20" s="62">
        <f t="shared" si="0"/>
        <v>382.62593980577259</v>
      </c>
      <c r="S20" s="62">
        <f ca="1">AVERAGE(OFFSET($R$3,0,0,'Données projet'!$E$9+1,1))-AVERAGE(OFFSET($H$3,0,0,'Données projet'!$E$9+1,1))</f>
        <v>387.16864229348823</v>
      </c>
      <c r="T20" s="62">
        <f t="shared" si="34"/>
        <v>260.88002342542893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12.004764960245584</v>
      </c>
      <c r="AI20" s="14">
        <f>IF('Données projet'!$A$62&gt;35,AI19+AH20-AQ19,IF(A20&lt;'Données projet'!$A$62,$AF$205^A20,IF(A20='Données projet'!$A$62,'Données projet'!$B$62,AI19+AH20-AQ19)))</f>
        <v>59.300033377971232</v>
      </c>
      <c r="AJ20" s="14">
        <f>AI20*VLOOKUP('Données projet'!$B$10,Paramètres!$A$1:$I$88,3,0)*VLOOKUP('Données projet'!$B$10,Paramètres!$A$1:$I$88,5,0)</f>
        <v>35.461419960026795</v>
      </c>
      <c r="AK20" s="14">
        <f t="shared" si="35"/>
        <v>10.787394815979862</v>
      </c>
      <c r="AL20" s="22">
        <f t="shared" si="4"/>
        <v>80.550019068211597</v>
      </c>
      <c r="AM20" s="62">
        <f t="shared" si="5"/>
        <v>337.57096747408457</v>
      </c>
      <c r="AN20" s="62">
        <f ca="1">AVERAGE(OFFSET($AM$3,0,0,'Données projet'!$E$10+1,1))-AVERAGE(OFFSET($H$3,0,0,'Données projet'!$E$10+1,1))</f>
        <v>197.84745001458262</v>
      </c>
      <c r="AO20" s="62">
        <f t="shared" si="36"/>
        <v>290.24283321060068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5.08776877020171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5.08776877020171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projet'!$B$11,Paramètres!$A$1:$I$88,3,0)*VLOOKUP('Données projet'!$B$11,Paramètres!$A$1:$I$88,5,0)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313.55379334630715</v>
      </c>
      <c r="BI20" s="62">
        <f ca="1">AVERAGE(OFFSET($BH$3,0,0,'Données projet'!$E$11+1,1))-AVERAGE(OFFSET($H$3,0,0,'Données projet'!$E$11+1,1))</f>
        <v>377.49758296179459</v>
      </c>
      <c r="BJ20" s="62">
        <f t="shared" si="38"/>
        <v>297.9972591134441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1.2212480436886728</v>
      </c>
      <c r="BY20" s="13">
        <f>IF('Données projet'!$A$114&gt;35,BY19+BX20-CG19,IF(A20&lt;'Données projet'!$A$114,$BV$205^A20,IF(A20='Données projet'!$A$114,'Données projet'!$B$114,BY19+BX20-CG19)))</f>
        <v>15.123725813455554</v>
      </c>
      <c r="BZ20" s="14">
        <f>BY20*VLOOKUP('Données projet'!$B$12,Paramètres!$A$1:$I$88,3,0)*VLOOKUP('Données projet'!$B$12,Paramètres!$A$1:$I$88,5,0)</f>
        <v>7.0779036806971991</v>
      </c>
      <c r="CA20" s="14">
        <f t="shared" si="39"/>
        <v>2.5973340685089448</v>
      </c>
      <c r="CB20" s="22">
        <f t="shared" si="10"/>
        <v>16.851039079867366</v>
      </c>
      <c r="CC20" s="62">
        <f t="shared" si="11"/>
        <v>273.87198748574031</v>
      </c>
      <c r="CD20" s="62">
        <f ca="1">AVERAGE(OFFSET($CC$3,0,0,'Données projet'!$E$12+1,1))-AVERAGE(OFFSET($H$3,0,0,'Données projet'!$E$12+1,1))</f>
        <v>163.77317062597106</v>
      </c>
      <c r="CE20" s="62">
        <f t="shared" si="40"/>
        <v>122.66073843071686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9.0023467968345745</v>
      </c>
      <c r="CT20" s="13">
        <f>IF('Données projet'!$A$140&gt;35,CT19+CS20-DB19,IF(A20&lt;'Données projet'!$A$140,$CQ$205^A20,IF(A20='Données projet'!$A$140,'Données projet'!$B$140,CT19+CS20-DB19)))</f>
        <v>44.913481421576847</v>
      </c>
      <c r="CU20" s="18">
        <f>CT20*VLOOKUP('Données projet'!$B$13,Paramètres!$A$1:$I$88,3,0)*VLOOKUP('Données projet'!$B$13,Paramètres!$A$1:$I$88,5,0)</f>
        <v>26.858261890102956</v>
      </c>
      <c r="CV20" s="14">
        <f t="shared" si="41"/>
        <v>8.438889516431022</v>
      </c>
      <c r="CW20" s="22">
        <f t="shared" si="13"/>
        <v>61.475872033046677</v>
      </c>
      <c r="CX20" s="62">
        <f t="shared" si="14"/>
        <v>318.49682043891966</v>
      </c>
      <c r="CY20" s="62">
        <f ca="1">AVERAGE(OFFSET($CX$3,0,0,'Données projet'!$E$13+1,1))-AVERAGE(OFFSET($H$3,0,0,'Données projet'!$E$13+1,1))</f>
        <v>167.84261986874142</v>
      </c>
      <c r="CZ20" s="62">
        <f t="shared" si="42"/>
        <v>242.5860875239222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3.8793918176816096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3.8793918176816096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1.5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5.5</v>
      </c>
      <c r="H21" s="70">
        <f t="shared" si="1"/>
        <v>234.66666666666666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3.6388888888888888</v>
      </c>
      <c r="N21" s="14">
        <f>IF('Données projet'!$A$36&gt;35,N20+M21-V20,IF(A21&lt;'Données projet'!$A$36,$K$205^A21,IF(A21='Données projet'!$A$36,'Données projet'!$B$36,N20+M21-V20)))</f>
        <v>65.499999999999972</v>
      </c>
      <c r="O21" s="14">
        <f>N21*VLOOKUP('Données projet'!$B$9,Paramètres!$A$1:$I$88,3,0)*VLOOKUP('Données projet'!$B$9,Paramètres!$A$1:$I$88,5,0)</f>
        <v>59.264399999999974</v>
      </c>
      <c r="P21" s="14">
        <f t="shared" si="33"/>
        <v>16.982152939000496</v>
      </c>
      <c r="Q21" s="22">
        <f t="shared" si="2"/>
        <v>132.79607970209247</v>
      </c>
      <c r="R21" s="62">
        <f t="shared" si="0"/>
        <v>391.39355232636007</v>
      </c>
      <c r="S21" s="62">
        <f ca="1">AVERAGE(OFFSET($R$3,0,0,'Données projet'!$E$9+1,1))-AVERAGE(OFFSET($H$3,0,0,'Données projet'!$E$9+1,1))</f>
        <v>387.16864229348823</v>
      </c>
      <c r="T21" s="62">
        <f t="shared" si="34"/>
        <v>260.88002342542893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12.004764960245584</v>
      </c>
      <c r="AI21" s="14">
        <f>IF('Données projet'!$A$62&gt;35,AI20+AH21-AQ20,IF(A21&lt;'Données projet'!$A$62,$AF$205^A21,IF(A21='Données projet'!$A$62,'Données projet'!$B$62,AI20+AH21-AQ20)))</f>
        <v>71.304798338216813</v>
      </c>
      <c r="AJ21" s="14">
        <f>AI21*VLOOKUP('Données projet'!$B$10,Paramètres!$A$1:$I$88,3,0)*VLOOKUP('Données projet'!$B$10,Paramètres!$A$1:$I$88,5,0)</f>
        <v>42.640269406253658</v>
      </c>
      <c r="AK21" s="14">
        <f t="shared" si="35"/>
        <v>12.695826063004871</v>
      </c>
      <c r="AL21" s="22">
        <f t="shared" si="4"/>
        <v>96.377032942291933</v>
      </c>
      <c r="AM21" s="62">
        <f t="shared" si="5"/>
        <v>354.97450556655951</v>
      </c>
      <c r="AN21" s="62">
        <f ca="1">AVERAGE(OFFSET($AM$3,0,0,'Données projet'!$E$10+1,1))-AVERAGE(OFFSET($H$3,0,0,'Données projet'!$E$10+1,1))</f>
        <v>197.84745001458262</v>
      </c>
      <c r="AO21" s="62">
        <f t="shared" si="36"/>
        <v>290.24283321060068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4.9486434656264127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4.9486434656264127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projet'!$B$11,Paramètres!$A$1:$I$88,3,0)*VLOOKUP('Données projet'!$B$11,Paramètres!$A$1:$I$88,5,0)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328.52662628476162</v>
      </c>
      <c r="BI21" s="62">
        <f ca="1">AVERAGE(OFFSET($BH$3,0,0,'Données projet'!$E$11+1,1))-AVERAGE(OFFSET($H$3,0,0,'Données projet'!$E$11+1,1))</f>
        <v>377.49758296179459</v>
      </c>
      <c r="BJ21" s="62">
        <f t="shared" si="38"/>
        <v>297.9972591134441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1.2212480436886728</v>
      </c>
      <c r="BY21" s="13">
        <f>IF('Données projet'!$A$114&gt;35,BY20+BX21-CG20,IF(A21&lt;'Données projet'!$A$114,$BV$205^A21,IF(A21='Données projet'!$A$114,'Données projet'!$B$114,BY20+BX21-CG20)))</f>
        <v>17.743957517782395</v>
      </c>
      <c r="BZ21" s="14">
        <f>BY21*VLOOKUP('Données projet'!$B$12,Paramètres!$A$1:$I$88,3,0)*VLOOKUP('Données projet'!$B$12,Paramètres!$A$1:$I$88,5,0)</f>
        <v>8.3041721183221604</v>
      </c>
      <c r="CA21" s="14">
        <f t="shared" si="39"/>
        <v>2.9911783775138399</v>
      </c>
      <c r="CB21" s="22">
        <f t="shared" si="10"/>
        <v>19.672735446914366</v>
      </c>
      <c r="CC21" s="62">
        <f t="shared" si="11"/>
        <v>278.27020807118197</v>
      </c>
      <c r="CD21" s="62">
        <f ca="1">AVERAGE(OFFSET($CC$3,0,0,'Données projet'!$E$12+1,1))-AVERAGE(OFFSET($H$3,0,0,'Données projet'!$E$12+1,1))</f>
        <v>163.77317062597106</v>
      </c>
      <c r="CE21" s="62">
        <f t="shared" si="40"/>
        <v>122.66073843071686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9.0023467968345745</v>
      </c>
      <c r="CT21" s="13">
        <f>IF('Données projet'!$A$140&gt;35,CT20+CS21-DB20,IF(A21&lt;'Données projet'!$A$140,$CQ$205^A21,IF(A21='Données projet'!$A$140,'Données projet'!$B$140,CT20+CS21-DB20)))</f>
        <v>53.91582821841142</v>
      </c>
      <c r="CU21" s="18">
        <f>CT21*VLOOKUP('Données projet'!$B$13,Paramètres!$A$1:$I$88,3,0)*VLOOKUP('Données projet'!$B$13,Paramètres!$A$1:$I$88,5,0)</f>
        <v>32.241665274610035</v>
      </c>
      <c r="CV21" s="14">
        <f t="shared" si="41"/>
        <v>9.9172151887106441</v>
      </c>
      <c r="CW21" s="22">
        <f t="shared" si="13"/>
        <v>73.426716806950182</v>
      </c>
      <c r="CX21" s="62">
        <f t="shared" si="14"/>
        <v>332.02418943121779</v>
      </c>
      <c r="CY21" s="62">
        <f ca="1">AVERAGE(OFFSET($CX$3,0,0,'Données projet'!$E$13+1,1))-AVERAGE(OFFSET($H$3,0,0,'Données projet'!$E$13+1,1))</f>
        <v>167.84261986874142</v>
      </c>
      <c r="CZ21" s="62">
        <f t="shared" si="42"/>
        <v>242.5860875239222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3.7733096444187568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3.7733096444187568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1.5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5.5</v>
      </c>
      <c r="H22" s="70">
        <f t="shared" si="1"/>
        <v>234.66666666666666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3.6388888888888888</v>
      </c>
      <c r="N22" s="14">
        <f>IF('Données projet'!$A$36&gt;35,N21+M22-V21,IF(A22&lt;'Données projet'!$A$36,$K$205^A22,IF(A22='Données projet'!$A$36,'Données projet'!$B$36,N21+M22-V21)))</f>
        <v>69.138888888888857</v>
      </c>
      <c r="O22" s="14">
        <f>N22*VLOOKUP('Données projet'!$B$9,Paramètres!$A$1:$I$88,3,0)*VLOOKUP('Données projet'!$B$9,Paramètres!$A$1:$I$88,5,0)</f>
        <v>62.556866666666643</v>
      </c>
      <c r="P22" s="14">
        <f t="shared" si="33"/>
        <v>17.81314667976072</v>
      </c>
      <c r="Q22" s="22">
        <f t="shared" si="2"/>
        <v>139.97777324502763</v>
      </c>
      <c r="R22" s="62">
        <f t="shared" si="0"/>
        <v>400.14562374015691</v>
      </c>
      <c r="S22" s="62">
        <f ca="1">AVERAGE(OFFSET($R$3,0,0,'Données projet'!$E$9+1,1))-AVERAGE(OFFSET($H$3,0,0,'Données projet'!$E$9+1,1))</f>
        <v>387.16864229348823</v>
      </c>
      <c r="T22" s="62">
        <f t="shared" si="34"/>
        <v>260.88002342542893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12.004764960245584</v>
      </c>
      <c r="AI22" s="14">
        <f>IF('Données projet'!$A$62&gt;35,AI21+AH22-AQ21,IF(A22&lt;'Données projet'!$A$62,$AF$205^A22,IF(A22='Données projet'!$A$62,'Données projet'!$B$62,AI21+AH22-AQ21)))</f>
        <v>83.309563298462393</v>
      </c>
      <c r="AJ22" s="14">
        <f>AI22*VLOOKUP('Données projet'!$B$10,Paramètres!$A$1:$I$88,3,0)*VLOOKUP('Données projet'!$B$10,Paramètres!$A$1:$I$88,5,0)</f>
        <v>49.819118852480514</v>
      </c>
      <c r="AK22" s="14">
        <f t="shared" si="35"/>
        <v>14.567036469767412</v>
      </c>
      <c r="AL22" s="22">
        <f t="shared" si="4"/>
        <v>112.1392205195818</v>
      </c>
      <c r="AM22" s="62">
        <f t="shared" si="5"/>
        <v>372.30707101471103</v>
      </c>
      <c r="AN22" s="62">
        <f ca="1">AVERAGE(OFFSET($AM$3,0,0,'Données projet'!$E$10+1,1))-AVERAGE(OFFSET($H$3,0,0,'Données projet'!$E$10+1,1))</f>
        <v>197.84745001458262</v>
      </c>
      <c r="AO22" s="62">
        <f t="shared" si="36"/>
        <v>290.24283321060068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4.8133225498210086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4.8133225498210086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projet'!$B$11,Paramètres!$A$1:$I$88,3,0)*VLOOKUP('Données projet'!$B$11,Paramètres!$A$1:$I$88,5,0)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346.67788929260462</v>
      </c>
      <c r="BI22" s="62">
        <f ca="1">AVERAGE(OFFSET($BH$3,0,0,'Données projet'!$E$11+1,1))-AVERAGE(OFFSET($H$3,0,0,'Données projet'!$E$11+1,1))</f>
        <v>377.49758296179459</v>
      </c>
      <c r="BJ22" s="62">
        <f t="shared" si="38"/>
        <v>297.9972591134441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1.2212480436886728</v>
      </c>
      <c r="BY22" s="13">
        <f>IF('Données projet'!$A$114&gt;35,BY21+BX22-CG21,IF(A22&lt;'Données projet'!$A$114,$BV$205^A22,IF(A22='Données projet'!$A$114,'Données projet'!$B$114,BY21+BX22-CG21)))</f>
        <v>20.818152370413024</v>
      </c>
      <c r="BZ22" s="14">
        <f>BY22*VLOOKUP('Données projet'!$B$12,Paramètres!$A$1:$I$88,3,0)*VLOOKUP('Données projet'!$B$12,Paramètres!$A$1:$I$88,5,0)</f>
        <v>9.7428953093532957</v>
      </c>
      <c r="CA22" s="14">
        <f t="shared" si="39"/>
        <v>3.4447428979525281</v>
      </c>
      <c r="CB22" s="22">
        <f t="shared" si="10"/>
        <v>22.968469877724306</v>
      </c>
      <c r="CC22" s="62">
        <f t="shared" si="11"/>
        <v>283.13632037285356</v>
      </c>
      <c r="CD22" s="62">
        <f ca="1">AVERAGE(OFFSET($CC$3,0,0,'Données projet'!$E$12+1,1))-AVERAGE(OFFSET($H$3,0,0,'Données projet'!$E$12+1,1))</f>
        <v>163.77317062597106</v>
      </c>
      <c r="CE22" s="62">
        <f t="shared" si="40"/>
        <v>122.66073843071686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9.0023467968345745</v>
      </c>
      <c r="CT22" s="13">
        <f>IF('Données projet'!$A$140&gt;35,CT21+CS22-DB21,IF(A22&lt;'Données projet'!$A$140,$CQ$205^A22,IF(A22='Données projet'!$A$140,'Données projet'!$B$140,CT21+CS22-DB21)))</f>
        <v>62.918175015245993</v>
      </c>
      <c r="CU22" s="18">
        <f>CT22*VLOOKUP('Données projet'!$B$13,Paramètres!$A$1:$I$88,3,0)*VLOOKUP('Données projet'!$B$13,Paramètres!$A$1:$I$88,5,0)</f>
        <v>37.625068659117112</v>
      </c>
      <c r="CV22" s="14">
        <f t="shared" si="41"/>
        <v>11.36694629576832</v>
      </c>
      <c r="CW22" s="22">
        <f t="shared" si="13"/>
        <v>85.327759379758788</v>
      </c>
      <c r="CX22" s="62">
        <f t="shared" si="14"/>
        <v>345.49560987488803</v>
      </c>
      <c r="CY22" s="62">
        <f ca="1">AVERAGE(OFFSET($CX$3,0,0,'Données projet'!$E$13+1,1))-AVERAGE(OFFSET($H$3,0,0,'Données projet'!$E$13+1,1))</f>
        <v>167.84261986874142</v>
      </c>
      <c r="CZ22" s="62">
        <f t="shared" si="42"/>
        <v>242.5860875239222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3.6701282937623958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3.6701282937623958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1.5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5.5</v>
      </c>
      <c r="H23" s="70">
        <f t="shared" si="1"/>
        <v>234.66666666666666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3.6388888888888888</v>
      </c>
      <c r="N23" s="14">
        <f>IF('Données projet'!$A$36&gt;35,N22+M23-V22,IF(A23&lt;'Données projet'!$A$36,$K$205^A23,IF(A23='Données projet'!$A$36,'Données projet'!$B$36,N22+M23-V22)))</f>
        <v>72.777777777777743</v>
      </c>
      <c r="O23" s="14">
        <f>N23*VLOOKUP('Données projet'!$B$9,Paramètres!$A$1:$I$88,3,0)*VLOOKUP('Données projet'!$B$9,Paramètres!$A$1:$I$88,5,0)</f>
        <v>65.849333333333291</v>
      </c>
      <c r="P23" s="14">
        <f t="shared" si="33"/>
        <v>18.63906257811907</v>
      </c>
      <c r="Q23" s="22">
        <f t="shared" si="2"/>
        <v>147.15062287911286</v>
      </c>
      <c r="R23" s="62">
        <f t="shared" si="0"/>
        <v>408.88281152295934</v>
      </c>
      <c r="S23" s="62">
        <f ca="1">AVERAGE(OFFSET($R$3,0,0,'Données projet'!$E$9+1,1))-AVERAGE(OFFSET($H$3,0,0,'Données projet'!$E$9+1,1))</f>
        <v>387.16864229348823</v>
      </c>
      <c r="T23" s="62">
        <f t="shared" si="34"/>
        <v>260.88002342542893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12.004764960245584</v>
      </c>
      <c r="AI23" s="14">
        <f>IF('Données projet'!$A$62&gt;35,AI22+AH23-AQ22,IF(A23&lt;'Données projet'!$A$62,$AF$205^A23,IF(A23='Données projet'!$A$62,'Données projet'!$B$62,AI22+AH23-AQ22)))</f>
        <v>95.314328258707974</v>
      </c>
      <c r="AJ23" s="14">
        <f>AI23*VLOOKUP('Données projet'!$B$10,Paramètres!$A$1:$I$88,3,0)*VLOOKUP('Données projet'!$B$10,Paramètres!$A$1:$I$88,5,0)</f>
        <v>56.99796829870737</v>
      </c>
      <c r="AK23" s="14">
        <f t="shared" si="35"/>
        <v>16.407008724098475</v>
      </c>
      <c r="AL23" s="22">
        <f t="shared" si="4"/>
        <v>127.84700164805349</v>
      </c>
      <c r="AM23" s="62">
        <f t="shared" si="5"/>
        <v>389.57919029189998</v>
      </c>
      <c r="AN23" s="62">
        <f ca="1">AVERAGE(OFFSET($AM$3,0,0,'Données projet'!$E$10+1,1))-AVERAGE(OFFSET($H$3,0,0,'Données projet'!$E$10+1,1))</f>
        <v>197.84745001458262</v>
      </c>
      <c r="AO23" s="62">
        <f t="shared" si="36"/>
        <v>290.24283321060068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4.6817019915745215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4.6817019915745215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projet'!$B$11,Paramètres!$A$1:$I$88,3,0)*VLOOKUP('Données projet'!$B$11,Paramètres!$A$1:$I$88,5,0)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368.76695414909238</v>
      </c>
      <c r="BI23" s="62">
        <f ca="1">AVERAGE(OFFSET($BH$3,0,0,'Données projet'!$E$11+1,1))-AVERAGE(OFFSET($H$3,0,0,'Données projet'!$E$11+1,1))</f>
        <v>377.49758296179459</v>
      </c>
      <c r="BJ23" s="62">
        <f t="shared" si="38"/>
        <v>297.9972591134441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24.424960873773458</v>
      </c>
      <c r="BW23" s="13">
        <f>VLOOKUP(A23,'Données projet'!$A$113:$I$133,9,0)</f>
        <v>1.2212480436886728</v>
      </c>
      <c r="BX23" s="13">
        <f t="array" ref="BX23">INDEX(BW:BW,MIN(IF(ISNUMBER(BW23:BW219),ROW(BW23:BW219),"")))</f>
        <v>1.2212480436886728</v>
      </c>
      <c r="BY23" s="13">
        <f>IF('Données projet'!$A$114&gt;35,BY22+BX23-CG22,IF(A23&lt;'Données projet'!$A$114,$BV$205^A23,IF(A23='Données projet'!$A$114,'Données projet'!$B$114,BY22+BX23-CG22)))</f>
        <v>24.424960873773458</v>
      </c>
      <c r="BZ23" s="14">
        <f>BY23*VLOOKUP('Données projet'!$B$12,Paramètres!$A$1:$I$88,3,0)*VLOOKUP('Données projet'!$B$12,Paramètres!$A$1:$I$88,5,0)</f>
        <v>11.430881688925979</v>
      </c>
      <c r="CA23" s="14">
        <f t="shared" si="39"/>
        <v>3.9670832479262499</v>
      </c>
      <c r="CB23" s="22">
        <f t="shared" si="10"/>
        <v>26.818122265017632</v>
      </c>
      <c r="CC23" s="62">
        <f t="shared" si="11"/>
        <v>288.55031090886411</v>
      </c>
      <c r="CD23" s="62">
        <f ca="1">AVERAGE(OFFSET($CC$3,0,0,'Données projet'!$E$12+1,1))-AVERAGE(OFFSET($H$3,0,0,'Données projet'!$E$12+1,1))</f>
        <v>163.77317062597106</v>
      </c>
      <c r="CE23" s="62">
        <f t="shared" si="40"/>
        <v>122.66073843071686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7.3274882621320367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0.55000000000000004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2.4921757870541001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2.4921757870541001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9.0023467968345745</v>
      </c>
      <c r="CT23" s="13">
        <f>IF('Données projet'!$A$140&gt;35,CT22+CS23-DB22,IF(A23&lt;'Données projet'!$A$140,$CQ$205^A23,IF(A23='Données projet'!$A$140,'Données projet'!$B$140,CT22+CS23-DB22)))</f>
        <v>71.920521812080565</v>
      </c>
      <c r="CU23" s="18">
        <f>CT23*VLOOKUP('Données projet'!$B$13,Paramètres!$A$1:$I$88,3,0)*VLOOKUP('Données projet'!$B$13,Paramètres!$A$1:$I$88,5,0)</f>
        <v>43.008472043624181</v>
      </c>
      <c r="CV23" s="14">
        <f t="shared" si="41"/>
        <v>12.792646270629136</v>
      </c>
      <c r="CW23" s="22">
        <f t="shared" si="13"/>
        <v>97.186947730657849</v>
      </c>
      <c r="CX23" s="62">
        <f t="shared" si="14"/>
        <v>358.91913637450432</v>
      </c>
      <c r="CY23" s="62">
        <f ca="1">AVERAGE(OFFSET($CX$3,0,0,'Données projet'!$E$13+1,1))-AVERAGE(OFFSET($H$3,0,0,'Données projet'!$E$13+1,1))</f>
        <v>167.84261986874142</v>
      </c>
      <c r="CZ23" s="62">
        <f t="shared" si="42"/>
        <v>242.5860875239222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3.5697684425658043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3.5697684425658043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1.5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5.5</v>
      </c>
      <c r="H24" s="70">
        <f t="shared" si="1"/>
        <v>234.66666666666666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3.6388888888888888</v>
      </c>
      <c r="N24" s="14">
        <f>IF('Données projet'!$A$36&gt;35,N23+M24-V23,IF(A24&lt;'Données projet'!$A$36,$K$205^A24,IF(A24='Données projet'!$A$36,'Données projet'!$B$36,N23+M24-V23)))</f>
        <v>76.416666666666629</v>
      </c>
      <c r="O24" s="14">
        <f>N24*VLOOKUP('Données projet'!$B$9,Paramètres!$A$1:$I$88,3,0)*VLOOKUP('Données projet'!$B$9,Paramètres!$A$1:$I$88,5,0)</f>
        <v>69.141799999999961</v>
      </c>
      <c r="P24" s="14">
        <f t="shared" si="33"/>
        <v>19.460183497410007</v>
      </c>
      <c r="Q24" s="22">
        <f t="shared" si="2"/>
        <v>154.31512125798903</v>
      </c>
      <c r="R24" s="62">
        <f t="shared" si="0"/>
        <v>417.60571310408466</v>
      </c>
      <c r="S24" s="62">
        <f ca="1">AVERAGE(OFFSET($R$3,0,0,'Données projet'!$E$9+1,1))-AVERAGE(OFFSET($H$3,0,0,'Données projet'!$E$9+1,1))</f>
        <v>387.16864229348823</v>
      </c>
      <c r="T24" s="62">
        <f t="shared" si="34"/>
        <v>260.88002342542893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12.004764960245584</v>
      </c>
      <c r="AI24" s="14">
        <f>IF('Données projet'!$A$62&gt;35,AI23+AH24-AQ23,IF(A24&lt;'Données projet'!$A$62,$AF$205^A24,IF(A24='Données projet'!$A$62,'Données projet'!$B$62,AI23+AH24-AQ23)))</f>
        <v>107.31909321895355</v>
      </c>
      <c r="AJ24" s="14">
        <f>AI24*VLOOKUP('Données projet'!$B$10,Paramètres!$A$1:$I$88,3,0)*VLOOKUP('Données projet'!$B$10,Paramètres!$A$1:$I$88,5,0)</f>
        <v>64.176817744934226</v>
      </c>
      <c r="AK24" s="14">
        <f t="shared" si="35"/>
        <v>18.220127988333541</v>
      </c>
      <c r="AL24" s="22">
        <f t="shared" si="4"/>
        <v>143.50801381877469</v>
      </c>
      <c r="AM24" s="62">
        <f t="shared" si="5"/>
        <v>406.79860566487037</v>
      </c>
      <c r="AN24" s="62">
        <f ca="1">AVERAGE(OFFSET($AM$3,0,0,'Données projet'!$E$10+1,1))-AVERAGE(OFFSET($H$3,0,0,'Données projet'!$E$10+1,1))</f>
        <v>197.84745001458262</v>
      </c>
      <c r="AO24" s="62">
        <f t="shared" si="36"/>
        <v>290.24283321060068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4.5536806044149083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4.5536806044149083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projet'!$B$11,Paramètres!$A$1:$I$88,3,0)*VLOOKUP('Données projet'!$B$11,Paramètres!$A$1:$I$88,5,0)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395.7347026236896</v>
      </c>
      <c r="BI24" s="62">
        <f ca="1">AVERAGE(OFFSET($BH$3,0,0,'Données projet'!$E$11+1,1))-AVERAGE(OFFSET($H$3,0,0,'Données projet'!$E$11+1,1))</f>
        <v>377.49758296179459</v>
      </c>
      <c r="BJ24" s="62">
        <f t="shared" si="38"/>
        <v>297.9972591134441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5.8396157706602931</v>
      </c>
      <c r="BY24" s="13">
        <f>IF('Données projet'!$A$114&gt;35,BY23+BX24-CG23,IF(A24&lt;'Données projet'!$A$114,$BV$205^A24,IF(A24='Données projet'!$A$114,'Données projet'!$B$114,BY23+BX24-CG23)))</f>
        <v>22.937088382301717</v>
      </c>
      <c r="BZ24" s="14">
        <f>BY24*VLOOKUP('Données projet'!$B$12,Paramètres!$A$1:$I$88,3,0)*VLOOKUP('Données projet'!$B$12,Paramètres!$A$1:$I$88,5,0)</f>
        <v>10.734557362917203</v>
      </c>
      <c r="CA24" s="14">
        <f t="shared" si="39"/>
        <v>3.7527785009970893</v>
      </c>
      <c r="CB24" s="22">
        <f t="shared" si="10"/>
        <v>25.232109962984058</v>
      </c>
      <c r="CC24" s="62">
        <f t="shared" si="11"/>
        <v>288.52270180907971</v>
      </c>
      <c r="CD24" s="62">
        <f ca="1">AVERAGE(OFFSET($CC$3,0,0,'Données projet'!$E$12+1,1))-AVERAGE(OFFSET($H$3,0,0,'Données projet'!$E$12+1,1))</f>
        <v>163.77317062597106</v>
      </c>
      <c r="CE24" s="62">
        <f t="shared" si="40"/>
        <v>122.66073843071686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2.4240271090992769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2.4240271090992769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9.0023467968345745</v>
      </c>
      <c r="CT24" s="13">
        <f>IF('Données projet'!$A$140&gt;35,CT23+CS24-DB23,IF(A24&lt;'Données projet'!$A$140,$CQ$205^A24,IF(A24='Données projet'!$A$140,'Données projet'!$B$140,CT23+CS24-DB23)))</f>
        <v>80.922868608915138</v>
      </c>
      <c r="CU24" s="18">
        <f>CT24*VLOOKUP('Données projet'!$B$13,Paramètres!$A$1:$I$88,3,0)*VLOOKUP('Données projet'!$B$13,Paramètres!$A$1:$I$88,5,0)</f>
        <v>48.391875428131257</v>
      </c>
      <c r="CV24" s="14">
        <f t="shared" si="41"/>
        <v>14.197667622209675</v>
      </c>
      <c r="CW24" s="22">
        <f t="shared" si="13"/>
        <v>109.01012081267713</v>
      </c>
      <c r="CX24" s="62">
        <f t="shared" si="14"/>
        <v>372.3007126587728</v>
      </c>
      <c r="CY24" s="62">
        <f ca="1">AVERAGE(OFFSET($CX$3,0,0,'Données projet'!$E$13+1,1))-AVERAGE(OFFSET($H$3,0,0,'Données projet'!$E$13+1,1))</f>
        <v>167.84261986874142</v>
      </c>
      <c r="CZ24" s="62">
        <f t="shared" si="42"/>
        <v>242.5860875239222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3.4721529367778787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3.4721529367778787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1.5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5.5</v>
      </c>
      <c r="H25" s="70">
        <f t="shared" si="1"/>
        <v>234.66666666666666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3.6388888888888888</v>
      </c>
      <c r="N25" s="14">
        <f>IF('Données projet'!$A$36&gt;35,N24+M25-V24,IF(A25&lt;'Données projet'!$A$36,$K$205^A25,IF(A25='Données projet'!$A$36,'Données projet'!$B$36,N24+M25-V24)))</f>
        <v>80.055555555555515</v>
      </c>
      <c r="O25" s="14">
        <f>N25*VLOOKUP('Données projet'!$B$9,Paramètres!$A$1:$I$88,3,0)*VLOOKUP('Données projet'!$B$9,Paramètres!$A$1:$I$88,5,0)</f>
        <v>72.43426666666663</v>
      </c>
      <c r="P25" s="14">
        <f t="shared" si="33"/>
        <v>20.276763839376951</v>
      </c>
      <c r="Q25" s="22">
        <f t="shared" si="2"/>
        <v>161.47171146469259</v>
      </c>
      <c r="R25" s="62">
        <f t="shared" si="0"/>
        <v>426.31487452462198</v>
      </c>
      <c r="S25" s="62">
        <f ca="1">AVERAGE(OFFSET($R$3,0,0,'Données projet'!$E$9+1,1))-AVERAGE(OFFSET($H$3,0,0,'Données projet'!$E$9+1,1))</f>
        <v>387.16864229348823</v>
      </c>
      <c r="T25" s="62">
        <f t="shared" si="34"/>
        <v>260.88002342542893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12.004764960245584</v>
      </c>
      <c r="AI25" s="14">
        <f>IF('Données projet'!$A$62&gt;35,AI24+AH25-AQ24,IF(A25&lt;'Données projet'!$A$62,$AF$205^A25,IF(A25='Données projet'!$A$62,'Données projet'!$B$62,AI24+AH25-AQ24)))</f>
        <v>119.32385817919914</v>
      </c>
      <c r="AJ25" s="14">
        <f>AI25*VLOOKUP('Données projet'!$B$10,Paramètres!$A$1:$I$88,3,0)*VLOOKUP('Données projet'!$B$10,Paramètres!$A$1:$I$88,5,0)</f>
        <v>71.355667191161089</v>
      </c>
      <c r="AK25" s="14">
        <f t="shared" si="35"/>
        <v>20.009740758721055</v>
      </c>
      <c r="AL25" s="22">
        <f t="shared" si="4"/>
        <v>159.12808551271138</v>
      </c>
      <c r="AM25" s="62">
        <f t="shared" si="5"/>
        <v>423.97124857264077</v>
      </c>
      <c r="AN25" s="62">
        <f ca="1">AVERAGE(OFFSET($AM$3,0,0,'Données projet'!$E$10+1,1))-AVERAGE(OFFSET($H$3,0,0,'Données projet'!$E$10+1,1))</f>
        <v>197.84745001458262</v>
      </c>
      <c r="AO25" s="62">
        <f t="shared" si="36"/>
        <v>290.24283321060068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4.4291599688195271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4.4291599688195271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projet'!$B$11,Paramètres!$A$1:$I$88,3,0)*VLOOKUP('Données projet'!$B$11,Paramètres!$A$1:$I$88,5,0)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428.7470259363605</v>
      </c>
      <c r="BI25" s="62">
        <f ca="1">AVERAGE(OFFSET($BH$3,0,0,'Données projet'!$E$11+1,1))-AVERAGE(OFFSET($H$3,0,0,'Données projet'!$E$11+1,1))</f>
        <v>377.49758296179459</v>
      </c>
      <c r="BJ25" s="62">
        <f t="shared" si="38"/>
        <v>297.9972591134441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projet'!$B$11,Paramètres!$A$1:$I$88,7,0))</f>
        <v>4.5000000000000005E-2</v>
      </c>
      <c r="BN25" s="17">
        <f>IF(ISNA(VLOOKUP(A25,'Données projet'!$A$87:$I$107,6,0)),0%,VLOOKUP(A25,'Données projet'!$A$87:$I$107,6,0)*VLOOKUP('Données projet'!$B$11,Paramètres!$A$1:$I$88,7,0))</f>
        <v>0.36000000000000004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0.57116559193404848</v>
      </c>
      <c r="BQ25" s="23">
        <f>EXP(-LN(2)/25)*BQ24+(1-EXP(-LN(2)/25))/(LN(2)/25)*Calculateur!BL25*Calculateur!BN25*VLOOKUP('Données projet'!$B$11,Paramètres!$A$1:$I$88,3,0)*0.475*44/12</f>
        <v>4.5513335629396128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5.1224991548736609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5.8396157706602931</v>
      </c>
      <c r="BY25" s="13">
        <f>IF('Données projet'!$A$114&gt;35,BY24+BX25-CG24,IF(A25&lt;'Données projet'!$A$114,$BV$205^A25,IF(A25='Données projet'!$A$114,'Données projet'!$B$114,BY24+BX25-CG24)))</f>
        <v>28.776704152962012</v>
      </c>
      <c r="BZ25" s="14">
        <f>BY25*VLOOKUP('Données projet'!$B$12,Paramètres!$A$1:$I$88,3,0)*VLOOKUP('Données projet'!$B$12,Paramètres!$A$1:$I$88,5,0)</f>
        <v>13.467497543586221</v>
      </c>
      <c r="CA25" s="14">
        <f t="shared" si="39"/>
        <v>4.5855345934827776</v>
      </c>
      <c r="CB25" s="22">
        <f t="shared" si="10"/>
        <v>31.442364305395174</v>
      </c>
      <c r="CC25" s="62">
        <f t="shared" si="11"/>
        <v>296.28552736532458</v>
      </c>
      <c r="CD25" s="62">
        <f ca="1">AVERAGE(OFFSET($CC$3,0,0,'Données projet'!$E$12+1,1))-AVERAGE(OFFSET($H$3,0,0,'Données projet'!$E$12+1,1))</f>
        <v>163.77317062597106</v>
      </c>
      <c r="CE25" s="62">
        <f t="shared" si="40"/>
        <v>122.66073843071686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2.3577419603269116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2.3577419603269116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9.0023467968345745</v>
      </c>
      <c r="CT25" s="13">
        <f>IF('Données projet'!$A$140&gt;35,CT24+CS25-DB24,IF(A25&lt;'Données projet'!$A$140,$CQ$205^A25,IF(A25='Données projet'!$A$140,'Données projet'!$B$140,CT24+CS25-DB24)))</f>
        <v>89.925215405749711</v>
      </c>
      <c r="CU25" s="18">
        <f>CT25*VLOOKUP('Données projet'!$B$13,Paramètres!$A$1:$I$88,3,0)*VLOOKUP('Données projet'!$B$13,Paramètres!$A$1:$I$88,5,0)</f>
        <v>53.775278812638334</v>
      </c>
      <c r="CV25" s="14">
        <f t="shared" si="41"/>
        <v>15.584573186062174</v>
      </c>
      <c r="CW25" s="22">
        <f t="shared" si="13"/>
        <v>120.80174223107004</v>
      </c>
      <c r="CX25" s="62">
        <f t="shared" si="14"/>
        <v>385.64490529099942</v>
      </c>
      <c r="CY25" s="62">
        <f ca="1">AVERAGE(OFFSET($CX$3,0,0,'Données projet'!$E$13+1,1))-AVERAGE(OFFSET($H$3,0,0,'Données projet'!$E$13+1,1))</f>
        <v>167.84261986874142</v>
      </c>
      <c r="CZ25" s="62">
        <f t="shared" si="42"/>
        <v>242.5860875239222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3.3772067321291006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3.3772067321291006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1.5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5.5</v>
      </c>
      <c r="H26" s="70">
        <f t="shared" si="1"/>
        <v>234.66666666666666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3.6388888888888888</v>
      </c>
      <c r="N26" s="14">
        <f>IF('Données projet'!$A$36&gt;35,N25+M26-V25,IF(A26&lt;'Données projet'!$A$36,$K$205^A26,IF(A26='Données projet'!$A$36,'Données projet'!$B$36,N25+M26-V25)))</f>
        <v>83.6944444444444</v>
      </c>
      <c r="O26" s="14">
        <f>N26*VLOOKUP('Données projet'!$B$9,Paramètres!$A$1:$I$88,3,0)*VLOOKUP('Données projet'!$B$9,Paramètres!$A$1:$I$88,5,0)</f>
        <v>75.7267333333333</v>
      </c>
      <c r="P26" s="14">
        <f t="shared" si="33"/>
        <v>21.089033571024601</v>
      </c>
      <c r="Q26" s="22">
        <f t="shared" si="2"/>
        <v>168.62079402508999</v>
      </c>
      <c r="R26" s="62">
        <f t="shared" si="0"/>
        <v>435.0107974823984</v>
      </c>
      <c r="S26" s="62">
        <f ca="1">AVERAGE(OFFSET($R$3,0,0,'Données projet'!$E$9+1,1))-AVERAGE(OFFSET($H$3,0,0,'Données projet'!$E$9+1,1))</f>
        <v>387.16864229348823</v>
      </c>
      <c r="T26" s="62">
        <f t="shared" si="34"/>
        <v>260.88002342542893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12.004764960245584</v>
      </c>
      <c r="AI26" s="14">
        <f>IF('Données projet'!$A$62&gt;35,AI25+AH26-AQ25,IF(A26&lt;'Données projet'!$A$62,$AF$205^A26,IF(A26='Données projet'!$A$62,'Données projet'!$B$62,AI25+AH26-AQ25)))</f>
        <v>131.32862313944472</v>
      </c>
      <c r="AJ26" s="14">
        <f>AI26*VLOOKUP('Données projet'!$B$10,Paramètres!$A$1:$I$88,3,0)*VLOOKUP('Données projet'!$B$10,Paramètres!$A$1:$I$88,5,0)</f>
        <v>78.534516637387952</v>
      </c>
      <c r="AK26" s="14">
        <f t="shared" si="35"/>
        <v>21.77848118100481</v>
      </c>
      <c r="AL26" s="22">
        <f t="shared" si="4"/>
        <v>174.7118045337007</v>
      </c>
      <c r="AM26" s="62">
        <f t="shared" si="5"/>
        <v>441.10180799100908</v>
      </c>
      <c r="AN26" s="62">
        <f ca="1">AVERAGE(OFFSET($AM$3,0,0,'Données projet'!$E$10+1,1))-AVERAGE(OFFSET($H$3,0,0,'Données projet'!$E$10+1,1))</f>
        <v>197.84745001458262</v>
      </c>
      <c r="AO26" s="62">
        <f t="shared" si="36"/>
        <v>290.24283321060068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4.3080443565527577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4.3080443565527577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projet'!$B$11,Paramètres!$A$1:$I$88,3,0)*VLOOKUP('Données projet'!$B$11,Paramètres!$A$1:$I$88,5,0)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425.53040272805936</v>
      </c>
      <c r="BI26" s="62">
        <f ca="1">AVERAGE(OFFSET($BH$3,0,0,'Données projet'!$E$11+1,1))-AVERAGE(OFFSET($H$3,0,0,'Données projet'!$E$11+1,1))</f>
        <v>377.49758296179459</v>
      </c>
      <c r="BJ26" s="62">
        <f t="shared" si="38"/>
        <v>297.9972591134441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0.5599653830528335</v>
      </c>
      <c r="BQ26" s="23">
        <f>EXP(-LN(2)/25)*BQ25+(1-EXP(-LN(2)/25))/(LN(2)/25)*Calculateur!BL26*Calculateur!BN26*VLOOKUP('Données projet'!$B$11,Paramètres!$A$1:$I$88,3,0)*0.475*44/12</f>
        <v>4.4268771073167992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4.9868424903696322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5.8396157706602931</v>
      </c>
      <c r="BY26" s="13">
        <f>IF('Données projet'!$A$114&gt;35,BY25+BX26-CG25,IF(A26&lt;'Données projet'!$A$114,$BV$205^A26,IF(A26='Données projet'!$A$114,'Données projet'!$B$114,BY25+BX26-CG25)))</f>
        <v>34.616319923622306</v>
      </c>
      <c r="BZ26" s="14">
        <f>BY26*VLOOKUP('Données projet'!$B$12,Paramètres!$A$1:$I$88,3,0)*VLOOKUP('Données projet'!$B$12,Paramètres!$A$1:$I$88,5,0)</f>
        <v>16.200437724255238</v>
      </c>
      <c r="CA26" s="14">
        <f t="shared" si="39"/>
        <v>5.3987087694307592</v>
      </c>
      <c r="CB26" s="22">
        <f t="shared" si="10"/>
        <v>37.618513476503104</v>
      </c>
      <c r="CC26" s="62">
        <f t="shared" si="11"/>
        <v>304.00851693381151</v>
      </c>
      <c r="CD26" s="62">
        <f ca="1">AVERAGE(OFFSET($CC$3,0,0,'Données projet'!$E$12+1,1))-AVERAGE(OFFSET($H$3,0,0,'Données projet'!$E$12+1,1))</f>
        <v>163.77317062597106</v>
      </c>
      <c r="CE26" s="62">
        <f t="shared" si="40"/>
        <v>122.66073843071686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2.2932693824335111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2.2932693824335111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9.0023467968345745</v>
      </c>
      <c r="CT26" s="13">
        <f>IF('Données projet'!$A$140&gt;35,CT25+CS26-DB25,IF(A26&lt;'Données projet'!$A$140,$CQ$205^A26,IF(A26='Données projet'!$A$140,'Données projet'!$B$140,CT25+CS26-DB25)))</f>
        <v>98.927562202584284</v>
      </c>
      <c r="CU26" s="18">
        <f>CT26*VLOOKUP('Données projet'!$B$13,Paramètres!$A$1:$I$88,3,0)*VLOOKUP('Données projet'!$B$13,Paramètres!$A$1:$I$88,5,0)</f>
        <v>59.15868219714541</v>
      </c>
      <c r="CV26" s="14">
        <f t="shared" si="41"/>
        <v>16.955382973759502</v>
      </c>
      <c r="CW26" s="22">
        <f t="shared" si="13"/>
        <v>132.56533017265937</v>
      </c>
      <c r="CX26" s="62">
        <f t="shared" si="14"/>
        <v>398.95533362996775</v>
      </c>
      <c r="CY26" s="62">
        <f ca="1">AVERAGE(OFFSET($CX$3,0,0,'Données projet'!$E$13+1,1))-AVERAGE(OFFSET($H$3,0,0,'Données projet'!$E$13+1,1))</f>
        <v>167.84261986874142</v>
      </c>
      <c r="CZ26" s="62">
        <f t="shared" si="42"/>
        <v>242.5860875239222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3.284856836439447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3.284856836439447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1.5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5.5</v>
      </c>
      <c r="H27" s="70">
        <f t="shared" si="1"/>
        <v>234.66666666666666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3.6388888888888888</v>
      </c>
      <c r="N27" s="14">
        <f>IF('Données projet'!$A$36&gt;35,N26+M27-V26,IF(A27&lt;'Données projet'!$A$36,$K$205^A27,IF(A27='Données projet'!$A$36,'Données projet'!$B$36,N26+M27-V26)))</f>
        <v>87.333333333333286</v>
      </c>
      <c r="O27" s="14">
        <f>N27*VLOOKUP('Données projet'!$B$9,Paramètres!$A$1:$I$88,3,0)*VLOOKUP('Données projet'!$B$9,Paramètres!$A$1:$I$88,5,0)</f>
        <v>79.019199999999955</v>
      </c>
      <c r="P27" s="14">
        <f t="shared" si="33"/>
        <v>21.897201531388234</v>
      </c>
      <c r="Q27" s="22">
        <f t="shared" si="2"/>
        <v>175.76273266716774</v>
      </c>
      <c r="R27" s="62">
        <f t="shared" si="0"/>
        <v>443.69394512225369</v>
      </c>
      <c r="S27" s="62">
        <f ca="1">AVERAGE(OFFSET($R$3,0,0,'Données projet'!$E$9+1,1))-AVERAGE(OFFSET($H$3,0,0,'Données projet'!$E$9+1,1))</f>
        <v>387.16864229348823</v>
      </c>
      <c r="T27" s="62">
        <f t="shared" si="34"/>
        <v>260.88002342542893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12.004764960245584</v>
      </c>
      <c r="AI27" s="14">
        <f>IF('Données projet'!$A$62&gt;35,AI26+AH27-AQ26,IF(A27&lt;'Données projet'!$A$62,$AF$205^A27,IF(A27='Données projet'!$A$62,'Données projet'!$B$62,AI26+AH27-AQ26)))</f>
        <v>143.3333880996903</v>
      </c>
      <c r="AJ27" s="14">
        <f>AI27*VLOOKUP('Données projet'!$B$10,Paramètres!$A$1:$I$88,3,0)*VLOOKUP('Données projet'!$B$10,Paramètres!$A$1:$I$88,5,0)</f>
        <v>85.713366083614815</v>
      </c>
      <c r="AK27" s="14">
        <f t="shared" si="35"/>
        <v>23.528474192210641</v>
      </c>
      <c r="AL27" s="22">
        <f t="shared" si="4"/>
        <v>190.26287181372933</v>
      </c>
      <c r="AM27" s="62">
        <f t="shared" si="5"/>
        <v>458.19408426881523</v>
      </c>
      <c r="AN27" s="62">
        <f ca="1">AVERAGE(OFFSET($AM$3,0,0,'Données projet'!$E$10+1,1))-AVERAGE(OFFSET($H$3,0,0,'Données projet'!$E$10+1,1))</f>
        <v>197.84745001458262</v>
      </c>
      <c r="AO27" s="62">
        <f t="shared" si="36"/>
        <v>290.24283321060068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4.1902406570726161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4.1902406570726161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projet'!$B$11,Paramètres!$A$1:$I$88,3,0)*VLOOKUP('Données projet'!$B$11,Paramètres!$A$1:$I$88,5,0)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443.08135239672828</v>
      </c>
      <c r="BI27" s="62">
        <f ca="1">AVERAGE(OFFSET($BH$3,0,0,'Données projet'!$E$11+1,1))-AVERAGE(OFFSET($H$3,0,0,'Données projet'!$E$11+1,1))</f>
        <v>377.49758296179459</v>
      </c>
      <c r="BJ27" s="62">
        <f t="shared" si="38"/>
        <v>297.9972591134441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0.54898480343632627</v>
      </c>
      <c r="BQ27" s="23">
        <f>EXP(-LN(2)/25)*BQ26+(1-EXP(-LN(2)/25))/(LN(2)/25)*Calculateur!BL27*Calculateur!BN27*VLOOKUP('Données projet'!$B$11,Paramètres!$A$1:$I$88,3,0)*0.475*44/12</f>
        <v>4.3058239200178718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4.8548087234541981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5.8396157706602931</v>
      </c>
      <c r="BY27" s="13">
        <f>IF('Données projet'!$A$114&gt;35,BY26+BX27-CG26,IF(A27&lt;'Données projet'!$A$114,$BV$205^A27,IF(A27='Données projet'!$A$114,'Données projet'!$B$114,BY26+BX27-CG26)))</f>
        <v>40.455935694282601</v>
      </c>
      <c r="BZ27" s="14">
        <f>BY27*VLOOKUP('Données projet'!$B$12,Paramètres!$A$1:$I$88,3,0)*VLOOKUP('Données projet'!$B$12,Paramètres!$A$1:$I$88,5,0)</f>
        <v>18.933377904924257</v>
      </c>
      <c r="CA27" s="14">
        <f t="shared" si="39"/>
        <v>6.1959915530018259</v>
      </c>
      <c r="CB27" s="22">
        <f t="shared" si="10"/>
        <v>43.766985139221255</v>
      </c>
      <c r="CC27" s="62">
        <f t="shared" si="11"/>
        <v>311.6981975943072</v>
      </c>
      <c r="CD27" s="62">
        <f ca="1">AVERAGE(OFFSET($CC$3,0,0,'Données projet'!$E$12+1,1))-AVERAGE(OFFSET($H$3,0,0,'Données projet'!$E$12+1,1))</f>
        <v>163.77317062597106</v>
      </c>
      <c r="CE27" s="62">
        <f t="shared" si="40"/>
        <v>122.66073843071686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2.2305598105730713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2.2305598105730713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9.0023467968345745</v>
      </c>
      <c r="CT27" s="13">
        <f>IF('Données projet'!$A$140&gt;35,CT26+CS27-DB26,IF(A27&lt;'Données projet'!$A$140,$CQ$205^A27,IF(A27='Données projet'!$A$140,'Données projet'!$B$140,CT26+CS27-DB26)))</f>
        <v>107.92990899941886</v>
      </c>
      <c r="CU27" s="18">
        <f>CT27*VLOOKUP('Données projet'!$B$13,Paramètres!$A$1:$I$88,3,0)*VLOOKUP('Données projet'!$B$13,Paramètres!$A$1:$I$88,5,0)</f>
        <v>64.542085581652472</v>
      </c>
      <c r="CV27" s="14">
        <f t="shared" si="41"/>
        <v>18.311728269034763</v>
      </c>
      <c r="CW27" s="22">
        <f t="shared" si="13"/>
        <v>144.30372578994692</v>
      </c>
      <c r="CX27" s="62">
        <f t="shared" si="14"/>
        <v>412.23493824503282</v>
      </c>
      <c r="CY27" s="62">
        <f ca="1">AVERAGE(OFFSET($CX$3,0,0,'Données projet'!$E$13+1,1))-AVERAGE(OFFSET($H$3,0,0,'Données projet'!$E$13+1,1))</f>
        <v>167.84261986874142</v>
      </c>
      <c r="CZ27" s="62">
        <f t="shared" si="42"/>
        <v>242.5860875239222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3.1950322535038969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3.1950322535038969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1.5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5.5</v>
      </c>
      <c r="H28" s="70">
        <f t="shared" si="1"/>
        <v>234.66666666666666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3.6388888888888888</v>
      </c>
      <c r="N28" s="14">
        <f>IF('Données projet'!$A$36&gt;35,N27+M28-V27,IF(A28&lt;'Données projet'!$A$36,$K$205^A28,IF(A28='Données projet'!$A$36,'Données projet'!$B$36,N27+M28-V27)))</f>
        <v>90.972222222222172</v>
      </c>
      <c r="O28" s="14">
        <f>N28*VLOOKUP('Données projet'!$B$9,Paramètres!$A$1:$I$88,3,0)*VLOOKUP('Données projet'!$B$9,Paramètres!$A$1:$I$88,5,0)</f>
        <v>82.311666666666625</v>
      </c>
      <c r="P28" s="14">
        <f t="shared" si="33"/>
        <v>22.701458171644916</v>
      </c>
      <c r="Q28" s="22">
        <f t="shared" si="2"/>
        <v>182.89785909339261</v>
      </c>
      <c r="R28" s="62">
        <f t="shared" si="0"/>
        <v>452.36474683884774</v>
      </c>
      <c r="S28" s="62">
        <f ca="1">AVERAGE(OFFSET($R$3,0,0,'Données projet'!$E$9+1,1))-AVERAGE(OFFSET($H$3,0,0,'Données projet'!$E$9+1,1))</f>
        <v>387.16864229348823</v>
      </c>
      <c r="T28" s="62">
        <f t="shared" si="34"/>
        <v>260.88002342542893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155.33815305993591</v>
      </c>
      <c r="AG28" s="13">
        <f>VLOOKUP(A28,'Données projet'!$A$61:$I$81,9,0)</f>
        <v>12.004764960245584</v>
      </c>
      <c r="AH28" s="13">
        <f t="array" ref="AH28">INDEX(AG:AG,MIN(IF(ISNUMBER(AG28:AG224),ROW(AG28:AG224),"")))</f>
        <v>12.004764960245584</v>
      </c>
      <c r="AI28" s="14">
        <f>IF('Données projet'!$A$62&gt;35,AI27+AH28-AQ27,IF(A28&lt;'Données projet'!$A$62,$AF$205^A28,IF(A28='Données projet'!$A$62,'Données projet'!$B$62,AI27+AH28-AQ27)))</f>
        <v>155.33815305993588</v>
      </c>
      <c r="AJ28" s="14">
        <f>AI28*VLOOKUP('Données projet'!$B$10,Paramètres!$A$1:$I$88,3,0)*VLOOKUP('Données projet'!$B$10,Paramètres!$A$1:$I$88,5,0)</f>
        <v>92.892215529841664</v>
      </c>
      <c r="AK28" s="14">
        <f t="shared" si="35"/>
        <v>25.261468481542899</v>
      </c>
      <c r="AL28" s="22">
        <f t="shared" si="4"/>
        <v>205.78433298649477</v>
      </c>
      <c r="AM28" s="62">
        <f t="shared" si="5"/>
        <v>475.25122073194996</v>
      </c>
      <c r="AN28" s="62">
        <f ca="1">AVERAGE(OFFSET($AM$3,0,0,'Données projet'!$E$10+1,1))-AVERAGE(OFFSET($H$3,0,0,'Données projet'!$E$10+1,1))</f>
        <v>197.84745001458262</v>
      </c>
      <c r="AO28" s="62">
        <f t="shared" si="36"/>
        <v>290.24283321060068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46.601445917980769</v>
      </c>
      <c r="AR28" s="17">
        <f>IF(ISNA(VLOOKUP(A28,'Données projet'!$A$61:$I$81,5,0)),0%,VLOOKUP(A28,'Données projet'!$A$61:$I$81,5,0)*VLOOKUP('Données projet'!$B$10,Paramètres!$A$1:$I$88,7,0))</f>
        <v>4.5000000000000005E-2</v>
      </c>
      <c r="AS28" s="17">
        <f>IF(ISNA(VLOOKUP(A28,'Données projet'!$A$61:$I$81,6,0)),0%,VLOOKUP(A28,'Données projet'!$A$61:$I$81,6,0)*VLOOKUP('Données projet'!$B$10,Paramètres!$A$1:$I$88,7,0))</f>
        <v>0.36000000000000004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1.6635714026703772</v>
      </c>
      <c r="AV28" s="23">
        <f>EXP(-LN(2)/25)*AV27+(1-EXP(-LN(2)/25))/(LN(2)/25)*Calculateur!AQ28*Calculateur!AS28*VLOOKUP('Données projet'!$B$10,Paramètres!$A$1:$I$88,3,0)*0.475*44/12</f>
        <v>17.331828611451105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18.995400014121483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projet'!$B$11,Paramètres!$A$1:$I$88,3,0)*VLOOKUP('Données projet'!$B$11,Paramètres!$A$1:$I$88,5,0)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460.59240073175624</v>
      </c>
      <c r="BI28" s="62">
        <f ca="1">AVERAGE(OFFSET($BH$3,0,0,'Données projet'!$E$11+1,1))-AVERAGE(OFFSET($H$3,0,0,'Données projet'!$E$11+1,1))</f>
        <v>377.49758296179459</v>
      </c>
      <c r="BJ28" s="62">
        <f t="shared" si="38"/>
        <v>297.9972591134441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projet'!$B$11,Paramètres!$A$1:$I$88,7,0))</f>
        <v>0.13500000000000001</v>
      </c>
      <c r="BN28" s="17">
        <f>IF(ISNA(VLOOKUP(A28,'Données projet'!$A$87:$I$107,6,0)),0%,VLOOKUP(A28,'Données projet'!$A$87:$I$107,6,0)*VLOOKUP('Données projet'!$B$11,Paramètres!$A$1:$I$88,7,0))</f>
        <v>0.22500000000000001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2.3588098705783862</v>
      </c>
      <c r="BQ28" s="23">
        <f>EXP(-LN(2)/25)*BQ27+(1-EXP(-LN(2)/25))/(LN(2)/25)*Calculateur!BL28*Calculateur!BN28*VLOOKUP('Données projet'!$B$11,Paramètres!$A$1:$I$88,3,0)*0.475*44/12</f>
        <v>7.2104508826311307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9.569260753209516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5.8396157706602931</v>
      </c>
      <c r="BY28" s="13">
        <f>IF('Données projet'!$A$114&gt;35,BY27+BX28-CG27,IF(A28&lt;'Données projet'!$A$114,$BV$205^A28,IF(A28='Données projet'!$A$114,'Données projet'!$B$114,BY27+BX28-CG27)))</f>
        <v>46.295551464942896</v>
      </c>
      <c r="BZ28" s="14">
        <f>BY28*VLOOKUP('Données projet'!$B$12,Paramètres!$A$1:$I$88,3,0)*VLOOKUP('Données projet'!$B$12,Paramètres!$A$1:$I$88,5,0)</f>
        <v>21.666318085593275</v>
      </c>
      <c r="CA28" s="14">
        <f t="shared" si="39"/>
        <v>6.9799416533877254</v>
      </c>
      <c r="CB28" s="22">
        <f t="shared" si="10"/>
        <v>49.892235712058579</v>
      </c>
      <c r="CC28" s="62">
        <f t="shared" si="11"/>
        <v>319.35912345751376</v>
      </c>
      <c r="CD28" s="62">
        <f ca="1">AVERAGE(OFFSET($CC$3,0,0,'Données projet'!$E$12+1,1))-AVERAGE(OFFSET($H$3,0,0,'Données projet'!$E$12+1,1))</f>
        <v>163.77317062597106</v>
      </c>
      <c r="CE28" s="62">
        <f t="shared" si="40"/>
        <v>122.66073843071686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2.1695650352529081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2.1695650352529081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116.93225579625344</v>
      </c>
      <c r="CR28" s="13">
        <f>VLOOKUP(A28,'Données projet'!$A$139:$I$159,9,0)</f>
        <v>9.0023467968345745</v>
      </c>
      <c r="CS28" s="13">
        <f t="array" ref="CS28">INDEX(CR:CR,MIN(IF(ISNUMBER(CR28:CR224),ROW(CR28:CR224),"")))</f>
        <v>9.0023467968345745</v>
      </c>
      <c r="CT28" s="13">
        <f>IF('Données projet'!$A$140&gt;35,CT27+CS28-DB27,IF(A28&lt;'Données projet'!$A$140,$CQ$205^A28,IF(A28='Données projet'!$A$140,'Données projet'!$B$140,CT27+CS28-DB27)))</f>
        <v>116.93225579625343</v>
      </c>
      <c r="CU28" s="18">
        <f>CT28*VLOOKUP('Données projet'!$B$13,Paramètres!$A$1:$I$88,3,0)*VLOOKUP('Données projet'!$B$13,Paramètres!$A$1:$I$88,5,0)</f>
        <v>69.925488966159548</v>
      </c>
      <c r="CV28" s="14">
        <f t="shared" si="41"/>
        <v>19.654952708806896</v>
      </c>
      <c r="CW28" s="22">
        <f t="shared" si="13"/>
        <v>156.01926925056657</v>
      </c>
      <c r="CX28" s="62">
        <f t="shared" si="14"/>
        <v>425.48615699602169</v>
      </c>
      <c r="CY28" s="62">
        <f ca="1">AVERAGE(OFFSET($CX$3,0,0,'Données projet'!$E$13+1,1))-AVERAGE(OFFSET($H$3,0,0,'Données projet'!$E$13+1,1))</f>
        <v>167.84261986874142</v>
      </c>
      <c r="CZ28" s="62">
        <f t="shared" si="42"/>
        <v>242.5860875239222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29.233063949063361</v>
      </c>
      <c r="DC28" s="17">
        <f>IF(ISNA(VLOOKUP(A28,'Données projet'!$A$139:$I$159,5,0)),0%,VLOOKUP(A28,'Données projet'!$A$139:$I$159,5,0)*VLOOKUP('Données projet'!$B$13,Paramètres!$A$1:$I$88,7,0))</f>
        <v>4.5000000000000005E-2</v>
      </c>
      <c r="DD28" s="17">
        <f>IF(ISNA(VLOOKUP(A28,'Données projet'!$A$139:$I$159,6,0)),0%,VLOOKUP(A28,'Données projet'!$A$139:$I$159,6,0)*VLOOKUP('Données projet'!$B$13,Paramètres!$A$1:$I$88,7,0))</f>
        <v>0.36000000000000004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1.0435575171570419</v>
      </c>
      <c r="DG28" s="23">
        <f>EXP(-LN(2)/25)*DG27+(1-EXP(-LN(2)/25))/(LN(2)/25)*Calculateur!DB28*Calculateur!DD28*VLOOKUP('Données projet'!$B$13,Paramètres!$A$1:$I$88,3,0)*0.475*44/12</f>
        <v>11.423252997195645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12.466810514352687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1.5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5.5</v>
      </c>
      <c r="H29" s="70">
        <f t="shared" si="1"/>
        <v>234.66666666666666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3.6388888888888888</v>
      </c>
      <c r="N29" s="14">
        <f>IF('Données projet'!$A$36&gt;35,N28+M29-V28,IF(A29&lt;'Données projet'!$A$36,$K$205^A29,IF(A29='Données projet'!$A$36,'Données projet'!$B$36,N28+M29-V28)))</f>
        <v>94.611111111111057</v>
      </c>
      <c r="O29" s="14">
        <f>N29*VLOOKUP('Données projet'!$B$9,Paramètres!$A$1:$I$88,3,0)*VLOOKUP('Données projet'!$B$9,Paramètres!$A$1:$I$88,5,0)</f>
        <v>85.60413333333328</v>
      </c>
      <c r="P29" s="14">
        <f t="shared" si="33"/>
        <v>23.501977844465927</v>
      </c>
      <c r="Q29" s="22">
        <f t="shared" si="2"/>
        <v>190.02647696800031</v>
      </c>
      <c r="R29" s="62">
        <f t="shared" si="0"/>
        <v>461.02360229386852</v>
      </c>
      <c r="S29" s="62">
        <f ca="1">AVERAGE(OFFSET($R$3,0,0,'Données projet'!$E$9+1,1))-AVERAGE(OFFSET($H$3,0,0,'Données projet'!$E$9+1,1))</f>
        <v>387.16864229348823</v>
      </c>
      <c r="T29" s="62">
        <f t="shared" si="34"/>
        <v>260.88002342542893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15.84652991508047</v>
      </c>
      <c r="AI29" s="14">
        <f>IF('Données projet'!$A$62&gt;35,AI28+AH29-AQ28,IF(A29&lt;'Données projet'!$A$62,$AF$205^A29,IF(A29='Données projet'!$A$62,'Données projet'!$B$62,AI28+AH29-AQ28)))</f>
        <v>124.58323705703559</v>
      </c>
      <c r="AJ29" s="14">
        <f>AI29*VLOOKUP('Données projet'!$B$10,Paramètres!$A$1:$I$88,3,0)*VLOOKUP('Données projet'!$B$10,Paramètres!$A$1:$I$88,5,0)</f>
        <v>74.500775760107288</v>
      </c>
      <c r="AK29" s="14">
        <f t="shared" si="35"/>
        <v>20.787073100870156</v>
      </c>
      <c r="AL29" s="22">
        <f t="shared" si="4"/>
        <v>165.95967009953571</v>
      </c>
      <c r="AM29" s="62">
        <f t="shared" si="5"/>
        <v>436.95679542540393</v>
      </c>
      <c r="AN29" s="62">
        <f ca="1">AVERAGE(OFFSET($AM$3,0,0,'Données projet'!$E$10+1,1))-AVERAGE(OFFSET($H$3,0,0,'Données projet'!$E$10+1,1))</f>
        <v>197.84745001458262</v>
      </c>
      <c r="AO29" s="62">
        <f t="shared" si="36"/>
        <v>290.24283321060068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1.6309497821423755</v>
      </c>
      <c r="AV29" s="23">
        <f>EXP(-LN(2)/25)*AV28+(1-EXP(-LN(2)/25))/(LN(2)/25)*Calculateur!AQ29*Calculateur!AS29*VLOOKUP('Données projet'!$B$10,Paramètres!$A$1:$I$88,3,0)*0.475*44/12</f>
        <v>16.85788884662972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18.488838628772097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projet'!$B$11,Paramètres!$A$1:$I$88,3,0)*VLOOKUP('Données projet'!$B$11,Paramètres!$A$1:$I$88,5,0)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457.46290360994669</v>
      </c>
      <c r="BI29" s="62">
        <f ca="1">AVERAGE(OFFSET($BH$3,0,0,'Données projet'!$E$11+1,1))-AVERAGE(OFFSET($H$3,0,0,'Données projet'!$E$11+1,1))</f>
        <v>377.49758296179459</v>
      </c>
      <c r="BJ29" s="62">
        <f t="shared" si="38"/>
        <v>297.9972591134441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2.3125550477483023</v>
      </c>
      <c r="BQ29" s="23">
        <f>EXP(-LN(2)/25)*BQ28+(1-EXP(-LN(2)/25))/(LN(2)/25)*Calculateur!BL29*Calculateur!BN29*VLOOKUP('Données projet'!$B$11,Paramètres!$A$1:$I$88,3,0)*0.475*44/12</f>
        <v>7.0132807240644501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9.325835771812752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5.8396157706602931</v>
      </c>
      <c r="BY29" s="13">
        <f>IF('Données projet'!$A$114&gt;35,BY28+BX29-CG28,IF(A29&lt;'Données projet'!$A$114,$BV$205^A29,IF(A29='Données projet'!$A$114,'Données projet'!$B$114,BY28+BX29-CG28)))</f>
        <v>52.135167235603191</v>
      </c>
      <c r="BZ29" s="14">
        <f>BY29*VLOOKUP('Données projet'!$B$12,Paramètres!$A$1:$I$88,3,0)*VLOOKUP('Données projet'!$B$12,Paramètres!$A$1:$I$88,5,0)</f>
        <v>24.399258266262294</v>
      </c>
      <c r="CA29" s="14">
        <f t="shared" si="39"/>
        <v>7.7524335056184048</v>
      </c>
      <c r="CB29" s="22">
        <f t="shared" si="10"/>
        <v>55.997529836025542</v>
      </c>
      <c r="CC29" s="62">
        <f t="shared" si="11"/>
        <v>326.99465516189372</v>
      </c>
      <c r="CD29" s="62">
        <f ca="1">AVERAGE(OFFSET($CC$3,0,0,'Données projet'!$E$12+1,1))-AVERAGE(OFFSET($H$3,0,0,'Données projet'!$E$12+1,1))</f>
        <v>163.77317062597106</v>
      </c>
      <c r="CE29" s="62">
        <f t="shared" si="40"/>
        <v>122.66073843071686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2.1102381652714506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2.1102381652714506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12.661491182738557</v>
      </c>
      <c r="CT29" s="13">
        <f>IF('Données projet'!$A$140&gt;35,CT28+CS29-DB28,IF(A29&lt;'Données projet'!$A$140,$CQ$205^A29,IF(A29='Données projet'!$A$140,'Données projet'!$B$140,CT28+CS29-DB28)))</f>
        <v>100.36068302992862</v>
      </c>
      <c r="CU29" s="18">
        <f>CT29*VLOOKUP('Données projet'!$B$13,Paramètres!$A$1:$I$88,3,0)*VLOOKUP('Données projet'!$B$13,Paramètres!$A$1:$I$88,5,0)</f>
        <v>60.015688451897326</v>
      </c>
      <c r="CV29" s="14">
        <f t="shared" si="41"/>
        <v>17.17223548500596</v>
      </c>
      <c r="CW29" s="22">
        <f t="shared" si="13"/>
        <v>134.43563419010655</v>
      </c>
      <c r="CX29" s="62">
        <f t="shared" si="14"/>
        <v>405.43275951597474</v>
      </c>
      <c r="CY29" s="62">
        <f ca="1">AVERAGE(OFFSET($CX$3,0,0,'Données projet'!$E$13+1,1))-AVERAGE(OFFSET($H$3,0,0,'Données projet'!$E$13+1,1))</f>
        <v>167.84261986874142</v>
      </c>
      <c r="CZ29" s="62">
        <f t="shared" si="42"/>
        <v>242.5860875239222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1.023093990752828</v>
      </c>
      <c r="DG29" s="23">
        <f>EXP(-LN(2)/25)*DG28+(1-EXP(-LN(2)/25))/(LN(2)/25)*Calculateur!DB29*Calculateur!DD29*VLOOKUP('Données projet'!$B$13,Paramètres!$A$1:$I$88,3,0)*0.475*44/12</f>
        <v>11.110883543264563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12.133977534017392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1.5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5.5</v>
      </c>
      <c r="H30" s="70">
        <f t="shared" si="1"/>
        <v>234.66666666666666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3.6388888888888888</v>
      </c>
      <c r="N30" s="14">
        <f>IF('Données projet'!$A$36&gt;35,N29+M30-V29,IF(A30&lt;'Données projet'!$A$36,$K$205^A30,IF(A30='Données projet'!$A$36,'Données projet'!$B$36,N29+M30-V29)))</f>
        <v>98.249999999999943</v>
      </c>
      <c r="O30" s="14">
        <f>N30*VLOOKUP('Données projet'!$B$9,Paramètres!$A$1:$I$88,3,0)*VLOOKUP('Données projet'!$B$9,Paramètres!$A$1:$I$88,5,0)</f>
        <v>88.89659999999995</v>
      </c>
      <c r="P30" s="14">
        <f t="shared" si="33"/>
        <v>24.29892073125465</v>
      </c>
      <c r="Q30" s="22">
        <f t="shared" si="2"/>
        <v>197.14886527360179</v>
      </c>
      <c r="R30" s="62">
        <f t="shared" si="0"/>
        <v>469.67088480203756</v>
      </c>
      <c r="S30" s="62">
        <f ca="1">AVERAGE(OFFSET($R$3,0,0,'Données projet'!$E$9+1,1))-AVERAGE(OFFSET($H$3,0,0,'Données projet'!$E$9+1,1))</f>
        <v>387.16864229348823</v>
      </c>
      <c r="T30" s="62">
        <f t="shared" si="34"/>
        <v>260.88002342542893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15.84652991508047</v>
      </c>
      <c r="AI30" s="14">
        <f>IF('Données projet'!$A$62&gt;35,AI29+AH30-AQ29,IF(A30&lt;'Données projet'!$A$62,$AF$205^A30,IF(A30='Données projet'!$A$62,'Données projet'!$B$62,AI29+AH30-AQ29)))</f>
        <v>140.42976697211606</v>
      </c>
      <c r="AJ30" s="14">
        <f>AI30*VLOOKUP('Données projet'!$B$10,Paramètres!$A$1:$I$88,3,0)*VLOOKUP('Données projet'!$B$10,Paramètres!$A$1:$I$88,5,0)</f>
        <v>83.977000649325404</v>
      </c>
      <c r="AK30" s="14">
        <f t="shared" si="35"/>
        <v>23.106818775744067</v>
      </c>
      <c r="AL30" s="22">
        <f t="shared" si="4"/>
        <v>186.50431883199599</v>
      </c>
      <c r="AM30" s="62">
        <f t="shared" si="5"/>
        <v>459.02633836043174</v>
      </c>
      <c r="AN30" s="62">
        <f ca="1">AVERAGE(OFFSET($AM$3,0,0,'Données projet'!$E$10+1,1))-AVERAGE(OFFSET($H$3,0,0,'Données projet'!$E$10+1,1))</f>
        <v>197.84745001458262</v>
      </c>
      <c r="AO30" s="62">
        <f t="shared" si="36"/>
        <v>290.24283321060068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1.5989678516957042</v>
      </c>
      <c r="AV30" s="23">
        <f>EXP(-LN(2)/25)*AV29+(1-EXP(-LN(2)/25))/(LN(2)/25)*Calculateur!AQ30*Calculateur!AS30*VLOOKUP('Données projet'!$B$10,Paramètres!$A$1:$I$88,3,0)*0.475*44/12</f>
        <v>16.396908989600785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17.995876841296489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projet'!$B$11,Paramètres!$A$1:$I$88,3,0)*VLOOKUP('Données projet'!$B$11,Paramètres!$A$1:$I$88,5,0)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476.31917096438906</v>
      </c>
      <c r="BI30" s="62">
        <f ca="1">AVERAGE(OFFSET($BH$3,0,0,'Données projet'!$E$11+1,1))-AVERAGE(OFFSET($H$3,0,0,'Données projet'!$E$11+1,1))</f>
        <v>377.49758296179459</v>
      </c>
      <c r="BJ30" s="62">
        <f t="shared" si="38"/>
        <v>297.9972591134441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2.26720725378126</v>
      </c>
      <c r="BQ30" s="23">
        <f>EXP(-LN(2)/25)*BQ29+(1-EXP(-LN(2)/25))/(LN(2)/25)*Calculateur!BL30*Calculateur!BN30*VLOOKUP('Données projet'!$B$11,Paramètres!$A$1:$I$88,3,0)*0.475*44/12</f>
        <v>6.8215021938525036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9.0887094476337644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5.8396157706602931</v>
      </c>
      <c r="BY30" s="13">
        <f>IF('Données projet'!$A$114&gt;35,BY29+BX30-CG29,IF(A30&lt;'Données projet'!$A$114,$BV$205^A30,IF(A30='Données projet'!$A$114,'Données projet'!$B$114,BY29+BX30-CG29)))</f>
        <v>57.974783006263486</v>
      </c>
      <c r="BZ30" s="14">
        <f>BY30*VLOOKUP('Données projet'!$B$12,Paramètres!$A$1:$I$88,3,0)*VLOOKUP('Données projet'!$B$12,Paramètres!$A$1:$I$88,5,0)</f>
        <v>27.132198446931312</v>
      </c>
      <c r="CA30" s="14">
        <f t="shared" si="39"/>
        <v>8.5148969723115595</v>
      </c>
      <c r="CB30" s="22">
        <f t="shared" si="10"/>
        <v>62.085357855181336</v>
      </c>
      <c r="CC30" s="62">
        <f t="shared" si="11"/>
        <v>334.60737738361706</v>
      </c>
      <c r="CD30" s="62">
        <f ca="1">AVERAGE(OFFSET($CC$3,0,0,'Données projet'!$E$12+1,1))-AVERAGE(OFFSET($H$3,0,0,'Données projet'!$E$12+1,1))</f>
        <v>163.77317062597106</v>
      </c>
      <c r="CE30" s="62">
        <f t="shared" si="40"/>
        <v>122.66073843071686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2.0525335916695009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2.0525335916695009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12.661491182738557</v>
      </c>
      <c r="CT30" s="13">
        <f>IF('Données projet'!$A$140&gt;35,CT29+CS30-DB29,IF(A30&lt;'Données projet'!$A$140,$CQ$205^A30,IF(A30='Données projet'!$A$140,'Données projet'!$B$140,CT29+CS30-DB29)))</f>
        <v>113.02217421266718</v>
      </c>
      <c r="CU30" s="18">
        <f>CT30*VLOOKUP('Données projet'!$B$13,Paramètres!$A$1:$I$88,3,0)*VLOOKUP('Données projet'!$B$13,Paramètres!$A$1:$I$88,5,0)</f>
        <v>67.587260179174976</v>
      </c>
      <c r="CV30" s="14">
        <f t="shared" si="41"/>
        <v>19.073071589897438</v>
      </c>
      <c r="CW30" s="22">
        <f t="shared" si="13"/>
        <v>150.93341116446777</v>
      </c>
      <c r="CX30" s="62">
        <f t="shared" si="14"/>
        <v>423.45543069290352</v>
      </c>
      <c r="CY30" s="62">
        <f ca="1">AVERAGE(OFFSET($CX$3,0,0,'Données projet'!$E$13+1,1))-AVERAGE(OFFSET($H$3,0,0,'Données projet'!$E$13+1,1))</f>
        <v>167.84261986874142</v>
      </c>
      <c r="CZ30" s="62">
        <f t="shared" si="42"/>
        <v>242.5860875239222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1.003031741619882</v>
      </c>
      <c r="DG30" s="23">
        <f>EXP(-LN(2)/25)*DG29+(1-EXP(-LN(2)/25))/(LN(2)/25)*Calculateur!DB30*Calculateur!DD30*VLOOKUP('Données projet'!$B$13,Paramètres!$A$1:$I$88,3,0)*0.475*44/12</f>
        <v>10.807055848478022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11.810087590097904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1.5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5.5</v>
      </c>
      <c r="H31" s="70">
        <f t="shared" si="1"/>
        <v>234.66666666666666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3.6388888888888888</v>
      </c>
      <c r="N31" s="14">
        <f>IF('Données projet'!$A$36&gt;35,N30+M31-V30,IF(A31&lt;'Données projet'!$A$36,$K$205^A31,IF(A31='Données projet'!$A$36,'Données projet'!$B$36,N30+M31-V30)))</f>
        <v>101.88888888888883</v>
      </c>
      <c r="O31" s="14">
        <f>N31*VLOOKUP('Données projet'!$B$9,Paramètres!$A$1:$I$88,3,0)*VLOOKUP('Données projet'!$B$9,Paramètres!$A$1:$I$88,5,0)</f>
        <v>92.189066666666605</v>
      </c>
      <c r="P31" s="14">
        <f t="shared" si="33"/>
        <v>25.092434475841106</v>
      </c>
      <c r="Q31" s="22">
        <f t="shared" si="2"/>
        <v>204.26528115653423</v>
      </c>
      <c r="R31" s="62">
        <f t="shared" si="0"/>
        <v>478.30694420535161</v>
      </c>
      <c r="S31" s="62">
        <f ca="1">AVERAGE(OFFSET($R$3,0,0,'Données projet'!$E$9+1,1))-AVERAGE(OFFSET($H$3,0,0,'Données projet'!$E$9+1,1))</f>
        <v>387.16864229348823</v>
      </c>
      <c r="T31" s="62">
        <f t="shared" si="34"/>
        <v>260.88002342542893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15.84652991508047</v>
      </c>
      <c r="AI31" s="14">
        <f>IF('Données projet'!$A$62&gt;35,AI30+AH31-AQ30,IF(A31&lt;'Données projet'!$A$62,$AF$205^A31,IF(A31='Données projet'!$A$62,'Données projet'!$B$62,AI30+AH31-AQ30)))</f>
        <v>156.27629688719654</v>
      </c>
      <c r="AJ31" s="14">
        <f>AI31*VLOOKUP('Données projet'!$B$10,Paramètres!$A$1:$I$88,3,0)*VLOOKUP('Données projet'!$B$10,Paramètres!$A$1:$I$88,5,0)</f>
        <v>93.453225538543535</v>
      </c>
      <c r="AK31" s="14">
        <f t="shared" si="35"/>
        <v>25.396226077009288</v>
      </c>
      <c r="AL31" s="22">
        <f t="shared" si="4"/>
        <v>206.99612823042116</v>
      </c>
      <c r="AM31" s="62">
        <f t="shared" si="5"/>
        <v>481.03779127923855</v>
      </c>
      <c r="AN31" s="62">
        <f ca="1">AVERAGE(OFFSET($AM$3,0,0,'Données projet'!$E$10+1,1))-AVERAGE(OFFSET($H$3,0,0,'Données projet'!$E$10+1,1))</f>
        <v>197.84745001458262</v>
      </c>
      <c r="AO31" s="62">
        <f t="shared" si="36"/>
        <v>290.24283321060068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1.5676130673980406</v>
      </c>
      <c r="AV31" s="23">
        <f>EXP(-LN(2)/25)*AV30+(1-EXP(-LN(2)/25))/(LN(2)/25)*Calculateur!AQ31*Calculateur!AS31*VLOOKUP('Données projet'!$B$10,Paramètres!$A$1:$I$88,3,0)*0.475*44/12</f>
        <v>15.948534651004184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17.516147718402223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projet'!$B$11,Paramètres!$A$1:$I$88,3,0)*VLOOKUP('Données projet'!$B$11,Paramètres!$A$1:$I$88,5,0)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495.13608709796256</v>
      </c>
      <c r="BI31" s="62">
        <f ca="1">AVERAGE(OFFSET($BH$3,0,0,'Données projet'!$E$11+1,1))-AVERAGE(OFFSET($H$3,0,0,'Données projet'!$E$11+1,1))</f>
        <v>377.49758296179459</v>
      </c>
      <c r="BJ31" s="62">
        <f t="shared" si="38"/>
        <v>297.9972591134441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2.2227487023944881</v>
      </c>
      <c r="BQ31" s="23">
        <f>EXP(-LN(2)/25)*BQ30+(1-EXP(-LN(2)/25))/(LN(2)/25)*Calculateur!BL31*Calculateur!BN31*VLOOKUP('Données projet'!$B$11,Paramètres!$A$1:$I$88,3,0)*0.475*44/12</f>
        <v>6.6349678576343969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8.8577165600288854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5.8396157706602931</v>
      </c>
      <c r="BY31" s="13">
        <f>IF('Données projet'!$A$114&gt;35,BY30+BX31-CG30,IF(A31&lt;'Données projet'!$A$114,$BV$205^A31,IF(A31='Données projet'!$A$114,'Données projet'!$B$114,BY30+BX31-CG30)))</f>
        <v>63.814398776923781</v>
      </c>
      <c r="BZ31" s="14">
        <f>BY31*VLOOKUP('Données projet'!$B$12,Paramètres!$A$1:$I$88,3,0)*VLOOKUP('Données projet'!$B$12,Paramètres!$A$1:$I$88,5,0)</f>
        <v>29.865138627600331</v>
      </c>
      <c r="CA31" s="14">
        <f t="shared" si="39"/>
        <v>9.2684571829801463</v>
      </c>
      <c r="CB31" s="22">
        <f t="shared" si="10"/>
        <v>68.157679370094328</v>
      </c>
      <c r="CC31" s="62">
        <f t="shared" si="11"/>
        <v>342.19934241891173</v>
      </c>
      <c r="CD31" s="62">
        <f ca="1">AVERAGE(OFFSET($CC$3,0,0,'Données projet'!$E$12+1,1))-AVERAGE(OFFSET($H$3,0,0,'Données projet'!$E$12+1,1))</f>
        <v>163.77317062597106</v>
      </c>
      <c r="CE31" s="62">
        <f t="shared" si="40"/>
        <v>122.66073843071686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1.9964069526672479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1.9964069526672479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12.661491182738557</v>
      </c>
      <c r="CT31" s="13">
        <f>IF('Données projet'!$A$140&gt;35,CT30+CS31-DB30,IF(A31&lt;'Données projet'!$A$140,$CQ$205^A31,IF(A31='Données projet'!$A$140,'Données projet'!$B$140,CT30+CS31-DB30)))</f>
        <v>125.68366539540574</v>
      </c>
      <c r="CU31" s="18">
        <f>CT31*VLOOKUP('Données projet'!$B$13,Paramètres!$A$1:$I$88,3,0)*VLOOKUP('Données projet'!$B$13,Paramètres!$A$1:$I$88,5,0)</f>
        <v>75.158831906452633</v>
      </c>
      <c r="CV31" s="14">
        <f t="shared" si="41"/>
        <v>20.949227456800248</v>
      </c>
      <c r="CW31" s="22">
        <f t="shared" si="13"/>
        <v>167.38820339099874</v>
      </c>
      <c r="CX31" s="62">
        <f t="shared" si="14"/>
        <v>441.42986643981612</v>
      </c>
      <c r="CY31" s="62">
        <f ca="1">AVERAGE(OFFSET($CX$3,0,0,'Données projet'!$E$13+1,1))-AVERAGE(OFFSET($H$3,0,0,'Données projet'!$E$13+1,1))</f>
        <v>167.84261986874142</v>
      </c>
      <c r="CZ31" s="62">
        <f t="shared" si="42"/>
        <v>242.5860875239222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0.98336290095566936</v>
      </c>
      <c r="DG31" s="23">
        <f>EXP(-LN(2)/25)*DG30+(1-EXP(-LN(2)/25))/(LN(2)/25)*Calculateur!DB31*Calculateur!DD31*VLOOKUP('Données projet'!$B$13,Paramètres!$A$1:$I$88,3,0)*0.475*44/12</f>
        <v>10.511536337983024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11.494899238938693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1.5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5.5</v>
      </c>
      <c r="H32" s="70">
        <f t="shared" si="1"/>
        <v>234.66666666666666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3.6388888888888888</v>
      </c>
      <c r="N32" s="14">
        <f>IF('Données projet'!$A$36&gt;35,N31+M32-V31,IF(A32&lt;'Données projet'!$A$36,$K$205^A32,IF(A32='Données projet'!$A$36,'Données projet'!$B$36,N31+M32-V31)))</f>
        <v>105.52777777777771</v>
      </c>
      <c r="O32" s="14">
        <f>N32*VLOOKUP('Données projet'!$B$9,Paramètres!$A$1:$I$88,3,0)*VLOOKUP('Données projet'!$B$9,Paramètres!$A$1:$I$88,5,0)</f>
        <v>95.481533333333275</v>
      </c>
      <c r="P32" s="14">
        <f t="shared" si="33"/>
        <v>25.882655578233575</v>
      </c>
      <c r="Q32" s="22">
        <f t="shared" si="2"/>
        <v>211.37596235431226</v>
      </c>
      <c r="R32" s="62">
        <f t="shared" si="0"/>
        <v>486.93210932892282</v>
      </c>
      <c r="S32" s="62">
        <f ca="1">AVERAGE(OFFSET($R$3,0,0,'Données projet'!$E$9+1,1))-AVERAGE(OFFSET($H$3,0,0,'Données projet'!$E$9+1,1))</f>
        <v>387.16864229348823</v>
      </c>
      <c r="T32" s="62">
        <f t="shared" si="34"/>
        <v>260.88002342542893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15.84652991508047</v>
      </c>
      <c r="AI32" s="14">
        <f>IF('Données projet'!$A$62&gt;35,AI31+AH32-AQ31,IF(A32&lt;'Données projet'!$A$62,$AF$205^A32,IF(A32='Données projet'!$A$62,'Données projet'!$B$62,AI31+AH32-AQ31)))</f>
        <v>172.12282680227702</v>
      </c>
      <c r="AJ32" s="14">
        <f>AI32*VLOOKUP('Données projet'!$B$10,Paramètres!$A$1:$I$88,3,0)*VLOOKUP('Données projet'!$B$10,Paramètres!$A$1:$I$88,5,0)</f>
        <v>102.92945042776167</v>
      </c>
      <c r="AK32" s="14">
        <f t="shared" si="35"/>
        <v>27.658721610883113</v>
      </c>
      <c r="AL32" s="22">
        <f t="shared" si="4"/>
        <v>227.44106630063968</v>
      </c>
      <c r="AM32" s="62">
        <f t="shared" si="5"/>
        <v>502.99721327525026</v>
      </c>
      <c r="AN32" s="62">
        <f ca="1">AVERAGE(OFFSET($AM$3,0,0,'Données projet'!$E$10+1,1))-AVERAGE(OFFSET($H$3,0,0,'Données projet'!$E$10+1,1))</f>
        <v>197.84745001458262</v>
      </c>
      <c r="AO32" s="62">
        <f t="shared" si="36"/>
        <v>290.24283321060068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1.5368731312959243</v>
      </c>
      <c r="AV32" s="23">
        <f>EXP(-LN(2)/25)*AV31+(1-EXP(-LN(2)/25))/(LN(2)/25)*Calculateur!AQ32*Calculateur!AS32*VLOOKUP('Données projet'!$B$10,Paramètres!$A$1:$I$88,3,0)*0.475*44/12</f>
        <v>15.512421132275488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17.049294263571412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projet'!$B$11,Paramètres!$A$1:$I$88,3,0)*VLOOKUP('Données projet'!$B$11,Paramètres!$A$1:$I$88,5,0)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513.91678674583261</v>
      </c>
      <c r="BI32" s="62">
        <f ca="1">AVERAGE(OFFSET($BH$3,0,0,'Données projet'!$E$11+1,1))-AVERAGE(OFFSET($H$3,0,0,'Données projet'!$E$11+1,1))</f>
        <v>377.49758296179459</v>
      </c>
      <c r="BJ32" s="62">
        <f t="shared" si="38"/>
        <v>297.9972591134441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2.1791619560833722</v>
      </c>
      <c r="BQ32" s="23">
        <f>EXP(-LN(2)/25)*BQ31+(1-EXP(-LN(2)/25))/(LN(2)/25)*Calculateur!BL32*Calculateur!BN32*VLOOKUP('Données projet'!$B$11,Paramètres!$A$1:$I$88,3,0)*0.475*44/12</f>
        <v>6.4535343126495892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8.6326962687329605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5.8396157706602931</v>
      </c>
      <c r="BY32" s="13">
        <f>IF('Données projet'!$A$114&gt;35,BY31+BX32-CG31,IF(A32&lt;'Données projet'!$A$114,$BV$205^A32,IF(A32='Données projet'!$A$114,'Données projet'!$B$114,BY31+BX32-CG31)))</f>
        <v>69.654014547584069</v>
      </c>
      <c r="BZ32" s="14">
        <f>BY32*VLOOKUP('Données projet'!$B$12,Paramètres!$A$1:$I$88,3,0)*VLOOKUP('Données projet'!$B$12,Paramètres!$A$1:$I$88,5,0)</f>
        <v>32.598078808269342</v>
      </c>
      <c r="CA32" s="14">
        <f t="shared" si="39"/>
        <v>10.014021530298157</v>
      </c>
      <c r="CB32" s="22">
        <f t="shared" si="10"/>
        <v>74.216074756338386</v>
      </c>
      <c r="CC32" s="62">
        <f t="shared" si="11"/>
        <v>349.77222173094896</v>
      </c>
      <c r="CD32" s="62">
        <f ca="1">AVERAGE(OFFSET($CC$3,0,0,'Données projet'!$E$12+1,1))-AVERAGE(OFFSET($H$3,0,0,'Données projet'!$E$12+1,1))</f>
        <v>163.77317062597106</v>
      </c>
      <c r="CE32" s="62">
        <f t="shared" si="40"/>
        <v>122.66073843071686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1.9418150995600831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1.9418150995600831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12.661491182738557</v>
      </c>
      <c r="CT32" s="13">
        <f>IF('Données projet'!$A$140&gt;35,CT31+CS32-DB31,IF(A32&lt;'Données projet'!$A$140,$CQ$205^A32,IF(A32='Données projet'!$A$140,'Données projet'!$B$140,CT31+CS32-DB31)))</f>
        <v>138.3451565781443</v>
      </c>
      <c r="CU32" s="18">
        <f>CT32*VLOOKUP('Données projet'!$B$13,Paramètres!$A$1:$I$88,3,0)*VLOOKUP('Données projet'!$B$13,Paramètres!$A$1:$I$88,5,0)</f>
        <v>82.73040363373029</v>
      </c>
      <c r="CV32" s="14">
        <f t="shared" si="41"/>
        <v>22.803472460976579</v>
      </c>
      <c r="CW32" s="22">
        <f t="shared" si="13"/>
        <v>183.80483419828113</v>
      </c>
      <c r="CX32" s="62">
        <f t="shared" si="14"/>
        <v>459.36098117289168</v>
      </c>
      <c r="CY32" s="62">
        <f ca="1">AVERAGE(OFFSET($CX$3,0,0,'Données projet'!$E$13+1,1))-AVERAGE(OFFSET($H$3,0,0,'Données projet'!$E$13+1,1))</f>
        <v>167.84261986874142</v>
      </c>
      <c r="CZ32" s="62">
        <f t="shared" si="42"/>
        <v>242.5860875239222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0.96407975426007375</v>
      </c>
      <c r="DG32" s="23">
        <f>EXP(-LN(2)/25)*DG31+(1-EXP(-LN(2)/25))/(LN(2)/25)*Calculateur!DB32*Calculateur!DD32*VLOOKUP('Données projet'!$B$13,Paramètres!$A$1:$I$88,3,0)*0.475*44/12</f>
        <v>10.224097824043207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11.18817757830328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1.5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5.5</v>
      </c>
      <c r="H33" s="70">
        <f t="shared" si="1"/>
        <v>234.66666666666666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3.6388888888888888</v>
      </c>
      <c r="N33" s="14">
        <f>IF('Données projet'!$A$36&gt;35,N32+M33-V32,IF(A33&lt;'Données projet'!$A$36,$K$205^A33,IF(A33='Données projet'!$A$36,'Données projet'!$B$36,N32+M33-V32)))</f>
        <v>109.1666666666666</v>
      </c>
      <c r="O33" s="14">
        <f>N33*VLOOKUP('Données projet'!$B$9,Paramètres!$A$1:$I$88,3,0)*VLOOKUP('Données projet'!$B$9,Paramètres!$A$1:$I$88,5,0)</f>
        <v>98.773999999999944</v>
      </c>
      <c r="P33" s="14">
        <f t="shared" si="33"/>
        <v>26.669710590727178</v>
      </c>
      <c r="Q33" s="22">
        <f t="shared" si="2"/>
        <v>218.48112927884972</v>
      </c>
      <c r="R33" s="62">
        <f t="shared" si="0"/>
        <v>495.54669009209562</v>
      </c>
      <c r="S33" s="62">
        <f ca="1">AVERAGE(OFFSET($R$3,0,0,'Données projet'!$E$9+1,1))-AVERAGE(OFFSET($H$3,0,0,'Données projet'!$E$9+1,1))</f>
        <v>387.16864229348823</v>
      </c>
      <c r="T33" s="62">
        <f t="shared" si="34"/>
        <v>260.88002342542893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15.84652991508047</v>
      </c>
      <c r="AI33" s="14">
        <f>IF('Données projet'!$A$62&gt;35,AI32+AH33-AQ32,IF(A33&lt;'Données projet'!$A$62,$AF$205^A33,IF(A33='Données projet'!$A$62,'Données projet'!$B$62,AI32+AH33-AQ32)))</f>
        <v>187.9693567173575</v>
      </c>
      <c r="AJ33" s="14">
        <f>AI33*VLOOKUP('Données projet'!$B$10,Paramètres!$A$1:$I$88,3,0)*VLOOKUP('Données projet'!$B$10,Paramètres!$A$1:$I$88,5,0)</f>
        <v>112.40567531697978</v>
      </c>
      <c r="AK33" s="14">
        <f t="shared" si="35"/>
        <v>29.897064815472696</v>
      </c>
      <c r="AL33" s="22">
        <f t="shared" si="4"/>
        <v>247.84393906402136</v>
      </c>
      <c r="AM33" s="62">
        <f t="shared" si="5"/>
        <v>524.90949987726731</v>
      </c>
      <c r="AN33" s="62">
        <f ca="1">AVERAGE(OFFSET($AM$3,0,0,'Données projet'!$E$10+1,1))-AVERAGE(OFFSET($H$3,0,0,'Données projet'!$E$10+1,1))</f>
        <v>197.84745001458262</v>
      </c>
      <c r="AO33" s="62">
        <f t="shared" si="36"/>
        <v>290.24283321060068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1.5067359865912608</v>
      </c>
      <c r="AV33" s="23">
        <f>EXP(-LN(2)/25)*AV32+(1-EXP(-LN(2)/25))/(LN(2)/25)*Calculateur!AQ33*Calculateur!AS33*VLOOKUP('Données projet'!$B$10,Paramètres!$A$1:$I$88,3,0)*0.475*44/12</f>
        <v>15.088233160650642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16.594969147241901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projet'!$B$11,Paramètres!$A$1:$I$88,3,0)*VLOOKUP('Données projet'!$B$11,Paramètres!$A$1:$I$88,5,0)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532.66392578011073</v>
      </c>
      <c r="BI33" s="62">
        <f ca="1">AVERAGE(OFFSET($BH$3,0,0,'Données projet'!$E$11+1,1))-AVERAGE(OFFSET($H$3,0,0,'Données projet'!$E$11+1,1))</f>
        <v>377.49758296179459</v>
      </c>
      <c r="BJ33" s="62">
        <f t="shared" si="38"/>
        <v>297.9972591134441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projet'!$B$11,Paramètres!$A$1:$I$88,7,0))</f>
        <v>0.13500000000000001</v>
      </c>
      <c r="BN33" s="17">
        <f>IF(ISNA(VLOOKUP(A33,'Données projet'!$A$87:$I$107,6,0)),0%,VLOOKUP(A33,'Données projet'!$A$87:$I$107,6,0)*VLOOKUP('Données projet'!$B$11,Paramètres!$A$1:$I$88,7,0))</f>
        <v>0.22500000000000001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5.7776105678616858</v>
      </c>
      <c r="BQ33" s="23">
        <f>EXP(-LN(2)/25)*BQ32+(1-EXP(-LN(2)/25))/(LN(2)/25)*Calculateur!BL33*Calculateur!BN33*VLOOKUP('Données projet'!$B$11,Paramètres!$A$1:$I$88,3,0)*0.475*44/12</f>
        <v>12.321801965772739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18.099412533634425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75.493630318244357</v>
      </c>
      <c r="BW33" s="13">
        <f>VLOOKUP(A33,'Données projet'!$A$113:$I$133,9,0)</f>
        <v>5.8396157706602931</v>
      </c>
      <c r="BX33" s="13">
        <f t="array" ref="BX33">INDEX(BW:BW,MIN(IF(ISNUMBER(BW33:BW229),ROW(BW33:BW229),"")))</f>
        <v>5.8396157706602931</v>
      </c>
      <c r="BY33" s="13">
        <f>IF('Données projet'!$A$114&gt;35,BY32+BX33-CG32,IF(A33&lt;'Données projet'!$A$114,$BV$205^A33,IF(A33='Données projet'!$A$114,'Données projet'!$B$114,BY32+BX33-CG32)))</f>
        <v>75.493630318244357</v>
      </c>
      <c r="BZ33" s="14">
        <f>BY33*VLOOKUP('Données projet'!$B$12,Paramètres!$A$1:$I$88,3,0)*VLOOKUP('Données projet'!$B$12,Paramètres!$A$1:$I$88,5,0)</f>
        <v>35.331018988938361</v>
      </c>
      <c r="CA33" s="14">
        <f t="shared" si="39"/>
        <v>10.752336580901421</v>
      </c>
      <c r="CB33" s="22">
        <f t="shared" si="10"/>
        <v>80.261844284137609</v>
      </c>
      <c r="CC33" s="62">
        <f t="shared" si="11"/>
        <v>357.32740509738352</v>
      </c>
      <c r="CD33" s="62">
        <f ca="1">AVERAGE(OFFSET($CC$3,0,0,'Données projet'!$E$12+1,1))-AVERAGE(OFFSET($H$3,0,0,'Données projet'!$E$12+1,1))</f>
        <v>163.77317062597106</v>
      </c>
      <c r="CE33" s="62">
        <f t="shared" si="40"/>
        <v>122.66073843071686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15.098726063648872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0.55000000000000004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7.0239927320407336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7.0239927320407336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12.661491182738557</v>
      </c>
      <c r="CT33" s="13">
        <f>IF('Données projet'!$A$140&gt;35,CT32+CS33-DB32,IF(A33&lt;'Données projet'!$A$140,$CQ$205^A33,IF(A33='Données projet'!$A$140,'Données projet'!$B$140,CT32+CS33-DB32)))</f>
        <v>151.00664776088286</v>
      </c>
      <c r="CU33" s="18">
        <f>CT33*VLOOKUP('Données projet'!$B$13,Paramètres!$A$1:$I$88,3,0)*VLOOKUP('Données projet'!$B$13,Paramètres!$A$1:$I$88,5,0)</f>
        <v>90.301975361007962</v>
      </c>
      <c r="CV33" s="14">
        <f t="shared" si="41"/>
        <v>24.638039975265528</v>
      </c>
      <c r="CW33" s="22">
        <f t="shared" si="13"/>
        <v>200.18719337734296</v>
      </c>
      <c r="CX33" s="62">
        <f t="shared" si="14"/>
        <v>477.25275419058886</v>
      </c>
      <c r="CY33" s="62">
        <f ca="1">AVERAGE(OFFSET($CX$3,0,0,'Données projet'!$E$13+1,1))-AVERAGE(OFFSET($H$3,0,0,'Données projet'!$E$13+1,1))</f>
        <v>167.84261986874142</v>
      </c>
      <c r="CZ33" s="62">
        <f t="shared" si="42"/>
        <v>242.5860875239222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0.94517473830962062</v>
      </c>
      <c r="DG33" s="23">
        <f>EXP(-LN(2)/25)*DG32+(1-EXP(-LN(2)/25))/(LN(2)/25)*Calculateur!DB33*Calculateur!DD33*VLOOKUP('Données projet'!$B$13,Paramètres!$A$1:$I$88,3,0)*0.475*44/12</f>
        <v>9.9445193313828089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10.88969406969243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1.5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5.5</v>
      </c>
      <c r="H34" s="70">
        <f t="shared" si="1"/>
        <v>234.66666666666666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3.6388888888888888</v>
      </c>
      <c r="N34" s="14">
        <f>IF('Données projet'!$A$36&gt;35,N33+M34-V33,IF(A34&lt;'Données projet'!$A$36,$K$205^A34,IF(A34='Données projet'!$A$36,'Données projet'!$B$36,N33+M34-V33)))</f>
        <v>112.80555555555549</v>
      </c>
      <c r="O34" s="14">
        <f>N34*VLOOKUP('Données projet'!$B$9,Paramètres!$A$1:$I$88,3,0)*VLOOKUP('Données projet'!$B$9,Paramètres!$A$1:$I$88,5,0)</f>
        <v>102.06646666666661</v>
      </c>
      <c r="P34" s="14">
        <f t="shared" si="33"/>
        <v>27.453717150051705</v>
      </c>
      <c r="Q34" s="22">
        <f t="shared" si="2"/>
        <v>225.58098681411772</v>
      </c>
      <c r="R34" s="62">
        <f t="shared" si="0"/>
        <v>502.92875711129636</v>
      </c>
      <c r="S34" s="62">
        <f ca="1">AVERAGE(OFFSET($R$3,0,0,'Données projet'!$E$9+1,1))-AVERAGE(OFFSET($H$3,0,0,'Données projet'!$E$9+1,1))</f>
        <v>387.16864229348823</v>
      </c>
      <c r="T34" s="62">
        <f t="shared" si="34"/>
        <v>260.88002342542893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15.84652991508047</v>
      </c>
      <c r="AI34" s="14">
        <f>IF('Données projet'!$A$62&gt;35,AI33+AH34-AQ33,IF(A34&lt;'Données projet'!$A$62,$AF$205^A34,IF(A34='Données projet'!$A$62,'Données projet'!$B$62,AI33+AH34-AQ33)))</f>
        <v>203.81588663243798</v>
      </c>
      <c r="AJ34" s="14">
        <f>AI34*VLOOKUP('Données projet'!$B$10,Paramètres!$A$1:$I$88,3,0)*VLOOKUP('Données projet'!$B$10,Paramètres!$A$1:$I$88,5,0)</f>
        <v>121.88190020619791</v>
      </c>
      <c r="AK34" s="14">
        <f t="shared" si="35"/>
        <v>32.113523317791106</v>
      </c>
      <c r="AL34" s="22">
        <f t="shared" si="4"/>
        <v>268.20869597094753</v>
      </c>
      <c r="AM34" s="62">
        <f t="shared" si="5"/>
        <v>545.55646626812609</v>
      </c>
      <c r="AN34" s="62">
        <f ca="1">AVERAGE(OFFSET($AM$3,0,0,'Données projet'!$E$10+1,1))-AVERAGE(OFFSET($H$3,0,0,'Données projet'!$E$10+1,1))</f>
        <v>197.84745001458262</v>
      </c>
      <c r="AO34" s="62">
        <f t="shared" si="36"/>
        <v>290.24283321060068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1.4771898129124126</v>
      </c>
      <c r="AV34" s="23">
        <f>EXP(-LN(2)/25)*AV33+(1-EXP(-LN(2)/25))/(LN(2)/25)*Calculateur!AQ34*Calculateur!AS34*VLOOKUP('Données projet'!$B$10,Paramètres!$A$1:$I$88,3,0)*0.475*44/12</f>
        <v>14.675644631416953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16.152834444329365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projet'!$B$11,Paramètres!$A$1:$I$88,3,0)*VLOOKUP('Données projet'!$B$11,Paramètres!$A$1:$I$88,5,0)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507.98093458407573</v>
      </c>
      <c r="BI34" s="62">
        <f ca="1">AVERAGE(OFFSET($BH$3,0,0,'Données projet'!$E$11+1,1))-AVERAGE(OFFSET($H$3,0,0,'Données projet'!$E$11+1,1))</f>
        <v>377.49758296179459</v>
      </c>
      <c r="BJ34" s="62">
        <f t="shared" si="38"/>
        <v>297.9972591134441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5.6643151486203989</v>
      </c>
      <c r="BQ34" s="23">
        <f>EXP(-LN(2)/25)*BQ33+(1-EXP(-LN(2)/25))/(LN(2)/25)*Calculateur!BL34*Calculateur!BN34*VLOOKUP('Données projet'!$B$11,Paramètres!$A$1:$I$88,3,0)*0.475*44/12</f>
        <v>11.984861643043279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17.649176791663677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10.037392401547642</v>
      </c>
      <c r="BY34" s="13">
        <f>IF('Données projet'!$A$114&gt;35,BY33+BX34-CG33,IF(A34&lt;'Données projet'!$A$114,$BV$205^A34,IF(A34='Données projet'!$A$114,'Données projet'!$B$114,BY33+BX34-CG33)))</f>
        <v>70.432296656143123</v>
      </c>
      <c r="BZ34" s="14">
        <f>BY34*VLOOKUP('Données projet'!$B$12,Paramètres!$A$1:$I$88,3,0)*VLOOKUP('Données projet'!$B$12,Paramètres!$A$1:$I$88,5,0)</f>
        <v>32.962314835074984</v>
      </c>
      <c r="CA34" s="14">
        <f t="shared" si="39"/>
        <v>10.112825359690051</v>
      </c>
      <c r="CB34" s="22">
        <f t="shared" si="10"/>
        <v>75.022535839215763</v>
      </c>
      <c r="CC34" s="62">
        <f t="shared" si="11"/>
        <v>352.37030613639439</v>
      </c>
      <c r="CD34" s="62">
        <f ca="1">AVERAGE(OFFSET($CC$3,0,0,'Données projet'!$E$12+1,1))-AVERAGE(OFFSET($H$3,0,0,'Données projet'!$E$12+1,1))</f>
        <v>163.77317062597106</v>
      </c>
      <c r="CE34" s="62">
        <f t="shared" si="40"/>
        <v>122.66073843071686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6.8319212814073556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6.8319212814073556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12.661491182738557</v>
      </c>
      <c r="CT34" s="13">
        <f>IF('Données projet'!$A$140&gt;35,CT33+CS34-DB33,IF(A34&lt;'Données projet'!$A$140,$CQ$205^A34,IF(A34='Données projet'!$A$140,'Données projet'!$B$140,CT33+CS34-DB33)))</f>
        <v>163.66813894362141</v>
      </c>
      <c r="CU34" s="18">
        <f>CT34*VLOOKUP('Données projet'!$B$13,Paramètres!$A$1:$I$88,3,0)*VLOOKUP('Données projet'!$B$13,Paramètres!$A$1:$I$88,5,0)</f>
        <v>97.873547088285619</v>
      </c>
      <c r="CV34" s="14">
        <f t="shared" si="41"/>
        <v>26.454767483763646</v>
      </c>
      <c r="CW34" s="22">
        <f t="shared" si="13"/>
        <v>216.53848121298577</v>
      </c>
      <c r="CX34" s="62">
        <f t="shared" si="14"/>
        <v>493.88625151016436</v>
      </c>
      <c r="CY34" s="62">
        <f ca="1">AVERAGE(OFFSET($CX$3,0,0,'Données projet'!$E$13+1,1))-AVERAGE(OFFSET($H$3,0,0,'Données projet'!$E$13+1,1))</f>
        <v>167.84261986874142</v>
      </c>
      <c r="CZ34" s="62">
        <f t="shared" si="42"/>
        <v>242.5860875239222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0.9266404381910347</v>
      </c>
      <c r="DG34" s="23">
        <f>EXP(-LN(2)/25)*DG33+(1-EXP(-LN(2)/25))/(LN(2)/25)*Calculateur!DB34*Calculateur!DD34*VLOOKUP('Données projet'!$B$13,Paramètres!$A$1:$I$88,3,0)*0.475*44/12</f>
        <v>9.6725859273066028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10.599226365497637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1.5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5.5</v>
      </c>
      <c r="H35" s="70">
        <f t="shared" si="1"/>
        <v>234.66666666666666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3.6388888888888888</v>
      </c>
      <c r="N35" s="14">
        <f>IF('Données projet'!$A$36&gt;35,N34+M35-V34,IF(A35&lt;'Données projet'!$A$36,$K$205^A35,IF(A35='Données projet'!$A$36,'Données projet'!$B$36,N34+M35-V34)))</f>
        <v>116.44444444444437</v>
      </c>
      <c r="O35" s="14">
        <f>N35*VLOOKUP('Données projet'!$B$9,Paramètres!$A$1:$I$88,3,0)*VLOOKUP('Données projet'!$B$9,Paramètres!$A$1:$I$88,5,0)</f>
        <v>105.35893333333327</v>
      </c>
      <c r="P35" s="14">
        <f t="shared" si="33"/>
        <v>28.234784872597665</v>
      </c>
      <c r="Q35" s="22">
        <f t="shared" ref="Q35:Q66" si="53">(O35+P35)*0.475*44/12</f>
        <v>232.6757258753297</v>
      </c>
      <c r="R35" s="62">
        <f t="shared" si="0"/>
        <v>510.3008099528206</v>
      </c>
      <c r="S35" s="62">
        <f ca="1">AVERAGE(OFFSET($R$3,0,0,'Données projet'!$E$9+1,1))-AVERAGE(OFFSET($H$3,0,0,'Données projet'!$E$9+1,1))</f>
        <v>387.16864229348823</v>
      </c>
      <c r="T35" s="62">
        <f t="shared" si="34"/>
        <v>260.88002342542893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15.84652991508047</v>
      </c>
      <c r="AI35" s="14">
        <f>IF('Données projet'!$A$62&gt;35,AI34+AH35-AQ34,IF(A35&lt;'Données projet'!$A$62,$AF$205^A35,IF(A35='Données projet'!$A$62,'Données projet'!$B$62,AI34+AH35-AQ34)))</f>
        <v>219.66241654751846</v>
      </c>
      <c r="AJ35" s="14">
        <f>AI35*VLOOKUP('Données projet'!$B$10,Paramètres!$A$1:$I$88,3,0)*VLOOKUP('Données projet'!$B$10,Paramètres!$A$1:$I$88,5,0)</f>
        <v>131.35812509541606</v>
      </c>
      <c r="AK35" s="14">
        <f t="shared" si="35"/>
        <v>34.309992092876186</v>
      </c>
      <c r="AL35" s="22">
        <f t="shared" si="4"/>
        <v>288.53863743627562</v>
      </c>
      <c r="AM35" s="62">
        <f t="shared" si="5"/>
        <v>566.16372151376652</v>
      </c>
      <c r="AN35" s="62">
        <f ca="1">AVERAGE(OFFSET($AM$3,0,0,'Données projet'!$E$10+1,1))-AVERAGE(OFFSET($H$3,0,0,'Données projet'!$E$10+1,1))</f>
        <v>197.84745001458262</v>
      </c>
      <c r="AO35" s="62">
        <f t="shared" si="36"/>
        <v>290.24283321060068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1.4482230216780201</v>
      </c>
      <c r="AV35" s="23">
        <f>EXP(-LN(2)/25)*AV34+(1-EXP(-LN(2)/25))/(LN(2)/25)*Calculateur!AQ35*Calculateur!AS35*VLOOKUP('Données projet'!$B$10,Paramètres!$A$1:$I$88,3,0)*0.475*44/12</f>
        <v>14.274338357212246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15.722561378890266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projet'!$B$11,Paramètres!$A$1:$I$88,3,0)*VLOOKUP('Données projet'!$B$11,Paramètres!$A$1:$I$88,5,0)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527.05187150114159</v>
      </c>
      <c r="BI35" s="62">
        <f ca="1">AVERAGE(OFFSET($BH$3,0,0,'Données projet'!$E$11+1,1))-AVERAGE(OFFSET($H$3,0,0,'Données projet'!$E$11+1,1))</f>
        <v>377.49758296179459</v>
      </c>
      <c r="BJ35" s="62">
        <f t="shared" si="38"/>
        <v>297.9972591134441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5.5532413834470518</v>
      </c>
      <c r="BQ35" s="23">
        <f>EXP(-LN(2)/25)*BQ34+(1-EXP(-LN(2)/25))/(LN(2)/25)*Calculateur!BL35*Calculateur!BN35*VLOOKUP('Données projet'!$B$11,Paramètres!$A$1:$I$88,3,0)*0.475*44/12</f>
        <v>11.657134971157779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17.210376354604833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10.037392401547642</v>
      </c>
      <c r="BY35" s="13">
        <f>IF('Données projet'!$A$114&gt;35,BY34+BX35-CG34,IF(A35&lt;'Données projet'!$A$114,$BV$205^A35,IF(A35='Données projet'!$A$114,'Données projet'!$B$114,BY34+BX35-CG34)))</f>
        <v>80.469689057690772</v>
      </c>
      <c r="BZ35" s="14">
        <f>BY35*VLOOKUP('Données projet'!$B$12,Paramètres!$A$1:$I$88,3,0)*VLOOKUP('Données projet'!$B$12,Paramètres!$A$1:$I$88,5,0)</f>
        <v>37.65981447899928</v>
      </c>
      <c r="CA35" s="14">
        <f t="shared" si="39"/>
        <v>11.37622102936324</v>
      </c>
      <c r="CB35" s="22">
        <f t="shared" si="10"/>
        <v>85.404428510398063</v>
      </c>
      <c r="CC35" s="62">
        <f t="shared" si="11"/>
        <v>363.02951258788897</v>
      </c>
      <c r="CD35" s="62">
        <f ca="1">AVERAGE(OFFSET($CC$3,0,0,'Données projet'!$E$12+1,1))-AVERAGE(OFFSET($H$3,0,0,'Données projet'!$E$12+1,1))</f>
        <v>163.77317062597106</v>
      </c>
      <c r="CE35" s="62">
        <f t="shared" si="40"/>
        <v>122.66073843071686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6.6451020346921457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6.6451020346921457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12.661491182738557</v>
      </c>
      <c r="CT35" s="13">
        <f>IF('Données projet'!$A$140&gt;35,CT34+CS35-DB34,IF(A35&lt;'Données projet'!$A$140,$CQ$205^A35,IF(A35='Données projet'!$A$140,'Données projet'!$B$140,CT34+CS35-DB34)))</f>
        <v>176.32963012635997</v>
      </c>
      <c r="CU35" s="18">
        <f>CT35*VLOOKUP('Données projet'!$B$13,Paramètres!$A$1:$I$88,3,0)*VLOOKUP('Données projet'!$B$13,Paramètres!$A$1:$I$88,5,0)</f>
        <v>105.44511881556328</v>
      </c>
      <c r="CV35" s="14">
        <f t="shared" si="41"/>
        <v>28.255192018558674</v>
      </c>
      <c r="CW35" s="22">
        <f t="shared" si="13"/>
        <v>232.86137470276239</v>
      </c>
      <c r="CX35" s="62">
        <f t="shared" si="14"/>
        <v>510.48645878025332</v>
      </c>
      <c r="CY35" s="62">
        <f ca="1">AVERAGE(OFFSET($CX$3,0,0,'Données projet'!$E$13+1,1))-AVERAGE(OFFSET($H$3,0,0,'Données projet'!$E$13+1,1))</f>
        <v>167.84261986874142</v>
      </c>
      <c r="CZ35" s="62">
        <f t="shared" si="42"/>
        <v>242.5860875239222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0.90846958439296743</v>
      </c>
      <c r="DG35" s="23">
        <f>EXP(-LN(2)/25)*DG34+(1-EXP(-LN(2)/25))/(LN(2)/25)*Calculateur!DB35*Calculateur!DD35*VLOOKUP('Données projet'!$B$13,Paramètres!$A$1:$I$88,3,0)*0.475*44/12</f>
        <v>9.4080885564652164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10.316558140858184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1.5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5.5</v>
      </c>
      <c r="H36" s="70">
        <f t="shared" si="1"/>
        <v>234.66666666666666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3.6388888888888888</v>
      </c>
      <c r="N36" s="14">
        <f>IF('Données projet'!$A$36&gt;35,N35+M36-V35,IF(A36&lt;'Données projet'!$A$36,$K$205^A36,IF(A36='Données projet'!$A$36,'Données projet'!$B$36,N35+M36-V35)))</f>
        <v>120.08333333333326</v>
      </c>
      <c r="O36" s="14">
        <f>N36*VLOOKUP('Données projet'!$B$9,Paramètres!$A$1:$I$88,3,0)*VLOOKUP('Données projet'!$B$9,Paramètres!$A$1:$I$88,5,0)</f>
        <v>108.65139999999992</v>
      </c>
      <c r="P36" s="14">
        <f t="shared" si="33"/>
        <v>29.01301613459556</v>
      </c>
      <c r="Q36" s="22">
        <f t="shared" si="53"/>
        <v>239.76552476775382</v>
      </c>
      <c r="R36" s="62">
        <f t="shared" si="0"/>
        <v>517.66311185144934</v>
      </c>
      <c r="S36" s="62">
        <f ca="1">AVERAGE(OFFSET($R$3,0,0,'Données projet'!$E$9+1,1))-AVERAGE(OFFSET($H$3,0,0,'Données projet'!$E$9+1,1))</f>
        <v>387.16864229348823</v>
      </c>
      <c r="T36" s="62">
        <f t="shared" si="34"/>
        <v>260.88002342542893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15.84652991508047</v>
      </c>
      <c r="AI36" s="14">
        <f>IF('Données projet'!$A$62&gt;35,AI35+AH36-AQ35,IF(A36&lt;'Données projet'!$A$62,$AF$205^A36,IF(A36='Données projet'!$A$62,'Données projet'!$B$62,AI35+AH36-AQ35)))</f>
        <v>235.50894646259894</v>
      </c>
      <c r="AJ36" s="14">
        <f>AI36*VLOOKUP('Données projet'!$B$10,Paramètres!$A$1:$I$88,3,0)*VLOOKUP('Données projet'!$B$10,Paramètres!$A$1:$I$88,5,0)</f>
        <v>140.83434998463417</v>
      </c>
      <c r="AK36" s="14">
        <f t="shared" si="35"/>
        <v>36.488077210329763</v>
      </c>
      <c r="AL36" s="22">
        <f t="shared" si="4"/>
        <v>308.83656069789555</v>
      </c>
      <c r="AM36" s="62">
        <f t="shared" si="5"/>
        <v>586.7341477815911</v>
      </c>
      <c r="AN36" s="62">
        <f ca="1">AVERAGE(OFFSET($AM$3,0,0,'Données projet'!$E$10+1,1))-AVERAGE(OFFSET($H$3,0,0,'Données projet'!$E$10+1,1))</f>
        <v>197.84745001458262</v>
      </c>
      <c r="AO36" s="62">
        <f t="shared" si="36"/>
        <v>290.24283321060068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1.4198242515517359</v>
      </c>
      <c r="AV36" s="23">
        <f>EXP(-LN(2)/25)*AV35+(1-EXP(-LN(2)/25))/(LN(2)/25)*Calculateur!AQ36*Calculateur!AS36*VLOOKUP('Données projet'!$B$10,Paramètres!$A$1:$I$88,3,0)*0.475*44/12</f>
        <v>13.884005824179447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15.303830075731183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projet'!$B$11,Paramètres!$A$1:$I$88,3,0)*VLOOKUP('Données projet'!$B$11,Paramètres!$A$1:$I$88,5,0)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546.08588470065786</v>
      </c>
      <c r="BI36" s="62">
        <f ca="1">AVERAGE(OFFSET($BH$3,0,0,'Données projet'!$E$11+1,1))-AVERAGE(OFFSET($H$3,0,0,'Données projet'!$E$11+1,1))</f>
        <v>377.49758296179459</v>
      </c>
      <c r="BJ36" s="62">
        <f t="shared" si="38"/>
        <v>297.9972591134441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5.4443457070604468</v>
      </c>
      <c r="BQ36" s="23">
        <f>EXP(-LN(2)/25)*BQ35+(1-EXP(-LN(2)/25))/(LN(2)/25)*Calculateur!BL36*Calculateur!BN36*VLOOKUP('Données projet'!$B$11,Paramètres!$A$1:$I$88,3,0)*0.475*44/12</f>
        <v>11.338370002349384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16.782715709409832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10.037392401547642</v>
      </c>
      <c r="BY36" s="13">
        <f>IF('Données projet'!$A$114&gt;35,BY35+BX36-CG35,IF(A36&lt;'Données projet'!$A$114,$BV$205^A36,IF(A36='Données projet'!$A$114,'Données projet'!$B$114,BY35+BX36-CG35)))</f>
        <v>90.507081459238407</v>
      </c>
      <c r="BZ36" s="14">
        <f>BY36*VLOOKUP('Données projet'!$B$12,Paramètres!$A$1:$I$88,3,0)*VLOOKUP('Données projet'!$B$12,Paramètres!$A$1:$I$88,5,0)</f>
        <v>42.357314122923576</v>
      </c>
      <c r="CA36" s="14">
        <f t="shared" si="39"/>
        <v>12.621355840835461</v>
      </c>
      <c r="CB36" s="22">
        <f t="shared" si="10"/>
        <v>95.754516853546988</v>
      </c>
      <c r="CC36" s="62">
        <f t="shared" si="11"/>
        <v>373.65210393724254</v>
      </c>
      <c r="CD36" s="62">
        <f ca="1">AVERAGE(OFFSET($CC$3,0,0,'Données projet'!$E$12+1,1))-AVERAGE(OFFSET($H$3,0,0,'Données projet'!$E$12+1,1))</f>
        <v>163.77317062597106</v>
      </c>
      <c r="CE36" s="62">
        <f t="shared" si="40"/>
        <v>122.66073843071686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6.4633913701027605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6.4633913701027605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12.661491182738557</v>
      </c>
      <c r="CT36" s="13">
        <f>IF('Données projet'!$A$140&gt;35,CT35+CS36-DB35,IF(A36&lt;'Données projet'!$A$140,$CQ$205^A36,IF(A36='Données projet'!$A$140,'Données projet'!$B$140,CT35+CS36-DB35)))</f>
        <v>188.99112130909853</v>
      </c>
      <c r="CU36" s="18">
        <f>CT36*VLOOKUP('Données projet'!$B$13,Paramètres!$A$1:$I$88,3,0)*VLOOKUP('Données projet'!$B$13,Paramètres!$A$1:$I$88,5,0)</f>
        <v>113.01669054284093</v>
      </c>
      <c r="CV36" s="14">
        <f t="shared" si="41"/>
        <v>30.040617366299752</v>
      </c>
      <c r="CW36" s="22">
        <f t="shared" si="13"/>
        <v>249.15814460842003</v>
      </c>
      <c r="CX36" s="62">
        <f t="shared" si="14"/>
        <v>527.05573169211561</v>
      </c>
      <c r="CY36" s="62">
        <f ca="1">AVERAGE(OFFSET($CX$3,0,0,'Données projet'!$E$13+1,1))-AVERAGE(OFFSET($H$3,0,0,'Données projet'!$E$13+1,1))</f>
        <v>167.84261986874142</v>
      </c>
      <c r="CZ36" s="62">
        <f t="shared" si="42"/>
        <v>242.5860875239222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0.89065504995475386</v>
      </c>
      <c r="DG36" s="23">
        <f>EXP(-LN(2)/25)*DG35+(1-EXP(-LN(2)/25))/(LN(2)/25)*Calculateur!DB36*Calculateur!DD36*VLOOKUP('Données projet'!$B$13,Paramètres!$A$1:$I$88,3,0)*0.475*44/12</f>
        <v>9.1508238801388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10.041478930093554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1.5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5.5</v>
      </c>
      <c r="H37" s="70">
        <f t="shared" si="1"/>
        <v>234.66666666666666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3.6388888888888888</v>
      </c>
      <c r="N37" s="14">
        <f>IF('Données projet'!$A$36&gt;35,N36+M37-V36,IF(A37&lt;'Données projet'!$A$36,$K$205^A37,IF(A37='Données projet'!$A$36,'Données projet'!$B$36,N36+M37-V36)))</f>
        <v>123.72222222222214</v>
      </c>
      <c r="O37" s="14">
        <f>N37*VLOOKUP('Données projet'!$B$9,Paramètres!$A$1:$I$88,3,0)*VLOOKUP('Données projet'!$B$9,Paramètres!$A$1:$I$88,5,0)</f>
        <v>111.94386666666658</v>
      </c>
      <c r="P37" s="14">
        <f t="shared" si="33"/>
        <v>29.788506755070937</v>
      </c>
      <c r="Q37" s="22">
        <f t="shared" si="53"/>
        <v>246.85055037619284</v>
      </c>
      <c r="R37" s="62">
        <f t="shared" si="0"/>
        <v>525.01591314816085</v>
      </c>
      <c r="S37" s="62">
        <f ca="1">AVERAGE(OFFSET($R$3,0,0,'Données projet'!$E$9+1,1))-AVERAGE(OFFSET($H$3,0,0,'Données projet'!$E$9+1,1))</f>
        <v>387.16864229348823</v>
      </c>
      <c r="T37" s="62">
        <f t="shared" si="34"/>
        <v>260.88002342542893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15.84652991508047</v>
      </c>
      <c r="AI37" s="14">
        <f>IF('Données projet'!$A$62&gt;35,AI36+AH37-AQ36,IF(A37&lt;'Données projet'!$A$62,$AF$205^A37,IF(A37='Données projet'!$A$62,'Données projet'!$B$62,AI36+AH37-AQ36)))</f>
        <v>251.35547637767942</v>
      </c>
      <c r="AJ37" s="14">
        <f>AI37*VLOOKUP('Données projet'!$B$10,Paramètres!$A$1:$I$88,3,0)*VLOOKUP('Données projet'!$B$10,Paramètres!$A$1:$I$88,5,0)</f>
        <v>150.31057487385232</v>
      </c>
      <c r="AK37" s="14">
        <f t="shared" si="35"/>
        <v>38.649156376922726</v>
      </c>
      <c r="AL37" s="22">
        <f t="shared" si="4"/>
        <v>329.10486526176646</v>
      </c>
      <c r="AM37" s="62">
        <f t="shared" si="5"/>
        <v>607.27022803373438</v>
      </c>
      <c r="AN37" s="62">
        <f ca="1">AVERAGE(OFFSET($AM$3,0,0,'Données projet'!$E$10+1,1))-AVERAGE(OFFSET($H$3,0,0,'Données projet'!$E$10+1,1))</f>
        <v>197.84745001458262</v>
      </c>
      <c r="AO37" s="62">
        <f t="shared" si="36"/>
        <v>290.24283321060068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1.3919823639860887</v>
      </c>
      <c r="AV37" s="23">
        <f>EXP(-LN(2)/25)*AV36+(1-EXP(-LN(2)/25))/(LN(2)/25)*Calculateur!AQ37*Calculateur!AS37*VLOOKUP('Données projet'!$B$10,Paramètres!$A$1:$I$88,3,0)*0.475*44/12</f>
        <v>13.504346954789126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14.896329318775214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projet'!$B$11,Paramètres!$A$1:$I$88,3,0)*VLOOKUP('Données projet'!$B$11,Paramètres!$A$1:$I$88,5,0)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565.08561981785499</v>
      </c>
      <c r="BI37" s="62">
        <f ca="1">AVERAGE(OFFSET($BH$3,0,0,'Données projet'!$E$11+1,1))-AVERAGE(OFFSET($H$3,0,0,'Données projet'!$E$11+1,1))</f>
        <v>377.49758296179459</v>
      </c>
      <c r="BJ37" s="62">
        <f t="shared" si="38"/>
        <v>297.9972591134441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5.3375854084679784</v>
      </c>
      <c r="BQ37" s="23">
        <f>EXP(-LN(2)/25)*BQ36+(1-EXP(-LN(2)/25))/(LN(2)/25)*Calculateur!BL37*Calculateur!BN37*VLOOKUP('Données projet'!$B$11,Paramètres!$A$1:$I$88,3,0)*0.475*44/12</f>
        <v>11.028321678376177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16.365907086844153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10.037392401547642</v>
      </c>
      <c r="BY37" s="13">
        <f>IF('Données projet'!$A$114&gt;35,BY36+BX37-CG36,IF(A37&lt;'Données projet'!$A$114,$BV$205^A37,IF(A37='Données projet'!$A$114,'Données projet'!$B$114,BY36+BX37-CG36)))</f>
        <v>100.54447386078604</v>
      </c>
      <c r="BZ37" s="14">
        <f>BY37*VLOOKUP('Données projet'!$B$12,Paramètres!$A$1:$I$88,3,0)*VLOOKUP('Données projet'!$B$12,Paramètres!$A$1:$I$88,5,0)</f>
        <v>47.054813766847865</v>
      </c>
      <c r="CA37" s="14">
        <f t="shared" si="39"/>
        <v>13.85048595809304</v>
      </c>
      <c r="CB37" s="22">
        <f t="shared" si="10"/>
        <v>106.07673035427206</v>
      </c>
      <c r="CC37" s="62">
        <f t="shared" si="11"/>
        <v>384.24209312624004</v>
      </c>
      <c r="CD37" s="62">
        <f ca="1">AVERAGE(OFFSET($CC$3,0,0,'Données projet'!$E$12+1,1))-AVERAGE(OFFSET($H$3,0,0,'Données projet'!$E$12+1,1))</f>
        <v>163.77317062597106</v>
      </c>
      <c r="CE37" s="62">
        <f t="shared" si="40"/>
        <v>122.66073843071686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6.2866495931923208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6.2866495931923208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12.661491182738557</v>
      </c>
      <c r="CT37" s="13">
        <f>IF('Données projet'!$A$140&gt;35,CT36+CS37-DB36,IF(A37&lt;'Données projet'!$A$140,$CQ$205^A37,IF(A37='Données projet'!$A$140,'Données projet'!$B$140,CT36+CS37-DB36)))</f>
        <v>201.65261249183709</v>
      </c>
      <c r="CU37" s="18">
        <f>CT37*VLOOKUP('Données projet'!$B$13,Paramètres!$A$1:$I$88,3,0)*VLOOKUP('Données projet'!$B$13,Paramètres!$A$1:$I$88,5,0)</f>
        <v>120.58826227011858</v>
      </c>
      <c r="CV37" s="14">
        <f t="shared" si="41"/>
        <v>31.812162734625783</v>
      </c>
      <c r="CW37" s="22">
        <f t="shared" si="13"/>
        <v>265.43074021659646</v>
      </c>
      <c r="CX37" s="62">
        <f t="shared" si="14"/>
        <v>543.59610298856444</v>
      </c>
      <c r="CY37" s="62">
        <f ca="1">AVERAGE(OFFSET($CX$3,0,0,'Données projet'!$E$13+1,1))-AVERAGE(OFFSET($H$3,0,0,'Données projet'!$E$13+1,1))</f>
        <v>167.84261986874142</v>
      </c>
      <c r="CZ37" s="62">
        <f t="shared" si="42"/>
        <v>242.5860875239222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0.87318984767108054</v>
      </c>
      <c r="DG37" s="23">
        <f>EXP(-LN(2)/25)*DG36+(1-EXP(-LN(2)/25))/(LN(2)/25)*Calculateur!DB37*Calculateur!DD37*VLOOKUP('Données projet'!$B$13,Paramètres!$A$1:$I$88,3,0)*0.475*44/12</f>
        <v>8.9005941199154908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9.7737839675865708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1.5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5.5</v>
      </c>
      <c r="H38" s="70">
        <f t="shared" si="1"/>
        <v>234.66666666666666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3.6388888888888888</v>
      </c>
      <c r="N38" s="14">
        <f>IF('Données projet'!$A$36&gt;35,N37+M38-V37,IF(A38&lt;'Données projet'!$A$36,$K$205^A38,IF(A38='Données projet'!$A$36,'Données projet'!$B$36,N37+M38-V37)))</f>
        <v>127.36111111111103</v>
      </c>
      <c r="O38" s="14">
        <f>N38*VLOOKUP('Données projet'!$B$9,Paramètres!$A$1:$I$88,3,0)*VLOOKUP('Données projet'!$B$9,Paramètres!$A$1:$I$88,5,0)</f>
        <v>115.23633333333326</v>
      </c>
      <c r="P38" s="14">
        <f t="shared" si="33"/>
        <v>30.561346596194085</v>
      </c>
      <c r="Q38" s="22">
        <f t="shared" si="53"/>
        <v>253.9309592105935</v>
      </c>
      <c r="R38" s="62">
        <f t="shared" si="0"/>
        <v>532.35945236129919</v>
      </c>
      <c r="S38" s="62">
        <f ca="1">AVERAGE(OFFSET($R$3,0,0,'Données projet'!$E$9+1,1))-AVERAGE(OFFSET($H$3,0,0,'Données projet'!$E$9+1,1))</f>
        <v>387.16864229348823</v>
      </c>
      <c r="T38" s="62">
        <f t="shared" si="34"/>
        <v>260.88002342542893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267.20200629275985</v>
      </c>
      <c r="AG38" s="13">
        <f>VLOOKUP(A38,'Données projet'!$A$61:$I$81,9,0)</f>
        <v>15.84652991508047</v>
      </c>
      <c r="AH38" s="13">
        <f t="array" ref="AH38">INDEX(AG:AG,MIN(IF(ISNUMBER(AG38:AG234),ROW(AG38:AG234),"")))</f>
        <v>15.84652991508047</v>
      </c>
      <c r="AI38" s="14">
        <f>IF('Données projet'!$A$62&gt;35,AI37+AH38-AQ37,IF(A38&lt;'Données projet'!$A$62,$AF$205^A38,IF(A38='Données projet'!$A$62,'Données projet'!$B$62,AI37+AH38-AQ37)))</f>
        <v>267.2020062927599</v>
      </c>
      <c r="AJ38" s="14">
        <f>AI38*VLOOKUP('Données projet'!$B$10,Paramètres!$A$1:$I$88,3,0)*VLOOKUP('Données projet'!$B$10,Paramètres!$A$1:$I$88,5,0)</f>
        <v>159.78679976307043</v>
      </c>
      <c r="AK38" s="14">
        <f t="shared" si="35"/>
        <v>40.794423766999294</v>
      </c>
      <c r="AL38" s="22">
        <f t="shared" si="4"/>
        <v>349.34563098153814</v>
      </c>
      <c r="AM38" s="62">
        <f t="shared" si="5"/>
        <v>627.77412413224374</v>
      </c>
      <c r="AN38" s="62">
        <f ca="1">AVERAGE(OFFSET($AM$3,0,0,'Données projet'!$E$10+1,1))-AVERAGE(OFFSET($H$3,0,0,'Données projet'!$E$10+1,1))</f>
        <v>197.84745001458262</v>
      </c>
      <c r="AO38" s="62">
        <f t="shared" si="36"/>
        <v>290.24283321060068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80.160601887827937</v>
      </c>
      <c r="AR38" s="17">
        <f>IF(ISNA(VLOOKUP(A38,'Données projet'!$A$61:$I$81,5,0)),0%,VLOOKUP(A38,'Données projet'!$A$61:$I$81,5,0)*VLOOKUP('Données projet'!$B$10,Paramètres!$A$1:$I$88,7,0))</f>
        <v>0.13500000000000001</v>
      </c>
      <c r="AS38" s="17">
        <f>IF(ISNA(VLOOKUP(A38,'Données projet'!$A$61:$I$81,6,0)),0%,VLOOKUP(A38,'Données projet'!$A$61:$I$81,6,0)*VLOOKUP('Données projet'!$B$10,Paramètres!$A$1:$I$88,7,0))</f>
        <v>0.22500000000000001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9.9493697439257645</v>
      </c>
      <c r="AV38" s="23">
        <f>EXP(-LN(2)/25)*AV37+(1-EXP(-LN(2)/25))/(LN(2)/25)*Calculateur!AQ38*Calculateur!AS38*VLOOKUP('Données projet'!$B$10,Paramètres!$A$1:$I$88,3,0)*0.475*44/12</f>
        <v>27.386540103612976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37.335909847538744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projet'!$B$11,Paramètres!$A$1:$I$88,3,0)*VLOOKUP('Données projet'!$B$11,Paramètres!$A$1:$I$88,5,0)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584.05335909645009</v>
      </c>
      <c r="BI38" s="62">
        <f ca="1">AVERAGE(OFFSET($BH$3,0,0,'Données projet'!$E$11+1,1))-AVERAGE(OFFSET($H$3,0,0,'Données projet'!$E$11+1,1))</f>
        <v>377.49758296179459</v>
      </c>
      <c r="BJ38" s="62">
        <f t="shared" si="38"/>
        <v>297.9972591134441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projet'!$B$11,Paramètres!$A$1:$I$88,7,0))</f>
        <v>0.13500000000000001</v>
      </c>
      <c r="BN38" s="17">
        <f>IF(ISNA(VLOOKUP(A38,'Données projet'!$A$87:$I$107,6,0)),0%,VLOOKUP(A38,'Données projet'!$A$87:$I$107,6,0)*VLOOKUP('Données projet'!$B$11,Paramètres!$A$1:$I$88,7,0))</f>
        <v>0.22500000000000001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9.6237541022065543</v>
      </c>
      <c r="BQ38" s="23">
        <f>EXP(-LN(2)/25)*BQ37+(1-EXP(-LN(2)/25))/(LN(2)/25)*Calculateur!BL38*Calculateur!BN38*VLOOKUP('Données projet'!$B$11,Paramètres!$A$1:$I$88,3,0)*0.475*44/12</f>
        <v>18.01599680152222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27.639750903728775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10.037392401547642</v>
      </c>
      <c r="BY38" s="13">
        <f>IF('Données projet'!$A$114&gt;35,BY37+BX38-CG37,IF(A38&lt;'Données projet'!$A$114,$BV$205^A38,IF(A38='Données projet'!$A$114,'Données projet'!$B$114,BY37+BX38-CG37)))</f>
        <v>110.58186626233368</v>
      </c>
      <c r="BZ38" s="14">
        <f>BY38*VLOOKUP('Données projet'!$B$12,Paramètres!$A$1:$I$88,3,0)*VLOOKUP('Données projet'!$B$12,Paramètres!$A$1:$I$88,5,0)</f>
        <v>51.752313410772153</v>
      </c>
      <c r="CA38" s="14">
        <f t="shared" si="39"/>
        <v>15.065391015199276</v>
      </c>
      <c r="CB38" s="22">
        <f t="shared" si="10"/>
        <v>116.37416854190023</v>
      </c>
      <c r="CC38" s="62">
        <f t="shared" si="11"/>
        <v>394.80266169260591</v>
      </c>
      <c r="CD38" s="62">
        <f ca="1">AVERAGE(OFFSET($CC$3,0,0,'Données projet'!$E$12+1,1))-AVERAGE(OFFSET($H$3,0,0,'Données projet'!$E$12+1,1))</f>
        <v>163.77317062597106</v>
      </c>
      <c r="CE38" s="62">
        <f t="shared" si="40"/>
        <v>122.66073843071686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6.1147408294659433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6.1147408294659433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214.31410367457565</v>
      </c>
      <c r="CR38" s="13">
        <f>VLOOKUP(A38,'Données projet'!$A$139:$I$159,9,0)</f>
        <v>12.661491182738557</v>
      </c>
      <c r="CS38" s="13">
        <f t="array" ref="CS38">INDEX(CR:CR,MIN(IF(ISNUMBER(CR38:CR234),ROW(CR38:CR234),"")))</f>
        <v>12.661491182738557</v>
      </c>
      <c r="CT38" s="13">
        <f>IF('Données projet'!$A$140&gt;35,CT37+CS38-DB37,IF(A38&lt;'Données projet'!$A$140,$CQ$205^A38,IF(A38='Données projet'!$A$140,'Données projet'!$B$140,CT37+CS38-DB37)))</f>
        <v>214.31410367457565</v>
      </c>
      <c r="CU38" s="18">
        <f>CT38*VLOOKUP('Données projet'!$B$13,Paramètres!$A$1:$I$88,3,0)*VLOOKUP('Données projet'!$B$13,Paramètres!$A$1:$I$88,5,0)</f>
        <v>128.15983399739625</v>
      </c>
      <c r="CV38" s="14">
        <f t="shared" si="41"/>
        <v>33.570798839976398</v>
      </c>
      <c r="CW38" s="22">
        <f t="shared" si="13"/>
        <v>281.68085219175731</v>
      </c>
      <c r="CX38" s="62">
        <f t="shared" si="14"/>
        <v>560.10934534246303</v>
      </c>
      <c r="CY38" s="62">
        <f ca="1">AVERAGE(OFFSET($CX$3,0,0,'Données projet'!$E$13+1,1))-AVERAGE(OFFSET($H$3,0,0,'Données projet'!$E$13+1,1))</f>
        <v>167.84261986874142</v>
      </c>
      <c r="CZ38" s="62">
        <f t="shared" si="42"/>
        <v>242.5860875239222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53.578525918643912</v>
      </c>
      <c r="DC38" s="17">
        <f>IF(ISNA(VLOOKUP(A38,'Données projet'!$A$139:$I$159,5,0)),0%,VLOOKUP(A38,'Données projet'!$A$139:$I$159,5,0)*VLOOKUP('Données projet'!$B$13,Paramètres!$A$1:$I$88,7,0))</f>
        <v>0.13500000000000001</v>
      </c>
      <c r="DD38" s="17">
        <f>IF(ISNA(VLOOKUP(A38,'Données projet'!$A$139:$I$159,6,0)),0%,VLOOKUP(A38,'Données projet'!$A$139:$I$159,6,0)*VLOOKUP('Données projet'!$B$13,Paramètres!$A$1:$I$88,7,0))</f>
        <v>0.22500000000000001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6.5939815907157202</v>
      </c>
      <c r="DG38" s="23">
        <f>EXP(-LN(2)/25)*DG37+(1-EXP(-LN(2)/25))/(LN(2)/25)*Calculateur!DB38*Calculateur!DD38*VLOOKUP('Données projet'!$B$13,Paramètres!$A$1:$I$88,3,0)*0.475*44/12</f>
        <v>18.18274375198645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24.776725342702171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1.5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5.5</v>
      </c>
      <c r="H39" s="70">
        <f t="shared" si="1"/>
        <v>234.66666666666666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131</v>
      </c>
      <c r="L39" s="13">
        <f>VLOOKUP(A39,'Données projet'!$A$35:$I$55,9,0)</f>
        <v>3.6388888888888888</v>
      </c>
      <c r="M39" s="13">
        <f t="array" ref="M39">INDEX(L:L,MIN(IF(ISNUMBER(L39:L235),ROW(L39:L235),"")))</f>
        <v>3.6388888888888888</v>
      </c>
      <c r="N39" s="14">
        <f>IF('Données projet'!$A$36&gt;35,N38+M39-V38,IF(A39&lt;'Données projet'!$A$36,$K$205^A39,IF(A39='Données projet'!$A$36,'Données projet'!$B$36,N38+M39-V38)))</f>
        <v>130.99999999999991</v>
      </c>
      <c r="O39" s="14">
        <f>N39*VLOOKUP('Données projet'!$B$9,Paramètres!$A$1:$I$88,3,0)*VLOOKUP('Données projet'!$B$9,Paramètres!$A$1:$I$88,5,0)</f>
        <v>118.52879999999992</v>
      </c>
      <c r="P39" s="14">
        <f t="shared" si="33"/>
        <v>31.331620093089722</v>
      </c>
      <c r="Q39" s="22">
        <f t="shared" si="53"/>
        <v>261.00689832879777</v>
      </c>
      <c r="R39" s="62">
        <f t="shared" si="0"/>
        <v>539.69395713444146</v>
      </c>
      <c r="S39" s="62">
        <f ca="1">AVERAGE(OFFSET($R$3,0,0,'Données projet'!$E$9+1,1))-AVERAGE(OFFSET($H$3,0,0,'Données projet'!$E$9+1,1))</f>
        <v>387.16864229348823</v>
      </c>
      <c r="T39" s="62">
        <f t="shared" si="34"/>
        <v>260.88002342542893</v>
      </c>
      <c r="U39" s="16">
        <f>IF(ISNA(VLOOKUP(A39,'Données projet'!$A$35:$I$55,3,0)),0,VLOOKUP(A39,'Données projet'!$A$35:$I$55,3,0))</f>
        <v>1</v>
      </c>
      <c r="V39" s="16">
        <f>IF(ISNA(VLOOKUP(A39,'Données projet'!$A$35:$I$55,4,0)),0,VLOOKUP(A39,'Données projet'!$A$35:$I$55,4,0))</f>
        <v>36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16.295863111843229</v>
      </c>
      <c r="AI39" s="14">
        <f>IF('Données projet'!$A$62&gt;35,AI38+AH39-AQ38,IF(A39&lt;'Données projet'!$A$62,$AF$205^A39,IF(A39='Données projet'!$A$62,'Données projet'!$B$62,AI38+AH39-AQ38)))</f>
        <v>203.3372675167752</v>
      </c>
      <c r="AJ39" s="14">
        <f>AI39*VLOOKUP('Données projet'!$B$10,Paramètres!$A$1:$I$88,3,0)*VLOOKUP('Données projet'!$B$10,Paramètres!$A$1:$I$88,5,0)</f>
        <v>121.59568597503157</v>
      </c>
      <c r="AK39" s="14">
        <f t="shared" si="35"/>
        <v>32.04688023563844</v>
      </c>
      <c r="AL39" s="22">
        <f t="shared" si="4"/>
        <v>267.59413615025022</v>
      </c>
      <c r="AM39" s="62">
        <f t="shared" si="5"/>
        <v>546.28119495589385</v>
      </c>
      <c r="AN39" s="62">
        <f ca="1">AVERAGE(OFFSET($AM$3,0,0,'Données projet'!$E$10+1,1))-AVERAGE(OFFSET($H$3,0,0,'Données projet'!$E$10+1,1))</f>
        <v>197.84745001458262</v>
      </c>
      <c r="AO39" s="62">
        <f t="shared" si="36"/>
        <v>290.24283321060068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9.7542686717637075</v>
      </c>
      <c r="AV39" s="23">
        <f>EXP(-LN(2)/25)*AV38+(1-EXP(-LN(2)/25))/(LN(2)/25)*Calculateur!AQ39*Calculateur!AS39*VLOOKUP('Données projet'!$B$10,Paramètres!$A$1:$I$88,3,0)*0.475*44/12</f>
        <v>26.637653724284128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36.391922396047832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projet'!$B$11,Paramètres!$A$1:$I$88,3,0)*VLOOKUP('Données projet'!$B$11,Paramètres!$A$1:$I$88,5,0)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550.21327995784793</v>
      </c>
      <c r="BI39" s="62">
        <f ca="1">AVERAGE(OFFSET($BH$3,0,0,'Données projet'!$E$11+1,1))-AVERAGE(OFFSET($H$3,0,0,'Données projet'!$E$11+1,1))</f>
        <v>377.49758296179459</v>
      </c>
      <c r="BJ39" s="62">
        <f t="shared" si="38"/>
        <v>297.9972591134441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9.4350381541726804</v>
      </c>
      <c r="BQ39" s="23">
        <f>EXP(-LN(2)/25)*BQ38+(1-EXP(-LN(2)/25))/(LN(2)/25)*Calculateur!BL39*Calculateur!BN39*VLOOKUP('Données projet'!$B$11,Paramètres!$A$1:$I$88,3,0)*0.475*44/12</f>
        <v>17.523348421564499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26.95838657573718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10.037392401547642</v>
      </c>
      <c r="BY39" s="13">
        <f>IF('Données projet'!$A$114&gt;35,BY38+BX39-CG38,IF(A39&lt;'Données projet'!$A$114,$BV$205^A39,IF(A39='Données projet'!$A$114,'Données projet'!$B$114,BY38+BX39-CG38)))</f>
        <v>120.61925866388131</v>
      </c>
      <c r="BZ39" s="14">
        <f>BY39*VLOOKUP('Données projet'!$B$12,Paramètres!$A$1:$I$88,3,0)*VLOOKUP('Données projet'!$B$12,Paramètres!$A$1:$I$88,5,0)</f>
        <v>56.449813054696456</v>
      </c>
      <c r="CA39" s="14">
        <f t="shared" si="39"/>
        <v>16.267509047382404</v>
      </c>
      <c r="CB39" s="22">
        <f t="shared" si="10"/>
        <v>126.64933599445402</v>
      </c>
      <c r="CC39" s="62">
        <f t="shared" si="11"/>
        <v>405.33639480009765</v>
      </c>
      <c r="CD39" s="62">
        <f ca="1">AVERAGE(OFFSET($CC$3,0,0,'Données projet'!$E$12+1,1))-AVERAGE(OFFSET($H$3,0,0,'Données projet'!$E$12+1,1))</f>
        <v>163.77317062597106</v>
      </c>
      <c r="CE39" s="62">
        <f t="shared" si="40"/>
        <v>122.66073843071686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5.9475329199239519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5.9475329199239519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13.926445873647282</v>
      </c>
      <c r="CT39" s="13">
        <f>IF('Données projet'!$A$140&gt;35,CT38+CS39-DB38,IF(A39&lt;'Données projet'!$A$140,$CQ$205^A39,IF(A39='Données projet'!$A$140,'Données projet'!$B$140,CT38+CS39-DB38)))</f>
        <v>174.66202362957901</v>
      </c>
      <c r="CU39" s="18">
        <f>CT39*VLOOKUP('Données projet'!$B$13,Paramètres!$A$1:$I$88,3,0)*VLOOKUP('Données projet'!$B$13,Paramètres!$A$1:$I$88,5,0)</f>
        <v>104.44789013048825</v>
      </c>
      <c r="CV39" s="14">
        <f t="shared" si="41"/>
        <v>28.01894731855322</v>
      </c>
      <c r="CW39" s="22">
        <f t="shared" si="13"/>
        <v>230.71307522374721</v>
      </c>
      <c r="CX39" s="62">
        <f t="shared" si="14"/>
        <v>509.40013402939087</v>
      </c>
      <c r="CY39" s="62">
        <f ca="1">AVERAGE(OFFSET($CX$3,0,0,'Données projet'!$E$13+1,1))-AVERAGE(OFFSET($H$3,0,0,'Données projet'!$E$13+1,1))</f>
        <v>167.84261986874142</v>
      </c>
      <c r="CZ39" s="62">
        <f t="shared" si="42"/>
        <v>242.5860875239222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6.4646776336534222</v>
      </c>
      <c r="DG39" s="23">
        <f>EXP(-LN(2)/25)*DG38+(1-EXP(-LN(2)/25))/(LN(2)/25)*Calculateur!DB39*Calculateur!DD39*VLOOKUP('Données projet'!$B$13,Paramètres!$A$1:$I$88,3,0)*0.475*44/12</f>
        <v>17.685535667899444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24.150213301552867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1.5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5.5</v>
      </c>
      <c r="H40" s="70">
        <f t="shared" si="1"/>
        <v>234.66666666666666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8.8333333333333339</v>
      </c>
      <c r="N40" s="14">
        <f>IF('Données projet'!$A$36&gt;35,N39+M40-V39,IF(A40&lt;'Données projet'!$A$36,$K$205^A40,IF(A40='Données projet'!$A$36,'Données projet'!$B$36,N39+M40-V39)))</f>
        <v>103.83333333333326</v>
      </c>
      <c r="O40" s="14">
        <f>N40*VLOOKUP('Données projet'!$B$9,Paramètres!$A$1:$I$88,3,0)*VLOOKUP('Données projet'!$B$9,Paramètres!$A$1:$I$88,5,0)</f>
        <v>93.948399999999936</v>
      </c>
      <c r="P40" s="14">
        <f t="shared" si="33"/>
        <v>25.515091392880567</v>
      </c>
      <c r="Q40" s="22">
        <f t="shared" si="53"/>
        <v>208.06558084260018</v>
      </c>
      <c r="R40" s="62">
        <f t="shared" si="0"/>
        <v>487.00671976713483</v>
      </c>
      <c r="S40" s="62">
        <f ca="1">AVERAGE(OFFSET($R$3,0,0,'Données projet'!$E$9+1,1))-AVERAGE(OFFSET($H$3,0,0,'Données projet'!$E$9+1,1))</f>
        <v>387.16864229348823</v>
      </c>
      <c r="T40" s="62">
        <f t="shared" si="34"/>
        <v>260.88002342542893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16.295863111843229</v>
      </c>
      <c r="AI40" s="14">
        <f>IF('Données projet'!$A$62&gt;35,AI39+AH40-AQ39,IF(A40&lt;'Données projet'!$A$62,$AF$205^A40,IF(A40='Données projet'!$A$62,'Données projet'!$B$62,AI39+AH40-AQ39)))</f>
        <v>219.63313062861843</v>
      </c>
      <c r="AJ40" s="14">
        <f>AI40*VLOOKUP('Données projet'!$B$10,Paramètres!$A$1:$I$88,3,0)*VLOOKUP('Données projet'!$B$10,Paramètres!$A$1:$I$88,5,0)</f>
        <v>131.34061211591384</v>
      </c>
      <c r="AK40" s="14">
        <f t="shared" si="35"/>
        <v>34.305950218665359</v>
      </c>
      <c r="AL40" s="22">
        <f t="shared" si="4"/>
        <v>288.50109606605878</v>
      </c>
      <c r="AM40" s="62">
        <f t="shared" si="5"/>
        <v>567.44223499059342</v>
      </c>
      <c r="AN40" s="62">
        <f ca="1">AVERAGE(OFFSET($AM$3,0,0,'Données projet'!$E$10+1,1))-AVERAGE(OFFSET($H$3,0,0,'Données projet'!$E$10+1,1))</f>
        <v>197.84745001458262</v>
      </c>
      <c r="AO40" s="62">
        <f t="shared" si="36"/>
        <v>290.24283321060068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9.5629934126268452</v>
      </c>
      <c r="AV40" s="23">
        <f>EXP(-LN(2)/25)*AV39+(1-EXP(-LN(2)/25))/(LN(2)/25)*Calculateur!AQ40*Calculateur!AS40*VLOOKUP('Données projet'!$B$10,Paramètres!$A$1:$I$88,3,0)*0.475*44/12</f>
        <v>25.909245682380249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35.472239095007097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projet'!$B$11,Paramètres!$A$1:$I$88,3,0)*VLOOKUP('Données projet'!$B$11,Paramètres!$A$1:$I$88,5,0)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568.93795052684879</v>
      </c>
      <c r="BI40" s="62">
        <f ca="1">AVERAGE(OFFSET($BH$3,0,0,'Données projet'!$E$11+1,1))-AVERAGE(OFFSET($H$3,0,0,'Données projet'!$E$11+1,1))</f>
        <v>377.49758296179459</v>
      </c>
      <c r="BJ40" s="62">
        <f t="shared" si="38"/>
        <v>297.9972591134441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9.2500228107743876</v>
      </c>
      <c r="BQ40" s="23">
        <f>EXP(-LN(2)/25)*BQ39+(1-EXP(-LN(2)/25))/(LN(2)/25)*Calculateur!BL40*Calculateur!BN40*VLOOKUP('Données projet'!$B$11,Paramètres!$A$1:$I$88,3,0)*0.475*44/12</f>
        <v>17.044171537463974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26.294194348238364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10.037392401547642</v>
      </c>
      <c r="BY40" s="13">
        <f>IF('Données projet'!$A$114&gt;35,BY39+BX40-CG39,IF(A40&lt;'Données projet'!$A$114,$BV$205^A40,IF(A40='Données projet'!$A$114,'Données projet'!$B$114,BY39+BX40-CG39)))</f>
        <v>130.65665106542895</v>
      </c>
      <c r="BZ40" s="14">
        <f>BY40*VLOOKUP('Données projet'!$B$12,Paramètres!$A$1:$I$88,3,0)*VLOOKUP('Données projet'!$B$12,Paramètres!$A$1:$I$88,5,0)</f>
        <v>61.147312698620745</v>
      </c>
      <c r="CA40" s="14">
        <f t="shared" si="39"/>
        <v>17.458025109485739</v>
      </c>
      <c r="CB40" s="22">
        <f t="shared" si="10"/>
        <v>136.90429668245213</v>
      </c>
      <c r="CC40" s="62">
        <f t="shared" si="11"/>
        <v>415.84543560698677</v>
      </c>
      <c r="CD40" s="62">
        <f ca="1">AVERAGE(OFFSET($CC$3,0,0,'Données projet'!$E$12+1,1))-AVERAGE(OFFSET($H$3,0,0,'Données projet'!$E$12+1,1))</f>
        <v>163.77317062597106</v>
      </c>
      <c r="CE40" s="62">
        <f t="shared" si="40"/>
        <v>122.66073843071686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5.7848973194614688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5.7848973194614688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13.926445873647282</v>
      </c>
      <c r="CT40" s="13">
        <f>IF('Données projet'!$A$140&gt;35,CT39+CS40-DB39,IF(A40&lt;'Données projet'!$A$140,$CQ$205^A40,IF(A40='Données projet'!$A$140,'Données projet'!$B$140,CT39+CS40-DB39)))</f>
        <v>188.58846950322629</v>
      </c>
      <c r="CU40" s="18">
        <f>CT40*VLOOKUP('Données projet'!$B$13,Paramètres!$A$1:$I$88,3,0)*VLOOKUP('Données projet'!$B$13,Paramètres!$A$1:$I$88,5,0)</f>
        <v>112.77590476292933</v>
      </c>
      <c r="CV40" s="14">
        <f t="shared" si="41"/>
        <v>29.9840577179143</v>
      </c>
      <c r="CW40" s="22">
        <f t="shared" si="13"/>
        <v>248.64026798746931</v>
      </c>
      <c r="CX40" s="62">
        <f t="shared" si="14"/>
        <v>527.58140691200401</v>
      </c>
      <c r="CY40" s="62">
        <f ca="1">AVERAGE(OFFSET($CX$3,0,0,'Données projet'!$E$13+1,1))-AVERAGE(OFFSET($H$3,0,0,'Données projet'!$E$13+1,1))</f>
        <v>167.84261986874142</v>
      </c>
      <c r="CZ40" s="62">
        <f t="shared" si="42"/>
        <v>242.5860875239222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6.3379092483214903</v>
      </c>
      <c r="DG40" s="23">
        <f>EXP(-LN(2)/25)*DG39+(1-EXP(-LN(2)/25))/(LN(2)/25)*Calculateur!DB40*Calculateur!DD40*VLOOKUP('Données projet'!$B$13,Paramètres!$A$1:$I$88,3,0)*0.475*44/12</f>
        <v>17.201923765018833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23.539833013340324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1.5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5.5</v>
      </c>
      <c r="H41" s="70">
        <f t="shared" si="1"/>
        <v>234.66666666666666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8.8333333333333339</v>
      </c>
      <c r="N41" s="14">
        <f>IF('Données projet'!$A$36&gt;35,N40+M41-V40,IF(A41&lt;'Données projet'!$A$36,$K$205^A41,IF(A41='Données projet'!$A$36,'Données projet'!$B$36,N40+M41-V40)))</f>
        <v>112.66666666666659</v>
      </c>
      <c r="O41" s="14">
        <f>N41*VLOOKUP('Données projet'!$B$9,Paramètres!$A$1:$I$88,3,0)*VLOOKUP('Données projet'!$B$9,Paramètres!$A$1:$I$88,5,0)</f>
        <v>101.94079999999994</v>
      </c>
      <c r="P41" s="14">
        <f t="shared" si="33"/>
        <v>27.423847852416593</v>
      </c>
      <c r="Q41" s="22">
        <f t="shared" si="53"/>
        <v>225.31009500962546</v>
      </c>
      <c r="R41" s="62">
        <f t="shared" si="0"/>
        <v>504.50090633102644</v>
      </c>
      <c r="S41" s="62">
        <f ca="1">AVERAGE(OFFSET($R$3,0,0,'Données projet'!$E$9+1,1))-AVERAGE(OFFSET($H$3,0,0,'Données projet'!$E$9+1,1))</f>
        <v>387.16864229348823</v>
      </c>
      <c r="T41" s="62">
        <f t="shared" si="34"/>
        <v>260.88002342542893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16.295863111843229</v>
      </c>
      <c r="AI41" s="14">
        <f>IF('Données projet'!$A$62&gt;35,AI40+AH41-AQ40,IF(A41&lt;'Données projet'!$A$62,$AF$205^A41,IF(A41='Données projet'!$A$62,'Données projet'!$B$62,AI40+AH41-AQ40)))</f>
        <v>235.92899374046166</v>
      </c>
      <c r="AJ41" s="14">
        <f>AI41*VLOOKUP('Données projet'!$B$10,Paramètres!$A$1:$I$88,3,0)*VLOOKUP('Données projet'!$B$10,Paramètres!$A$1:$I$88,5,0)</f>
        <v>141.0855382567961</v>
      </c>
      <c r="AK41" s="14">
        <f t="shared" si="35"/>
        <v>36.545575165037633</v>
      </c>
      <c r="AL41" s="22">
        <f t="shared" si="4"/>
        <v>309.37418920969372</v>
      </c>
      <c r="AM41" s="62">
        <f t="shared" si="5"/>
        <v>588.56500053109471</v>
      </c>
      <c r="AN41" s="62">
        <f ca="1">AVERAGE(OFFSET($AM$3,0,0,'Données projet'!$E$10+1,1))-AVERAGE(OFFSET($H$3,0,0,'Données projet'!$E$10+1,1))</f>
        <v>197.84745001458262</v>
      </c>
      <c r="AO41" s="62">
        <f t="shared" si="36"/>
        <v>290.24283321060068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9.3754689446552693</v>
      </c>
      <c r="AV41" s="23">
        <f>EXP(-LN(2)/25)*AV40+(1-EXP(-LN(2)/25))/(LN(2)/25)*Calculateur!AQ41*Calculateur!AS41*VLOOKUP('Données projet'!$B$10,Paramètres!$A$1:$I$88,3,0)*0.475*44/12</f>
        <v>25.200755996687548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34.576224941342815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projet'!$B$11,Paramètres!$A$1:$I$88,3,0)*VLOOKUP('Données projet'!$B$11,Paramètres!$A$1:$I$88,5,0)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587.63193081797635</v>
      </c>
      <c r="BI41" s="62">
        <f ca="1">AVERAGE(OFFSET($BH$3,0,0,'Données projet'!$E$11+1,1))-AVERAGE(OFFSET($H$3,0,0,'Données projet'!$E$11+1,1))</f>
        <v>377.49758296179459</v>
      </c>
      <c r="BJ41" s="62">
        <f t="shared" si="38"/>
        <v>297.9972591134441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9.068635505411919</v>
      </c>
      <c r="BQ41" s="23">
        <f>EXP(-LN(2)/25)*BQ40+(1-EXP(-LN(2)/25))/(LN(2)/25)*Calculateur!BL41*Calculateur!BN41*VLOOKUP('Données projet'!$B$11,Paramètres!$A$1:$I$88,3,0)*0.475*44/12</f>
        <v>16.578097770457994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25.646733275869913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10.037392401547642</v>
      </c>
      <c r="BY41" s="13">
        <f>IF('Données projet'!$A$114&gt;35,BY40+BX41-CG40,IF(A41&lt;'Données projet'!$A$114,$BV$205^A41,IF(A41='Données projet'!$A$114,'Données projet'!$B$114,BY40+BX41-CG40)))</f>
        <v>140.69404346697658</v>
      </c>
      <c r="BZ41" s="14">
        <f>BY41*VLOOKUP('Données projet'!$B$12,Paramètres!$A$1:$I$88,3,0)*VLOOKUP('Données projet'!$B$12,Paramètres!$A$1:$I$88,5,0)</f>
        <v>65.84481234254504</v>
      </c>
      <c r="CA41" s="14">
        <f t="shared" si="39"/>
        <v>18.637931835533539</v>
      </c>
      <c r="CB41" s="22">
        <f t="shared" si="10"/>
        <v>147.14077944348685</v>
      </c>
      <c r="CC41" s="62">
        <f t="shared" si="11"/>
        <v>426.33159076488784</v>
      </c>
      <c r="CD41" s="62">
        <f ca="1">AVERAGE(OFFSET($CC$3,0,0,'Données projet'!$E$12+1,1))-AVERAGE(OFFSET($H$3,0,0,'Données projet'!$E$12+1,1))</f>
        <v>163.77317062597106</v>
      </c>
      <c r="CE41" s="62">
        <f t="shared" si="40"/>
        <v>122.66073843071686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5.6267089980462668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5.6267089980462668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13.926445873647282</v>
      </c>
      <c r="CT41" s="13">
        <f>IF('Données projet'!$A$140&gt;35,CT40+CS41-DB40,IF(A41&lt;'Données projet'!$A$140,$CQ$205^A41,IF(A41='Données projet'!$A$140,'Données projet'!$B$140,CT40+CS41-DB40)))</f>
        <v>202.51491537687357</v>
      </c>
      <c r="CU41" s="18">
        <f>CT41*VLOOKUP('Données projet'!$B$13,Paramètres!$A$1:$I$88,3,0)*VLOOKUP('Données projet'!$B$13,Paramètres!$A$1:$I$88,5,0)</f>
        <v>121.10391939537041</v>
      </c>
      <c r="CV41" s="14">
        <f t="shared" si="41"/>
        <v>31.932332984063493</v>
      </c>
      <c r="CW41" s="22">
        <f t="shared" si="13"/>
        <v>266.53813956084741</v>
      </c>
      <c r="CX41" s="62">
        <f t="shared" si="14"/>
        <v>545.72895088224845</v>
      </c>
      <c r="CY41" s="62">
        <f ca="1">AVERAGE(OFFSET($CX$3,0,0,'Données projet'!$E$13+1,1))-AVERAGE(OFFSET($H$3,0,0,'Données projet'!$E$13+1,1))</f>
        <v>167.84261986874142</v>
      </c>
      <c r="CZ41" s="62">
        <f t="shared" si="42"/>
        <v>242.5860875239222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6.2136267137048371</v>
      </c>
      <c r="DG41" s="23">
        <f>EXP(-LN(2)/25)*DG40+(1-EXP(-LN(2)/25))/(LN(2)/25)*Calculateur!DB41*Calculateur!DD41*VLOOKUP('Données projet'!$B$13,Paramètres!$A$1:$I$88,3,0)*0.475*44/12</f>
        <v>16.731536255054539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22.945162968759377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1.5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5.5</v>
      </c>
      <c r="H42" s="70">
        <f t="shared" si="1"/>
        <v>234.66666666666666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8.8333333333333339</v>
      </c>
      <c r="N42" s="14">
        <f>IF('Données projet'!$A$36&gt;35,N41+M42-V41,IF(A42&lt;'Données projet'!$A$36,$K$205^A42,IF(A42='Données projet'!$A$36,'Données projet'!$B$36,N41+M42-V41)))</f>
        <v>121.49999999999991</v>
      </c>
      <c r="O42" s="14">
        <f>N42*VLOOKUP('Données projet'!$B$9,Paramètres!$A$1:$I$88,3,0)*VLOOKUP('Données projet'!$B$9,Paramètres!$A$1:$I$88,5,0)</f>
        <v>109.93319999999991</v>
      </c>
      <c r="P42" s="14">
        <f t="shared" si="33"/>
        <v>29.315245415158849</v>
      </c>
      <c r="Q42" s="22">
        <f t="shared" si="53"/>
        <v>242.52437576473483</v>
      </c>
      <c r="R42" s="62">
        <f t="shared" si="0"/>
        <v>521.96052822510023</v>
      </c>
      <c r="S42" s="62">
        <f ca="1">AVERAGE(OFFSET($R$3,0,0,'Données projet'!$E$9+1,1))-AVERAGE(OFFSET($H$3,0,0,'Données projet'!$E$9+1,1))</f>
        <v>387.16864229348823</v>
      </c>
      <c r="T42" s="62">
        <f t="shared" si="34"/>
        <v>260.88002342542893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16.295863111843229</v>
      </c>
      <c r="AI42" s="14">
        <f>IF('Données projet'!$A$62&gt;35,AI41+AH42-AQ41,IF(A42&lt;'Données projet'!$A$62,$AF$205^A42,IF(A42='Données projet'!$A$62,'Données projet'!$B$62,AI41+AH42-AQ41)))</f>
        <v>252.2248568523049</v>
      </c>
      <c r="AJ42" s="14">
        <f>AI42*VLOOKUP('Données projet'!$B$10,Paramètres!$A$1:$I$88,3,0)*VLOOKUP('Données projet'!$B$10,Paramètres!$A$1:$I$88,5,0)</f>
        <v>150.83046439767836</v>
      </c>
      <c r="AK42" s="14">
        <f t="shared" si="35"/>
        <v>38.767250948826273</v>
      </c>
      <c r="AL42" s="22">
        <f t="shared" si="4"/>
        <v>330.21602089516222</v>
      </c>
      <c r="AM42" s="62">
        <f t="shared" si="5"/>
        <v>609.65217335552768</v>
      </c>
      <c r="AN42" s="62">
        <f ca="1">AVERAGE(OFFSET($AM$3,0,0,'Données projet'!$E$10+1,1))-AVERAGE(OFFSET($H$3,0,0,'Données projet'!$E$10+1,1))</f>
        <v>197.84745001458262</v>
      </c>
      <c r="AO42" s="62">
        <f t="shared" si="36"/>
        <v>290.24283321060068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9.1916217171219827</v>
      </c>
      <c r="AV42" s="23">
        <f>EXP(-LN(2)/25)*AV41+(1-EXP(-LN(2)/25))/(LN(2)/25)*Calculateur!AQ42*Calculateur!AS42*VLOOKUP('Données projet'!$B$10,Paramètres!$A$1:$I$88,3,0)*0.475*44/12</f>
        <v>24.511639998707967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33.703261715829953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projet'!$B$11,Paramètres!$A$1:$I$88,3,0)*VLOOKUP('Données projet'!$B$11,Paramètres!$A$1:$I$88,5,0)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606.29708965583814</v>
      </c>
      <c r="BI42" s="62">
        <f ca="1">AVERAGE(OFFSET($BH$3,0,0,'Données projet'!$E$11+1,1))-AVERAGE(OFFSET($H$3,0,0,'Données projet'!$E$11+1,1))</f>
        <v>377.49758296179459</v>
      </c>
      <c r="BJ42" s="62">
        <f t="shared" si="38"/>
        <v>297.9972591134441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8.8908050944722774</v>
      </c>
      <c r="BQ42" s="23">
        <f>EXP(-LN(2)/25)*BQ41+(1-EXP(-LN(2)/25))/(LN(2)/25)*Calculateur!BL42*Calculateur!BN42*VLOOKUP('Données projet'!$B$11,Paramètres!$A$1:$I$88,3,0)*0.475*44/12</f>
        <v>16.124768815120547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25.015573909592824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10.037392401547642</v>
      </c>
      <c r="BY42" s="13">
        <f>IF('Données projet'!$A$114&gt;35,BY41+BX42-CG41,IF(A42&lt;'Données projet'!$A$114,$BV$205^A42,IF(A42='Données projet'!$A$114,'Données projet'!$B$114,BY41+BX42-CG41)))</f>
        <v>150.73143586852422</v>
      </c>
      <c r="BZ42" s="14">
        <f>BY42*VLOOKUP('Données projet'!$B$12,Paramètres!$A$1:$I$88,3,0)*VLOOKUP('Données projet'!$B$12,Paramètres!$A$1:$I$88,5,0)</f>
        <v>70.542311986469329</v>
      </c>
      <c r="CA42" s="14">
        <f t="shared" si="39"/>
        <v>19.80807220126427</v>
      </c>
      <c r="CB42" s="22">
        <f t="shared" si="10"/>
        <v>157.36025246030269</v>
      </c>
      <c r="CC42" s="62">
        <f t="shared" si="11"/>
        <v>436.79640492066812</v>
      </c>
      <c r="CD42" s="62">
        <f ca="1">AVERAGE(OFFSET($CC$3,0,0,'Données projet'!$E$12+1,1))-AVERAGE(OFFSET($H$3,0,0,'Données projet'!$E$12+1,1))</f>
        <v>163.77317062597106</v>
      </c>
      <c r="CE42" s="62">
        <f t="shared" si="40"/>
        <v>122.66073843071686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5.4728463445989251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5.4728463445989251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13.926445873647282</v>
      </c>
      <c r="CT42" s="13">
        <f>IF('Données projet'!$A$140&gt;35,CT41+CS42-DB41,IF(A42&lt;'Données projet'!$A$140,$CQ$205^A42,IF(A42='Données projet'!$A$140,'Données projet'!$B$140,CT41+CS42-DB41)))</f>
        <v>216.44136125052086</v>
      </c>
      <c r="CU42" s="18">
        <f>CT42*VLOOKUP('Données projet'!$B$13,Paramètres!$A$1:$I$88,3,0)*VLOOKUP('Données projet'!$B$13,Paramètres!$A$1:$I$88,5,0)</f>
        <v>129.43193402781148</v>
      </c>
      <c r="CV42" s="14">
        <f t="shared" si="41"/>
        <v>33.865062527856438</v>
      </c>
      <c r="CW42" s="22">
        <f t="shared" si="13"/>
        <v>284.40893566778828</v>
      </c>
      <c r="CX42" s="62">
        <f t="shared" si="14"/>
        <v>563.84508812815375</v>
      </c>
      <c r="CY42" s="62">
        <f ca="1">AVERAGE(OFFSET($CX$3,0,0,'Données projet'!$E$13+1,1))-AVERAGE(OFFSET($H$3,0,0,'Données projet'!$E$13+1,1))</f>
        <v>167.84261986874142</v>
      </c>
      <c r="CZ42" s="62">
        <f t="shared" si="42"/>
        <v>242.5860875239222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6.0917812837871557</v>
      </c>
      <c r="DG42" s="23">
        <f>EXP(-LN(2)/25)*DG41+(1-EXP(-LN(2)/25))/(LN(2)/25)*Calculateur!DB42*Calculateur!DD42*VLOOKUP('Données projet'!$B$13,Paramètres!$A$1:$I$88,3,0)*0.475*44/12</f>
        <v>16.274011516286823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22.365792800073979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1.5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5.5</v>
      </c>
      <c r="H43" s="70">
        <f t="shared" si="1"/>
        <v>234.66666666666666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8.8333333333333339</v>
      </c>
      <c r="N43" s="14">
        <f>IF('Données projet'!$A$36&gt;35,N42+M43-V42,IF(A43&lt;'Données projet'!$A$36,$K$205^A43,IF(A43='Données projet'!$A$36,'Données projet'!$B$36,N42+M43-V42)))</f>
        <v>130.33333333333326</v>
      </c>
      <c r="O43" s="14">
        <f>N43*VLOOKUP('Données projet'!$B$9,Paramètres!$A$1:$I$88,3,0)*VLOOKUP('Données projet'!$B$9,Paramètres!$A$1:$I$88,5,0)</f>
        <v>117.92559999999993</v>
      </c>
      <c r="P43" s="14">
        <f t="shared" si="33"/>
        <v>31.190689636070559</v>
      </c>
      <c r="Q43" s="22">
        <f t="shared" si="53"/>
        <v>259.71087111615606</v>
      </c>
      <c r="R43" s="62">
        <f t="shared" si="0"/>
        <v>539.38810859522562</v>
      </c>
      <c r="S43" s="62">
        <f ca="1">AVERAGE(OFFSET($R$3,0,0,'Données projet'!$E$9+1,1))-AVERAGE(OFFSET($H$3,0,0,'Données projet'!$E$9+1,1))</f>
        <v>387.16864229348823</v>
      </c>
      <c r="T43" s="62">
        <f t="shared" si="34"/>
        <v>260.88002342542893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16.295863111843229</v>
      </c>
      <c r="AI43" s="14">
        <f>IF('Données projet'!$A$62&gt;35,AI42+AH43-AQ42,IF(A43&lt;'Données projet'!$A$62,$AF$205^A43,IF(A43='Données projet'!$A$62,'Données projet'!$B$62,AI42+AH43-AQ42)))</f>
        <v>268.5207199641481</v>
      </c>
      <c r="AJ43" s="14">
        <f>AI43*VLOOKUP('Données projet'!$B$10,Paramètres!$A$1:$I$88,3,0)*VLOOKUP('Données projet'!$B$10,Paramètres!$A$1:$I$88,5,0)</f>
        <v>160.57539053856058</v>
      </c>
      <c r="AK43" s="14">
        <f t="shared" si="35"/>
        <v>40.972269222125533</v>
      </c>
      <c r="AL43" s="22">
        <f t="shared" si="4"/>
        <v>351.02884074986167</v>
      </c>
      <c r="AM43" s="62">
        <f t="shared" si="5"/>
        <v>630.70607822893123</v>
      </c>
      <c r="AN43" s="62">
        <f ca="1">AVERAGE(OFFSET($AM$3,0,0,'Données projet'!$E$10+1,1))-AVERAGE(OFFSET($H$3,0,0,'Données projet'!$E$10+1,1))</f>
        <v>197.84745001458262</v>
      </c>
      <c r="AO43" s="62">
        <f t="shared" si="36"/>
        <v>290.24283321060068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9.0113796215848883</v>
      </c>
      <c r="AV43" s="23">
        <f>EXP(-LN(2)/25)*AV42+(1-EXP(-LN(2)/25))/(LN(2)/25)*Calculateur!AQ43*Calculateur!AS43*VLOOKUP('Données projet'!$B$10,Paramètres!$A$1:$I$88,3,0)*0.475*44/12</f>
        <v>23.841367913932171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32.852747535517061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projet'!$B$11,Paramètres!$A$1:$I$88,3,0)*VLOOKUP('Données projet'!$B$11,Paramètres!$A$1:$I$88,5,0)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624.93507604599858</v>
      </c>
      <c r="BI43" s="62">
        <f ca="1">AVERAGE(OFFSET($BH$3,0,0,'Données projet'!$E$11+1,1))-AVERAGE(OFFSET($H$3,0,0,'Données projet'!$E$11+1,1))</f>
        <v>377.49758296179459</v>
      </c>
      <c r="BJ43" s="62">
        <f t="shared" si="38"/>
        <v>297.9972591134441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projet'!$B$11,Paramètres!$A$1:$I$88,7,0))</f>
        <v>0.13500000000000001</v>
      </c>
      <c r="BN43" s="17">
        <f>IF(ISNA(VLOOKUP(A43,'Données projet'!$A$87:$I$107,6,0)),0%,VLOOKUP(A43,'Données projet'!$A$87:$I$107,6,0)*VLOOKUP('Données projet'!$B$11,Paramètres!$A$1:$I$88,7,0))</f>
        <v>0.22500000000000001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13.10729731741832</v>
      </c>
      <c r="BQ43" s="23">
        <f>EXP(-LN(2)/25)*BQ42+(1-EXP(-LN(2)/25))/(LN(2)/25)*Calculateur!BL43*Calculateur!BN43*VLOOKUP('Données projet'!$B$11,Paramètres!$A$1:$I$88,3,0)*0.475*44/12</f>
        <v>22.973081323301813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36.080378640720134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160.76882827007191</v>
      </c>
      <c r="BW43" s="13">
        <f>VLOOKUP(A43,'Données projet'!$A$113:$I$133,9,0)</f>
        <v>10.037392401547642</v>
      </c>
      <c r="BX43" s="13">
        <f t="array" ref="BX43">INDEX(BW:BW,MIN(IF(ISNUMBER(BW43:BW239),ROW(BW43:BW239),"")))</f>
        <v>10.037392401547642</v>
      </c>
      <c r="BY43" s="13">
        <f>IF('Données projet'!$A$114&gt;35,BY42+BX43-CG42,IF(A43&lt;'Données projet'!$A$114,$BV$205^A43,IF(A43='Données projet'!$A$114,'Données projet'!$B$114,BY42+BX43-CG42)))</f>
        <v>160.76882827007185</v>
      </c>
      <c r="BZ43" s="14">
        <f>BY43*VLOOKUP('Données projet'!$B$12,Paramètres!$A$1:$I$88,3,0)*VLOOKUP('Données projet'!$B$12,Paramètres!$A$1:$I$88,5,0)</f>
        <v>75.239811630393632</v>
      </c>
      <c r="CA43" s="14">
        <f t="shared" si="39"/>
        <v>20.969170561350314</v>
      </c>
      <c r="CB43" s="22">
        <f t="shared" si="10"/>
        <v>167.56397731728737</v>
      </c>
      <c r="CC43" s="62">
        <f t="shared" si="11"/>
        <v>447.24121479635693</v>
      </c>
      <c r="CD43" s="62">
        <f ca="1">AVERAGE(OFFSET($CC$3,0,0,'Données projet'!$E$12+1,1))-AVERAGE(OFFSET($H$3,0,0,'Données projet'!$E$12+1,1))</f>
        <v>163.77317062597106</v>
      </c>
      <c r="CE43" s="62">
        <f t="shared" si="40"/>
        <v>122.66073843071686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32.153765654014386</v>
      </c>
      <c r="CH43" s="17">
        <f>IF(ISNA(VLOOKUP(A43,'Données projet'!$A$113:$I$133,5,0)),0%,VLOOKUP(A43,'Données projet'!$A$113:$I$133,5,0)*VLOOKUP('Données projet'!$B$12,Paramètres!$A$1:$I$88,7,0))</f>
        <v>0.27500000000000002</v>
      </c>
      <c r="CI43" s="17">
        <f>IF(ISNA(VLOOKUP(A43,'Données projet'!$A$113:$I$133,6,0)),0%,VLOOKUP(A43,'Données projet'!$A$113:$I$133,6,0)*VLOOKUP('Données projet'!$B$12,Paramètres!$A$1:$I$88,7,0))</f>
        <v>0.27500000000000002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5.4895752858565716</v>
      </c>
      <c r="CL43" s="23">
        <f>EXP(-LN(2)/25)*CL42+(1-EXP(-LN(2)/25))/(LN(2)/25)*Calculateur!CG43*Calculateur!CI43*VLOOKUP('Données projet'!$B$12,Paramètres!$A$1:$I$88,3,0)*0.475*44/12</f>
        <v>10.79115180976537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16.280727095621941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13.926445873647282</v>
      </c>
      <c r="CT43" s="13">
        <f>IF('Données projet'!$A$140&gt;35,CT42+CS43-DB42,IF(A43&lt;'Données projet'!$A$140,$CQ$205^A43,IF(A43='Données projet'!$A$140,'Données projet'!$B$140,CT42+CS43-DB42)))</f>
        <v>230.36780712416814</v>
      </c>
      <c r="CU43" s="18">
        <f>CT43*VLOOKUP('Données projet'!$B$13,Paramètres!$A$1:$I$88,3,0)*VLOOKUP('Données projet'!$B$13,Paramètres!$A$1:$I$88,5,0)</f>
        <v>137.75994866025255</v>
      </c>
      <c r="CV43" s="14">
        <f t="shared" si="41"/>
        <v>35.783360449657017</v>
      </c>
      <c r="CW43" s="22">
        <f t="shared" si="13"/>
        <v>302.25459669975913</v>
      </c>
      <c r="CX43" s="62">
        <f t="shared" si="14"/>
        <v>581.93183417882869</v>
      </c>
      <c r="CY43" s="62">
        <f ca="1">AVERAGE(OFFSET($CX$3,0,0,'Données projet'!$E$13+1,1))-AVERAGE(OFFSET($H$3,0,0,'Données projet'!$E$13+1,1))</f>
        <v>167.84261986874142</v>
      </c>
      <c r="CZ43" s="62">
        <f t="shared" si="42"/>
        <v>242.5860875239222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5.9723251684317855</v>
      </c>
      <c r="DG43" s="23">
        <f>EXP(-LN(2)/25)*DG42+(1-EXP(-LN(2)/25))/(LN(2)/25)*Calculateur!DB43*Calculateur!DD43*VLOOKUP('Données projet'!$B$13,Paramètres!$A$1:$I$88,3,0)*0.475*44/12</f>
        <v>15.828997815560889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21.801322983992677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1.5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5.5</v>
      </c>
      <c r="H44" s="70">
        <f t="shared" si="1"/>
        <v>234.66666666666666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8.8333333333333339</v>
      </c>
      <c r="N44" s="14">
        <f>IF('Données projet'!$A$36&gt;35,N43+M44-V43,IF(A44&lt;'Données projet'!$A$36,$K$205^A44,IF(A44='Données projet'!$A$36,'Données projet'!$B$36,N43+M44-V43)))</f>
        <v>139.1666666666666</v>
      </c>
      <c r="O44" s="14">
        <f>N44*VLOOKUP('Données projet'!$B$9,Paramètres!$A$1:$I$88,3,0)*VLOOKUP('Données projet'!$B$9,Paramètres!$A$1:$I$88,5,0)</f>
        <v>125.91799999999994</v>
      </c>
      <c r="P44" s="14">
        <f t="shared" si="33"/>
        <v>33.051384765080037</v>
      </c>
      <c r="Q44" s="22">
        <f t="shared" si="53"/>
        <v>276.87167846584765</v>
      </c>
      <c r="R44" s="62">
        <f t="shared" si="0"/>
        <v>556.78581867753223</v>
      </c>
      <c r="S44" s="62">
        <f ca="1">AVERAGE(OFFSET($R$3,0,0,'Données projet'!$E$9+1,1))-AVERAGE(OFFSET($H$3,0,0,'Données projet'!$E$9+1,1))</f>
        <v>387.16864229348823</v>
      </c>
      <c r="T44" s="62">
        <f t="shared" si="34"/>
        <v>260.88002342542893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16.295863111843229</v>
      </c>
      <c r="AI44" s="14">
        <f>IF('Données projet'!$A$62&gt;35,AI43+AH44-AQ43,IF(A44&lt;'Données projet'!$A$62,$AF$205^A44,IF(A44='Données projet'!$A$62,'Données projet'!$B$62,AI43+AH44-AQ43)))</f>
        <v>284.81658307599133</v>
      </c>
      <c r="AJ44" s="14">
        <f>AI44*VLOOKUP('Données projet'!$B$10,Paramètres!$A$1:$I$88,3,0)*VLOOKUP('Données projet'!$B$10,Paramètres!$A$1:$I$88,5,0)</f>
        <v>170.32031667944284</v>
      </c>
      <c r="AK44" s="14">
        <f t="shared" si="35"/>
        <v>43.161756004339914</v>
      </c>
      <c r="AL44" s="22">
        <f t="shared" si="4"/>
        <v>371.81460992425491</v>
      </c>
      <c r="AM44" s="62">
        <f t="shared" si="5"/>
        <v>651.72875013593944</v>
      </c>
      <c r="AN44" s="62">
        <f ca="1">AVERAGE(OFFSET($AM$3,0,0,'Données projet'!$E$10+1,1))-AVERAGE(OFFSET($H$3,0,0,'Données projet'!$E$10+1,1))</f>
        <v>197.84745001458262</v>
      </c>
      <c r="AO44" s="62">
        <f t="shared" si="36"/>
        <v>290.24283321060068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8.8346719636044533</v>
      </c>
      <c r="AV44" s="23">
        <f>EXP(-LN(2)/25)*AV43+(1-EXP(-LN(2)/25))/(LN(2)/25)*Calculateur!AQ44*Calculateur!AS44*VLOOKUP('Données projet'!$B$10,Paramètres!$A$1:$I$88,3,0)*0.475*44/12</f>
        <v>23.189424454562648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32.024096418167105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</v>
      </c>
      <c r="BD44" s="13">
        <f>IF('Données projet'!$A$88&gt;35,BD43+BC44-BL43,IF(A44&lt;'Données projet'!$A$88,$BA$205^A44,IF(A44='Données projet'!$A$88,'Données projet'!$B$88,BD43+BC44-BL43)))</f>
        <v>242.00000000000006</v>
      </c>
      <c r="BE44" s="14">
        <f>BD44*VLOOKUP('Données projet'!$B$11,Paramètres!$A$1:$I$88,3,0)*VLOOKUP('Données projet'!$B$11,Paramètres!$A$1:$I$88,5,0)</f>
        <v>144.71600000000007</v>
      </c>
      <c r="BF44" s="14">
        <f t="shared" si="37"/>
        <v>37.375282885096105</v>
      </c>
      <c r="BG44" s="22">
        <f t="shared" si="7"/>
        <v>317.14231769154247</v>
      </c>
      <c r="BH44" s="62">
        <f t="shared" si="8"/>
        <v>597.05645790322706</v>
      </c>
      <c r="BI44" s="62">
        <f ca="1">AVERAGE(OFFSET($BH$3,0,0,'Données projet'!$E$11+1,1))-AVERAGE(OFFSET($H$3,0,0,'Données projet'!$E$11+1,1))</f>
        <v>377.49758296179459</v>
      </c>
      <c r="BJ44" s="62">
        <f t="shared" si="38"/>
        <v>297.9972591134441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12.850271211685703</v>
      </c>
      <c r="BQ44" s="23">
        <f>EXP(-LN(2)/25)*BQ43+(1-EXP(-LN(2)/25))/(LN(2)/25)*Calculateur!BL44*Calculateur!BN44*VLOOKUP('Données projet'!$B$11,Paramètres!$A$1:$I$88,3,0)*0.475*44/12</f>
        <v>22.344881206414282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35.195152418099987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16.069245727083121</v>
      </c>
      <c r="BY44" s="13">
        <f>IF('Données projet'!$A$114&gt;35,BY43+BX44-CG43,IF(A44&lt;'Données projet'!$A$114,$BV$205^A44,IF(A44='Données projet'!$A$114,'Données projet'!$B$114,BY43+BX44-CG43)))</f>
        <v>144.68430834314057</v>
      </c>
      <c r="BZ44" s="14">
        <f>BY44*VLOOKUP('Données projet'!$B$12,Paramètres!$A$1:$I$88,3,0)*VLOOKUP('Données projet'!$B$12,Paramètres!$A$1:$I$88,5,0)</f>
        <v>67.712256304589786</v>
      </c>
      <c r="CA44" s="14">
        <f t="shared" si="39"/>
        <v>19.104236174309509</v>
      </c>
      <c r="CB44" s="22">
        <f t="shared" si="10"/>
        <v>151.20539106741626</v>
      </c>
      <c r="CC44" s="62">
        <f t="shared" si="11"/>
        <v>431.11953127910078</v>
      </c>
      <c r="CD44" s="62">
        <f ca="1">AVERAGE(OFFSET($CC$3,0,0,'Données projet'!$E$12+1,1))-AVERAGE(OFFSET($H$3,0,0,'Données projet'!$E$12+1,1))</f>
        <v>163.77317062597106</v>
      </c>
      <c r="CE44" s="62">
        <f t="shared" si="40"/>
        <v>122.66073843071686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5.3819280628112303</v>
      </c>
      <c r="CL44" s="23">
        <f>EXP(-LN(2)/25)*CL43+(1-EXP(-LN(2)/25))/(LN(2)/25)*Calculateur!CG44*Calculateur!CI44*VLOOKUP('Données projet'!$B$12,Paramètres!$A$1:$I$88,3,0)*0.475*44/12</f>
        <v>10.496067196045326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15.877995258856556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13.926445873647282</v>
      </c>
      <c r="CT44" s="13">
        <f>IF('Données projet'!$A$140&gt;35,CT43+CS44-DB43,IF(A44&lt;'Données projet'!$A$140,$CQ$205^A44,IF(A44='Données projet'!$A$140,'Données projet'!$B$140,CT43+CS44-DB43)))</f>
        <v>244.29425299781542</v>
      </c>
      <c r="CU44" s="18">
        <f>CT44*VLOOKUP('Données projet'!$B$13,Paramètres!$A$1:$I$88,3,0)*VLOOKUP('Données projet'!$B$13,Paramètres!$A$1:$I$88,5,0)</f>
        <v>146.08796329269362</v>
      </c>
      <c r="CV44" s="14">
        <f t="shared" si="41"/>
        <v>37.688198537344825</v>
      </c>
      <c r="CW44" s="22">
        <f t="shared" si="13"/>
        <v>320.07681518731692</v>
      </c>
      <c r="CX44" s="62">
        <f t="shared" si="14"/>
        <v>599.99095539900145</v>
      </c>
      <c r="CY44" s="62">
        <f ca="1">AVERAGE(OFFSET($CX$3,0,0,'Données projet'!$E$13+1,1))-AVERAGE(OFFSET($H$3,0,0,'Données projet'!$E$13+1,1))</f>
        <v>167.84261986874142</v>
      </c>
      <c r="CZ44" s="62">
        <f t="shared" si="42"/>
        <v>242.5860875239222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5.8552115146374986</v>
      </c>
      <c r="DG44" s="23">
        <f>EXP(-LN(2)/25)*DG43+(1-EXP(-LN(2)/25))/(LN(2)/25)*Calculateur!DB44*Calculateur!DD44*VLOOKUP('Données projet'!$B$13,Paramètres!$A$1:$I$88,3,0)*0.475*44/12</f>
        <v>15.396153037883559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21.251364552521057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1.5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5.5</v>
      </c>
      <c r="H45" s="70">
        <f t="shared" si="1"/>
        <v>234.66666666666666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148</v>
      </c>
      <c r="L45" s="13">
        <f>VLOOKUP(A45,'Données projet'!$A$35:$I$55,9,0)</f>
        <v>8.8333333333333339</v>
      </c>
      <c r="M45" s="13">
        <f t="array" ref="M45">INDEX(L:L,MIN(IF(ISNUMBER(L45:L241),ROW(L45:L241),"")))</f>
        <v>8.8333333333333339</v>
      </c>
      <c r="N45" s="14">
        <f>IF('Données projet'!$A$36&gt;35,N44+M45-V44,IF(A45&lt;'Données projet'!$A$36,$K$205^A45,IF(A45='Données projet'!$A$36,'Données projet'!$B$36,N44+M45-V44)))</f>
        <v>147.99999999999994</v>
      </c>
      <c r="O45" s="14">
        <f>N45*VLOOKUP('Données projet'!$B$9,Paramètres!$A$1:$I$88,3,0)*VLOOKUP('Données projet'!$B$9,Paramètres!$A$1:$I$88,5,0)</f>
        <v>133.91039999999995</v>
      </c>
      <c r="P45" s="14">
        <f t="shared" si="33"/>
        <v>34.898373535125089</v>
      </c>
      <c r="Q45" s="22">
        <f t="shared" si="53"/>
        <v>294.00861390700948</v>
      </c>
      <c r="R45" s="62">
        <f t="shared" si="0"/>
        <v>574.15554711853315</v>
      </c>
      <c r="S45" s="62">
        <f ca="1">AVERAGE(OFFSET($R$3,0,0,'Données projet'!$E$9+1,1))-AVERAGE(OFFSET($H$3,0,0,'Données projet'!$E$9+1,1))</f>
        <v>387.16864229348823</v>
      </c>
      <c r="T45" s="62">
        <f t="shared" si="34"/>
        <v>260.88002342542893</v>
      </c>
      <c r="U45" s="16">
        <f>IF(ISNA(VLOOKUP(A45,'Données projet'!$A$35:$I$55,3,0)),0,VLOOKUP(A45,'Données projet'!$A$35:$I$55,3,0))</f>
        <v>2</v>
      </c>
      <c r="V45" s="16">
        <f>IF(ISNA(VLOOKUP(A45,'Données projet'!$A$35:$I$55,4,0)),0,VLOOKUP(A45,'Données projet'!$A$35:$I$55,4,0))</f>
        <v>41</v>
      </c>
      <c r="W45" s="17">
        <f>IF(ISNA(VLOOKUP(A45,'Données projet'!$A$35:$I$55,5,0)),0%,VLOOKUP(A45,'Données projet'!$A$35:$I$55,5,0)*VLOOKUP('Données projet'!$B$9,Paramètres!$A$1:$I$88,7,0))</f>
        <v>0.129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5.2902143512340745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5.2902143512340745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16.295863111843229</v>
      </c>
      <c r="AI45" s="14">
        <f>IF('Données projet'!$A$62&gt;35,AI44+AH45-AQ44,IF(A45&lt;'Données projet'!$A$62,$AF$205^A45,IF(A45='Données projet'!$A$62,'Données projet'!$B$62,AI44+AH45-AQ44)))</f>
        <v>301.11244618783456</v>
      </c>
      <c r="AJ45" s="14">
        <f>AI45*VLOOKUP('Données projet'!$B$10,Paramètres!$A$1:$I$88,3,0)*VLOOKUP('Données projet'!$B$10,Paramètres!$A$1:$I$88,5,0)</f>
        <v>180.06524282032507</v>
      </c>
      <c r="AK45" s="14">
        <f t="shared" si="35"/>
        <v>45.336701185896622</v>
      </c>
      <c r="AL45" s="22">
        <f t="shared" si="4"/>
        <v>392.57505247750282</v>
      </c>
      <c r="AM45" s="62">
        <f t="shared" si="5"/>
        <v>672.7219856890265</v>
      </c>
      <c r="AN45" s="62">
        <f ca="1">AVERAGE(OFFSET($AM$3,0,0,'Données projet'!$E$10+1,1))-AVERAGE(OFFSET($H$3,0,0,'Données projet'!$E$10+1,1))</f>
        <v>197.84745001458262</v>
      </c>
      <c r="AO45" s="62">
        <f t="shared" si="36"/>
        <v>290.24283321060068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8.6614294350159859</v>
      </c>
      <c r="AV45" s="23">
        <f>EXP(-LN(2)/25)*AV44+(1-EXP(-LN(2)/25))/(LN(2)/25)*Calculateur!AQ45*Calculateur!AS45*VLOOKUP('Données projet'!$B$10,Paramètres!$A$1:$I$88,3,0)*0.475*44/12</f>
        <v>22.555308423373802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31.216737858389788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</v>
      </c>
      <c r="BD45" s="13">
        <f>IF('Données projet'!$A$88&gt;35,BD44+BC45-BL44,IF(A45&lt;'Données projet'!$A$88,$BA$205^A45,IF(A45='Données projet'!$A$88,'Données projet'!$B$88,BD44+BC45-BL44)))</f>
        <v>261.00000000000006</v>
      </c>
      <c r="BE45" s="14">
        <f>BD45*VLOOKUP('Données projet'!$B$11,Paramètres!$A$1:$I$88,3,0)*VLOOKUP('Données projet'!$B$11,Paramètres!$A$1:$I$88,5,0)</f>
        <v>156.07800000000003</v>
      </c>
      <c r="BF45" s="14">
        <f t="shared" si="37"/>
        <v>39.956623674978466</v>
      </c>
      <c r="BG45" s="22">
        <f t="shared" si="7"/>
        <v>341.42696956725422</v>
      </c>
      <c r="BH45" s="62">
        <f t="shared" si="8"/>
        <v>621.57390277877789</v>
      </c>
      <c r="BI45" s="62">
        <f ca="1">AVERAGE(OFFSET($BH$3,0,0,'Données projet'!$E$11+1,1))-AVERAGE(OFFSET($H$3,0,0,'Données projet'!$E$11+1,1))</f>
        <v>377.49758296179459</v>
      </c>
      <c r="BJ45" s="62">
        <f t="shared" si="38"/>
        <v>297.9972591134441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12.598285231116058</v>
      </c>
      <c r="BQ45" s="23">
        <f>EXP(-LN(2)/25)*BQ44+(1-EXP(-LN(2)/25))/(LN(2)/25)*Calculateur!BL45*Calculateur!BN45*VLOOKUP('Données projet'!$B$11,Paramètres!$A$1:$I$88,3,0)*0.475*44/12</f>
        <v>21.733859254758652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34.332144485874707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16.069245727083121</v>
      </c>
      <c r="BY45" s="13">
        <f>IF('Données projet'!$A$114&gt;35,BY44+BX45-CG44,IF(A45&lt;'Données projet'!$A$114,$BV$205^A45,IF(A45='Données projet'!$A$114,'Données projet'!$B$114,BY44+BX45-CG44)))</f>
        <v>160.75355407022369</v>
      </c>
      <c r="BZ45" s="14">
        <f>BY45*VLOOKUP('Données projet'!$B$12,Paramètres!$A$1:$I$88,3,0)*VLOOKUP('Données projet'!$B$12,Paramètres!$A$1:$I$88,5,0)</f>
        <v>75.232663304864687</v>
      </c>
      <c r="CA45" s="14">
        <f t="shared" si="39"/>
        <v>20.967410223678918</v>
      </c>
      <c r="CB45" s="22">
        <f t="shared" si="10"/>
        <v>167.54846139554678</v>
      </c>
      <c r="CC45" s="62">
        <f t="shared" si="11"/>
        <v>447.69539460707051</v>
      </c>
      <c r="CD45" s="62">
        <f ca="1">AVERAGE(OFFSET($CC$3,0,0,'Données projet'!$E$12+1,1))-AVERAGE(OFFSET($H$3,0,0,'Données projet'!$E$12+1,1))</f>
        <v>163.77317062597106</v>
      </c>
      <c r="CE45" s="62">
        <f t="shared" si="40"/>
        <v>122.66073843071686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5.2763917361514858</v>
      </c>
      <c r="CL45" s="23">
        <f>EXP(-LN(2)/25)*CL44+(1-EXP(-LN(2)/25))/(LN(2)/25)*Calculateur!CG45*Calculateur!CI45*VLOOKUP('Données projet'!$B$12,Paramètres!$A$1:$I$88,3,0)*0.475*44/12</f>
        <v>10.209051686605282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15.485443422756767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13.926445873647282</v>
      </c>
      <c r="CT45" s="13">
        <f>IF('Données projet'!$A$140&gt;35,CT44+CS45-DB44,IF(A45&lt;'Données projet'!$A$140,$CQ$205^A45,IF(A45='Données projet'!$A$140,'Données projet'!$B$140,CT44+CS45-DB44)))</f>
        <v>258.22069887146267</v>
      </c>
      <c r="CU45" s="18">
        <f>CT45*VLOOKUP('Données projet'!$B$13,Paramètres!$A$1:$I$88,3,0)*VLOOKUP('Données projet'!$B$13,Paramètres!$A$1:$I$88,5,0)</f>
        <v>154.41597792513468</v>
      </c>
      <c r="CV45" s="14">
        <f t="shared" si="41"/>
        <v>39.58043152356624</v>
      </c>
      <c r="CW45" s="22">
        <f t="shared" si="13"/>
        <v>337.87707978982075</v>
      </c>
      <c r="CX45" s="62">
        <f t="shared" si="14"/>
        <v>618.02401300134443</v>
      </c>
      <c r="CY45" s="62">
        <f ca="1">AVERAGE(OFFSET($CX$3,0,0,'Données projet'!$E$13+1,1))-AVERAGE(OFFSET($H$3,0,0,'Données projet'!$E$13+1,1))</f>
        <v>167.84261986874142</v>
      </c>
      <c r="CZ45" s="62">
        <f t="shared" si="42"/>
        <v>242.5860875239222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5.7403943881618416</v>
      </c>
      <c r="DG45" s="23">
        <f>EXP(-LN(2)/25)*DG44+(1-EXP(-LN(2)/25))/(LN(2)/25)*Calculateur!DB45*Calculateur!DD45*VLOOKUP('Données projet'!$B$13,Paramètres!$A$1:$I$88,3,0)*0.475*44/12</f>
        <v>14.975144423414134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20.715538811575975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1.5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5.5</v>
      </c>
      <c r="H46" s="70">
        <f t="shared" si="1"/>
        <v>234.66666666666666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8.3333333333333339</v>
      </c>
      <c r="N46" s="14">
        <f>IF('Données projet'!$A$36&gt;35,N45+M46-V45,IF(A46&lt;'Données projet'!$A$36,$K$205^A46,IF(A46='Données projet'!$A$36,'Données projet'!$B$36,N45+M46-V45)))</f>
        <v>115.33333333333329</v>
      </c>
      <c r="O46" s="14">
        <f>N46*VLOOKUP('Données projet'!$B$9,Paramètres!$A$1:$I$88,3,0)*VLOOKUP('Données projet'!$B$9,Paramètres!$A$1:$I$88,5,0)</f>
        <v>104.35359999999996</v>
      </c>
      <c r="P46" s="14">
        <f t="shared" si="33"/>
        <v>27.996596320952644</v>
      </c>
      <c r="Q46" s="22">
        <f t="shared" si="53"/>
        <v>230.50992525899244</v>
      </c>
      <c r="R46" s="62">
        <f t="shared" si="0"/>
        <v>510.88561303225538</v>
      </c>
      <c r="S46" s="62">
        <f ca="1">AVERAGE(OFFSET($R$3,0,0,'Données projet'!$E$9+1,1))-AVERAGE(OFFSET($H$3,0,0,'Données projet'!$E$9+1,1))</f>
        <v>387.16864229348823</v>
      </c>
      <c r="T46" s="62">
        <f t="shared" si="34"/>
        <v>260.88002342542893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5.1864764745185168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5.1864764745185168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16.295863111843229</v>
      </c>
      <c r="AI46" s="14">
        <f>IF('Données projet'!$A$62&gt;35,AI45+AH46-AQ45,IF(A46&lt;'Données projet'!$A$62,$AF$205^A46,IF(A46='Données projet'!$A$62,'Données projet'!$B$62,AI45+AH46-AQ45)))</f>
        <v>317.4083092996778</v>
      </c>
      <c r="AJ46" s="14">
        <f>AI46*VLOOKUP('Données projet'!$B$10,Paramètres!$A$1:$I$88,3,0)*VLOOKUP('Données projet'!$B$10,Paramètres!$A$1:$I$88,5,0)</f>
        <v>189.81016896120735</v>
      </c>
      <c r="AK46" s="14">
        <f t="shared" si="35"/>
        <v>47.497981462484226</v>
      </c>
      <c r="AL46" s="22">
        <f t="shared" si="4"/>
        <v>413.31169532126279</v>
      </c>
      <c r="AM46" s="62">
        <f t="shared" si="5"/>
        <v>693.68738309452579</v>
      </c>
      <c r="AN46" s="62">
        <f ca="1">AVERAGE(OFFSET($AM$3,0,0,'Données projet'!$E$10+1,1))-AVERAGE(OFFSET($H$3,0,0,'Données projet'!$E$10+1,1))</f>
        <v>197.84745001458262</v>
      </c>
      <c r="AO46" s="62">
        <f t="shared" si="36"/>
        <v>290.24283321060068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8.4915840867456289</v>
      </c>
      <c r="AV46" s="23">
        <f>EXP(-LN(2)/25)*AV45+(1-EXP(-LN(2)/25))/(LN(2)/25)*Calculateur!AQ46*Calculateur!AS46*VLOOKUP('Données projet'!$B$10,Paramètres!$A$1:$I$88,3,0)*0.475*44/12</f>
        <v>21.938532328404527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30.430116415150156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19</v>
      </c>
      <c r="BD46" s="13">
        <f>IF('Données projet'!$A$88&gt;35,BD45+BC46-BL45,IF(A46&lt;'Données projet'!$A$88,$BA$205^A46,IF(A46='Données projet'!$A$88,'Données projet'!$B$88,BD45+BC46-BL45)))</f>
        <v>280.00000000000006</v>
      </c>
      <c r="BE46" s="14">
        <f>BD46*VLOOKUP('Données projet'!$B$11,Paramètres!$A$1:$I$88,3,0)*VLOOKUP('Données projet'!$B$11,Paramètres!$A$1:$I$88,5,0)</f>
        <v>167.44000000000005</v>
      </c>
      <c r="BF46" s="14">
        <f t="shared" si="37"/>
        <v>42.516163405082935</v>
      </c>
      <c r="BG46" s="22">
        <f t="shared" si="7"/>
        <v>365.67365126385283</v>
      </c>
      <c r="BH46" s="62">
        <f t="shared" si="8"/>
        <v>646.04933903711571</v>
      </c>
      <c r="BI46" s="62">
        <f ca="1">AVERAGE(OFFSET($BH$3,0,0,'Données projet'!$E$11+1,1))-AVERAGE(OFFSET($H$3,0,0,'Données projet'!$E$11+1,1))</f>
        <v>377.49758296179459</v>
      </c>
      <c r="BJ46" s="62">
        <f t="shared" si="38"/>
        <v>297.9972591134441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12.351240541929112</v>
      </c>
      <c r="BQ46" s="23">
        <f>EXP(-LN(2)/25)*BQ45+(1-EXP(-LN(2)/25))/(LN(2)/25)*Calculateur!BL46*Calculateur!BN46*VLOOKUP('Données projet'!$B$11,Paramètres!$A$1:$I$88,3,0)*0.475*44/12</f>
        <v>21.139545730503293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33.490786272432402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16.069245727083121</v>
      </c>
      <c r="BY46" s="13">
        <f>IF('Données projet'!$A$114&gt;35,BY45+BX46-CG45,IF(A46&lt;'Données projet'!$A$114,$BV$205^A46,IF(A46='Données projet'!$A$114,'Données projet'!$B$114,BY45+BX46-CG45)))</f>
        <v>176.8227997973068</v>
      </c>
      <c r="BZ46" s="14">
        <f>BY46*VLOOKUP('Données projet'!$B$12,Paramètres!$A$1:$I$88,3,0)*VLOOKUP('Données projet'!$B$12,Paramètres!$A$1:$I$88,5,0)</f>
        <v>82.753070305139573</v>
      </c>
      <c r="CA46" s="14">
        <f t="shared" si="39"/>
        <v>22.808992884194105</v>
      </c>
      <c r="CB46" s="22">
        <f t="shared" si="10"/>
        <v>183.85392672142279</v>
      </c>
      <c r="CC46" s="62">
        <f t="shared" si="11"/>
        <v>464.22961449468573</v>
      </c>
      <c r="CD46" s="62">
        <f ca="1">AVERAGE(OFFSET($CC$3,0,0,'Données projet'!$E$12+1,1))-AVERAGE(OFFSET($H$3,0,0,'Données projet'!$E$12+1,1))</f>
        <v>163.77317062597106</v>
      </c>
      <c r="CE46" s="62">
        <f t="shared" si="40"/>
        <v>122.66073843071686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5.1729249124867351</v>
      </c>
      <c r="CL46" s="23">
        <f>EXP(-LN(2)/25)*CL45+(1-EXP(-LN(2)/25))/(LN(2)/25)*Calculateur!CG46*Calculateur!CI46*VLOOKUP('Données projet'!$B$12,Paramètres!$A$1:$I$88,3,0)*0.475*44/12</f>
        <v>9.9298846313643647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15.1028095438511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13.926445873647282</v>
      </c>
      <c r="CT46" s="13">
        <f>IF('Données projet'!$A$140&gt;35,CT45+CS46-DB45,IF(A46&lt;'Données projet'!$A$140,$CQ$205^A46,IF(A46='Données projet'!$A$140,'Données projet'!$B$140,CT45+CS46-DB45)))</f>
        <v>272.14714474510993</v>
      </c>
      <c r="CU46" s="18">
        <f>CT46*VLOOKUP('Données projet'!$B$13,Paramètres!$A$1:$I$88,3,0)*VLOOKUP('Données projet'!$B$13,Paramètres!$A$1:$I$88,5,0)</f>
        <v>162.74399255757575</v>
      </c>
      <c r="CV46" s="14">
        <f t="shared" si="41"/>
        <v>41.460816738486933</v>
      </c>
      <c r="CW46" s="22">
        <f t="shared" si="13"/>
        <v>355.65670952397585</v>
      </c>
      <c r="CX46" s="62">
        <f t="shared" si="14"/>
        <v>636.03239729723873</v>
      </c>
      <c r="CY46" s="62">
        <f ca="1">AVERAGE(OFFSET($CX$3,0,0,'Données projet'!$E$13+1,1))-AVERAGE(OFFSET($H$3,0,0,'Données projet'!$E$13+1,1))</f>
        <v>167.84261986874142</v>
      </c>
      <c r="CZ46" s="62">
        <f t="shared" si="42"/>
        <v>242.5860875239222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5.6278287555048401</v>
      </c>
      <c r="DG46" s="23">
        <f>EXP(-LN(2)/25)*DG45+(1-EXP(-LN(2)/25))/(LN(2)/25)*Calculateur!DB46*Calculateur!DD46*VLOOKUP('Données projet'!$B$13,Paramètres!$A$1:$I$88,3,0)*0.475*44/12</f>
        <v>14.565648311647255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20.193477067152095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1.5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5.5</v>
      </c>
      <c r="H47" s="70">
        <f t="shared" si="1"/>
        <v>234.66666666666666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8.3333333333333339</v>
      </c>
      <c r="N47" s="14">
        <f>IF('Données projet'!$A$36&gt;35,N46+M47-V46,IF(A47&lt;'Données projet'!$A$36,$K$205^A47,IF(A47='Données projet'!$A$36,'Données projet'!$B$36,N46+M47-V46)))</f>
        <v>123.66666666666661</v>
      </c>
      <c r="O47" s="14">
        <f>N47*VLOOKUP('Données projet'!$B$9,Paramètres!$A$1:$I$88,3,0)*VLOOKUP('Données projet'!$B$9,Paramètres!$A$1:$I$88,5,0)</f>
        <v>111.89359999999995</v>
      </c>
      <c r="P47" s="14">
        <f t="shared" si="33"/>
        <v>29.776687351139607</v>
      </c>
      <c r="Q47" s="22">
        <f t="shared" si="53"/>
        <v>246.74241713656806</v>
      </c>
      <c r="R47" s="62">
        <f t="shared" si="0"/>
        <v>527.34289109134261</v>
      </c>
      <c r="S47" s="62">
        <f ca="1">AVERAGE(OFFSET($R$3,0,0,'Données projet'!$E$9+1,1))-AVERAGE(OFFSET($H$3,0,0,'Données projet'!$E$9+1,1))</f>
        <v>387.16864229348823</v>
      </c>
      <c r="T47" s="62">
        <f t="shared" si="34"/>
        <v>260.88002342542893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5.0847728342914946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5.0847728342914946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16.295863111843229</v>
      </c>
      <c r="AI47" s="14">
        <f>IF('Données projet'!$A$62&gt;35,AI46+AH47-AQ46,IF(A47&lt;'Données projet'!$A$62,$AF$205^A47,IF(A47='Données projet'!$A$62,'Données projet'!$B$62,AI46+AH47-AQ46)))</f>
        <v>333.70417241152103</v>
      </c>
      <c r="AJ47" s="14">
        <f>AI47*VLOOKUP('Données projet'!$B$10,Paramètres!$A$1:$I$88,3,0)*VLOOKUP('Données projet'!$B$10,Paramètres!$A$1:$I$88,5,0)</f>
        <v>199.55509510208958</v>
      </c>
      <c r="AK47" s="14">
        <f t="shared" si="35"/>
        <v>49.646378425383766</v>
      </c>
      <c r="AL47" s="22">
        <f t="shared" si="4"/>
        <v>434.02589972701611</v>
      </c>
      <c r="AM47" s="62">
        <f t="shared" si="5"/>
        <v>714.62637368179071</v>
      </c>
      <c r="AN47" s="62">
        <f ca="1">AVERAGE(OFFSET($AM$3,0,0,'Données projet'!$E$10+1,1))-AVERAGE(OFFSET($H$3,0,0,'Données projet'!$E$10+1,1))</f>
        <v>197.84745001458262</v>
      </c>
      <c r="AO47" s="62">
        <f t="shared" si="36"/>
        <v>290.24283321060068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8.325069302159422</v>
      </c>
      <c r="AV47" s="23">
        <f>EXP(-LN(2)/25)*AV46+(1-EXP(-LN(2)/25))/(LN(2)/25)*Calculateur!AQ47*Calculateur!AS47*VLOOKUP('Données projet'!$B$10,Paramètres!$A$1:$I$88,3,0)*0.475*44/12</f>
        <v>21.338622008187031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29.663691310346451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19</v>
      </c>
      <c r="BD47" s="13">
        <f>IF('Données projet'!$A$88&gt;35,BD46+BC47-BL46,IF(A47&lt;'Données projet'!$A$88,$BA$205^A47,IF(A47='Données projet'!$A$88,'Données projet'!$B$88,BD46+BC47-BL46)))</f>
        <v>299.00000000000006</v>
      </c>
      <c r="BE47" s="14">
        <f>BD47*VLOOKUP('Données projet'!$B$11,Paramètres!$A$1:$I$88,3,0)*VLOOKUP('Données projet'!$B$11,Paramètres!$A$1:$I$88,5,0)</f>
        <v>178.80200000000002</v>
      </c>
      <c r="BF47" s="14">
        <f t="shared" si="37"/>
        <v>45.055549739375941</v>
      </c>
      <c r="BG47" s="22">
        <f t="shared" si="7"/>
        <v>389.88523246274644</v>
      </c>
      <c r="BH47" s="62">
        <f t="shared" si="8"/>
        <v>670.48570641752099</v>
      </c>
      <c r="BI47" s="62">
        <f ca="1">AVERAGE(OFFSET($BH$3,0,0,'Données projet'!$E$11+1,1))-AVERAGE(OFFSET($H$3,0,0,'Données projet'!$E$11+1,1))</f>
        <v>377.49758296179459</v>
      </c>
      <c r="BJ47" s="62">
        <f t="shared" si="38"/>
        <v>297.9972591134441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12.10904024841474</v>
      </c>
      <c r="BQ47" s="23">
        <f>EXP(-LN(2)/25)*BQ46+(1-EXP(-LN(2)/25))/(LN(2)/25)*Calculateur!BL47*Calculateur!BN47*VLOOKUP('Données projet'!$B$11,Paramètres!$A$1:$I$88,3,0)*0.475*44/12</f>
        <v>20.561483740822286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32.670523989237026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16.069245727083121</v>
      </c>
      <c r="BY47" s="13">
        <f>IF('Données projet'!$A$114&gt;35,BY46+BX47-CG46,IF(A47&lt;'Données projet'!$A$114,$BV$205^A47,IF(A47='Données projet'!$A$114,'Données projet'!$B$114,BY46+BX47-CG46)))</f>
        <v>192.89204552438991</v>
      </c>
      <c r="BZ47" s="14">
        <f>BY47*VLOOKUP('Données projet'!$B$12,Paramètres!$A$1:$I$88,3,0)*VLOOKUP('Données projet'!$B$12,Paramètres!$A$1:$I$88,5,0)</f>
        <v>90.273477305414474</v>
      </c>
      <c r="CA47" s="14">
        <f t="shared" si="39"/>
        <v>24.631169483569508</v>
      </c>
      <c r="CB47" s="22">
        <f t="shared" si="10"/>
        <v>200.12559315748044</v>
      </c>
      <c r="CC47" s="62">
        <f t="shared" si="11"/>
        <v>480.72606711225501</v>
      </c>
      <c r="CD47" s="62">
        <f ca="1">AVERAGE(OFFSET($CC$3,0,0,'Données projet'!$E$12+1,1))-AVERAGE(OFFSET($H$3,0,0,'Données projet'!$E$12+1,1))</f>
        <v>163.77317062597106</v>
      </c>
      <c r="CE47" s="62">
        <f t="shared" si="40"/>
        <v>122.66073843071686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5.0714870101255194</v>
      </c>
      <c r="CL47" s="23">
        <f>EXP(-LN(2)/25)*CL46+(1-EXP(-LN(2)/25))/(LN(2)/25)*Calculateur!CG47*Calculateur!CI47*VLOOKUP('Données projet'!$B$12,Paramètres!$A$1:$I$88,3,0)*0.475*44/12</f>
        <v>9.6583514139297684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14.729838424055288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13.926445873647282</v>
      </c>
      <c r="CT47" s="13">
        <f>IF('Données projet'!$A$140&gt;35,CT46+CS47-DB46,IF(A47&lt;'Données projet'!$A$140,$CQ$205^A47,IF(A47='Données projet'!$A$140,'Données projet'!$B$140,CT46+CS47-DB46)))</f>
        <v>286.07359061875718</v>
      </c>
      <c r="CU47" s="18">
        <f>CT47*VLOOKUP('Données projet'!$B$13,Paramètres!$A$1:$I$88,3,0)*VLOOKUP('Données projet'!$B$13,Paramètres!$A$1:$I$88,5,0)</f>
        <v>171.07200719001679</v>
      </c>
      <c r="CV47" s="14">
        <f t="shared" si="41"/>
        <v>43.330029625316421</v>
      </c>
      <c r="CW47" s="22">
        <f t="shared" si="13"/>
        <v>373.41688078670535</v>
      </c>
      <c r="CX47" s="62">
        <f t="shared" si="14"/>
        <v>654.01735474147995</v>
      </c>
      <c r="CY47" s="62">
        <f ca="1">AVERAGE(OFFSET($CX$3,0,0,'Données projet'!$E$13+1,1))-AVERAGE(OFFSET($H$3,0,0,'Données projet'!$E$13+1,1))</f>
        <v>167.84261986874142</v>
      </c>
      <c r="CZ47" s="62">
        <f t="shared" si="42"/>
        <v>242.5860875239222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5.5174704662459861</v>
      </c>
      <c r="DG47" s="23">
        <f>EXP(-LN(2)/25)*DG46+(1-EXP(-LN(2)/25))/(LN(2)/25)*Calculateur!DB47*Calculateur!DD47*VLOOKUP('Données projet'!$B$13,Paramètres!$A$1:$I$88,3,0)*0.475*44/12</f>
        <v>14.167349892591107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19.684820358837094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1.5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5.5</v>
      </c>
      <c r="H48" s="70">
        <f t="shared" si="1"/>
        <v>234.66666666666666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8.3333333333333339</v>
      </c>
      <c r="N48" s="14">
        <f>IF('Données projet'!$A$36&gt;35,N47+M48-V47,IF(A48&lt;'Données projet'!$A$36,$K$205^A48,IF(A48='Données projet'!$A$36,'Données projet'!$B$36,N47+M48-V47)))</f>
        <v>131.99999999999994</v>
      </c>
      <c r="O48" s="14">
        <f>N48*VLOOKUP('Données projet'!$B$9,Paramètres!$A$1:$I$88,3,0)*VLOOKUP('Données projet'!$B$9,Paramètres!$A$1:$I$88,5,0)</f>
        <v>119.43359999999994</v>
      </c>
      <c r="P48" s="14">
        <f t="shared" si="33"/>
        <v>31.54285944220668</v>
      </c>
      <c r="Q48" s="22">
        <f t="shared" si="53"/>
        <v>262.95066686184316</v>
      </c>
      <c r="R48" s="62">
        <f t="shared" si="0"/>
        <v>543.77202746042667</v>
      </c>
      <c r="S48" s="62">
        <f ca="1">AVERAGE(OFFSET($R$3,0,0,'Données projet'!$E$9+1,1))-AVERAGE(OFFSET($H$3,0,0,'Données projet'!$E$9+1,1))</f>
        <v>387.16864229348823</v>
      </c>
      <c r="T48" s="62">
        <f t="shared" si="34"/>
        <v>260.88002342542893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4.9850635404162293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4.9850635404162293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350.0000355233642</v>
      </c>
      <c r="AG48" s="13">
        <f>VLOOKUP(A48,'Données projet'!$A$61:$I$81,9,0)</f>
        <v>16.295863111843229</v>
      </c>
      <c r="AH48" s="13">
        <f t="array" ref="AH48">INDEX(AG:AG,MIN(IF(ISNUMBER(AG48:AG244),ROW(AG48:AG244),"")))</f>
        <v>16.295863111843229</v>
      </c>
      <c r="AI48" s="14">
        <f>IF('Données projet'!$A$62&gt;35,AI47+AH48-AQ47,IF(A48&lt;'Données projet'!$A$62,$AF$205^A48,IF(A48='Données projet'!$A$62,'Données projet'!$B$62,AI47+AH48-AQ47)))</f>
        <v>350.00003552336426</v>
      </c>
      <c r="AJ48" s="14">
        <f>AI48*VLOOKUP('Données projet'!$B$10,Paramètres!$A$1:$I$88,3,0)*VLOOKUP('Données projet'!$B$10,Paramètres!$A$1:$I$88,5,0)</f>
        <v>209.30002124297187</v>
      </c>
      <c r="AK48" s="14">
        <f t="shared" si="35"/>
        <v>51.782593017893049</v>
      </c>
      <c r="AL48" s="22">
        <f t="shared" si="4"/>
        <v>454.71888650433976</v>
      </c>
      <c r="AM48" s="62">
        <f t="shared" si="5"/>
        <v>735.54024710292333</v>
      </c>
      <c r="AN48" s="62">
        <f ca="1">AVERAGE(OFFSET($AM$3,0,0,'Données projet'!$E$10+1,1))-AVERAGE(OFFSET($H$3,0,0,'Données projet'!$E$10+1,1))</f>
        <v>197.84745001458262</v>
      </c>
      <c r="AO48" s="62">
        <f t="shared" si="36"/>
        <v>290.24283321060068</v>
      </c>
      <c r="AP48" s="16">
        <f>IF(ISNA(VLOOKUP(A48,'Données projet'!$A$61:$I$81,3,0)),0,VLOOKUP(A48,'Données projet'!$A$61:$I$81,3,0))</f>
        <v>4</v>
      </c>
      <c r="AQ48" s="16">
        <f>IF(ISNA(VLOOKUP(A48,'Données projet'!$A$61:$I$81,4,0)),0,VLOOKUP(A48,'Données projet'!$A$61:$I$81,4,0))</f>
        <v>350.0000355233642</v>
      </c>
      <c r="AR48" s="17">
        <f>IF(ISNA(VLOOKUP(A48,'Données projet'!$A$61:$I$81,5,0)),0%,VLOOKUP(A48,'Données projet'!$A$61:$I$81,5,0)*VLOOKUP('Données projet'!$B$10,Paramètres!$A$1:$I$88,7,0))</f>
        <v>0.13500000000000001</v>
      </c>
      <c r="AS48" s="17">
        <f>IF(ISNA(VLOOKUP(A48,'Données projet'!$A$61:$I$81,6,0)),0%,VLOOKUP(A48,'Données projet'!$A$61:$I$81,6,0)*VLOOKUP('Données projet'!$B$10,Paramètres!$A$1:$I$88,7,0))</f>
        <v>0.22500000000000001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45.644565545930021</v>
      </c>
      <c r="AV48" s="23">
        <f>EXP(-LN(2)/25)*AV47+(1-EXP(-LN(2)/25))/(LN(2)/25)*Calculateur!AQ48*Calculateur!AS48*VLOOKUP('Données projet'!$B$10,Paramètres!$A$1:$I$88,3,0)*0.475*44/12</f>
        <v>82.980386138612232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128.62495168454225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318</v>
      </c>
      <c r="BB48" s="13">
        <f>VLOOKUP(A48,'Données projet'!$A$87:$I$107,9,0)</f>
        <v>19</v>
      </c>
      <c r="BC48" s="13">
        <f t="array" ref="BC48">INDEX(BB:BB,MIN(IF(ISNUMBER(BB48:BB244),ROW(BB48:BB244),"")))</f>
        <v>19</v>
      </c>
      <c r="BD48" s="13">
        <f>IF('Données projet'!$A$88&gt;35,BD47+BC48-BL47,IF(A48&lt;'Données projet'!$A$88,$BA$205^A48,IF(A48='Données projet'!$A$88,'Données projet'!$B$88,BD47+BC48-BL47)))</f>
        <v>318.00000000000006</v>
      </c>
      <c r="BE48" s="14">
        <f>BD48*VLOOKUP('Données projet'!$B$11,Paramètres!$A$1:$I$88,3,0)*VLOOKUP('Données projet'!$B$11,Paramètres!$A$1:$I$88,5,0)</f>
        <v>190.16400000000004</v>
      </c>
      <c r="BF48" s="14">
        <f t="shared" si="37"/>
        <v>47.576209101852911</v>
      </c>
      <c r="BG48" s="22">
        <f t="shared" si="7"/>
        <v>414.06419751906054</v>
      </c>
      <c r="BH48" s="62">
        <f t="shared" si="8"/>
        <v>694.88555811764411</v>
      </c>
      <c r="BI48" s="62">
        <f ca="1">AVERAGE(OFFSET($BH$3,0,0,'Données projet'!$E$11+1,1))-AVERAGE(OFFSET($H$3,0,0,'Données projet'!$E$11+1,1))</f>
        <v>377.49758296179459</v>
      </c>
      <c r="BJ48" s="62">
        <f t="shared" si="38"/>
        <v>297.9972591134441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projet'!$B$11,Paramètres!$A$1:$I$88,7,0))</f>
        <v>0.13500000000000001</v>
      </c>
      <c r="BN48" s="17">
        <f>IF(ISNA(VLOOKUP(A48,'Données projet'!$A$87:$I$107,6,0)),0%,VLOOKUP(A48,'Données projet'!$A$87:$I$107,6,0)*VLOOKUP('Données projet'!$B$11,Paramètres!$A$1:$I$88,7,0))</f>
        <v>0.22500000000000001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17.5475474247732</v>
      </c>
      <c r="BQ48" s="23">
        <f>EXP(-LN(2)/25)*BQ47+(1-EXP(-LN(2)/25))/(LN(2)/25)*Calculateur!BL48*Calculateur!BN48*VLOOKUP('Données projet'!$B$11,Paramètres!$A$1:$I$88,3,0)*0.475*44/12</f>
        <v>29.421911653671483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46.969459078444686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16.069245727083121</v>
      </c>
      <c r="BY48" s="13">
        <f>IF('Données projet'!$A$114&gt;35,BY47+BX48-CG47,IF(A48&lt;'Données projet'!$A$114,$BV$205^A48,IF(A48='Données projet'!$A$114,'Données projet'!$B$114,BY47+BX48-CG47)))</f>
        <v>208.96129125147303</v>
      </c>
      <c r="BZ48" s="14">
        <f>BY48*VLOOKUP('Données projet'!$B$12,Paramètres!$A$1:$I$88,3,0)*VLOOKUP('Données projet'!$B$12,Paramètres!$A$1:$I$88,5,0)</f>
        <v>97.793884305689389</v>
      </c>
      <c r="CA48" s="14">
        <f t="shared" si="39"/>
        <v>26.435740481111072</v>
      </c>
      <c r="CB48" s="22">
        <f t="shared" si="10"/>
        <v>216.36659650367744</v>
      </c>
      <c r="CC48" s="62">
        <f t="shared" si="11"/>
        <v>497.18795710226101</v>
      </c>
      <c r="CD48" s="62">
        <f ca="1">AVERAGE(OFFSET($CC$3,0,0,'Données projet'!$E$12+1,1))-AVERAGE(OFFSET($H$3,0,0,'Données projet'!$E$12+1,1))</f>
        <v>163.77317062597106</v>
      </c>
      <c r="CE48" s="62">
        <f t="shared" si="40"/>
        <v>122.66073843071686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4.9720382431585959</v>
      </c>
      <c r="CL48" s="23">
        <f>EXP(-LN(2)/25)*CL47+(1-EXP(-LN(2)/25))/(LN(2)/25)*Calculateur!CG48*Calculateur!CI48*VLOOKUP('Données projet'!$B$12,Paramètres!$A$1:$I$88,3,0)*0.475*44/12</f>
        <v>9.3942432866052332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14.366281529763828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300.00003649240455</v>
      </c>
      <c r="CR48" s="13">
        <f>VLOOKUP(A48,'Données projet'!$A$139:$I$159,9,0)</f>
        <v>13.926445873647282</v>
      </c>
      <c r="CS48" s="13">
        <f t="array" ref="CS48">INDEX(CR:CR,MIN(IF(ISNUMBER(CR48:CR244),ROW(CR48:CR244),"")))</f>
        <v>13.926445873647282</v>
      </c>
      <c r="CT48" s="13">
        <f>IF('Données projet'!$A$140&gt;35,CT47+CS48-DB47,IF(A48&lt;'Données projet'!$A$140,$CQ$205^A48,IF(A48='Données projet'!$A$140,'Données projet'!$B$140,CT47+CS48-DB47)))</f>
        <v>300.00003649240443</v>
      </c>
      <c r="CU48" s="18">
        <f>CT48*VLOOKUP('Données projet'!$B$13,Paramètres!$A$1:$I$88,3,0)*VLOOKUP('Données projet'!$B$13,Paramètres!$A$1:$I$88,5,0)</f>
        <v>179.40002182245789</v>
      </c>
      <c r="CV48" s="14">
        <f t="shared" si="41"/>
        <v>45.188676148854356</v>
      </c>
      <c r="CW48" s="22">
        <f t="shared" si="13"/>
        <v>391.15864896670217</v>
      </c>
      <c r="CX48" s="62">
        <f t="shared" si="14"/>
        <v>671.98000956528574</v>
      </c>
      <c r="CY48" s="62">
        <f ca="1">AVERAGE(OFFSET($CX$3,0,0,'Données projet'!$E$13+1,1))-AVERAGE(OFFSET($H$3,0,0,'Données projet'!$E$13+1,1))</f>
        <v>167.84261986874142</v>
      </c>
      <c r="CZ48" s="62">
        <f t="shared" si="42"/>
        <v>242.5860875239222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300.00003649240455</v>
      </c>
      <c r="DC48" s="17">
        <f>IF(ISNA(VLOOKUP(A48,'Données projet'!$A$139:$I$159,5,0)),0%,VLOOKUP(A48,'Données projet'!$A$139:$I$159,5,0)*VLOOKUP('Données projet'!$B$13,Paramètres!$A$1:$I$88,7,0))</f>
        <v>0.13500000000000001</v>
      </c>
      <c r="DD48" s="17">
        <f>IF(ISNA(VLOOKUP(A48,'Données projet'!$A$139:$I$159,6,0)),0%,VLOOKUP(A48,'Données projet'!$A$139:$I$159,6,0)*VLOOKUP('Données projet'!$B$13,Paramètres!$A$1:$I$88,7,0))</f>
        <v>0.22500000000000001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37.537344690118921</v>
      </c>
      <c r="DG48" s="23">
        <f>EXP(-LN(2)/25)*DG47+(1-EXP(-LN(2)/25))/(LN(2)/25)*Calculateur!DB48*Calculateur!DD48*VLOOKUP('Données projet'!$B$13,Paramètres!$A$1:$I$88,3,0)*0.475*44/12</f>
        <v>67.115889643303916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104.65323433342283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1.5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5.5</v>
      </c>
      <c r="H49" s="70">
        <f t="shared" si="1"/>
        <v>234.66666666666666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8.3333333333333339</v>
      </c>
      <c r="N49" s="14">
        <f>IF('Données projet'!$A$36&gt;35,N48+M49-V48,IF(A49&lt;'Données projet'!$A$36,$K$205^A49,IF(A49='Données projet'!$A$36,'Données projet'!$B$36,N48+M49-V48)))</f>
        <v>140.33333333333329</v>
      </c>
      <c r="O49" s="14">
        <f>N49*VLOOKUP('Données projet'!$B$9,Paramètres!$A$1:$I$88,3,0)*VLOOKUP('Données projet'!$B$9,Paramètres!$A$1:$I$88,5,0)</f>
        <v>126.97359999999996</v>
      </c>
      <c r="P49" s="14">
        <f t="shared" si="33"/>
        <v>33.296091343362306</v>
      </c>
      <c r="Q49" s="22">
        <f t="shared" si="53"/>
        <v>279.13637908968929</v>
      </c>
      <c r="R49" s="62">
        <f t="shared" si="0"/>
        <v>560.17479444264029</v>
      </c>
      <c r="S49" s="62">
        <f ca="1">AVERAGE(OFFSET($R$3,0,0,'Données projet'!$E$9+1,1))-AVERAGE(OFFSET($H$3,0,0,'Données projet'!$E$9+1,1))</f>
        <v>387.16864229348823</v>
      </c>
      <c r="T49" s="62">
        <f t="shared" si="34"/>
        <v>260.88002342542893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4.8873094849771936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4.8873094849771936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projet'!$B$10,Paramètres!$A$1:$I$88,3,0)*VLOOKUP('Données projet'!$B$10,Paramètres!$A$1:$I$88,5,0)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281.03841535295209</v>
      </c>
      <c r="AN49" s="62">
        <f ca="1">AVERAGE(OFFSET($AM$3,0,0,'Données projet'!$E$10+1,1))-AVERAGE(OFFSET($H$3,0,0,'Données projet'!$E$10+1,1))</f>
        <v>197.84745001458262</v>
      </c>
      <c r="AO49" s="62">
        <f t="shared" si="36"/>
        <v>290.24283321060068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44.749503456010302</v>
      </c>
      <c r="AV49" s="23">
        <f>EXP(-LN(2)/25)*AV48+(1-EXP(-LN(2)/25))/(LN(2)/25)*Calculateur!AQ49*Calculateur!AS49*VLOOKUP('Données projet'!$B$10,Paramètres!$A$1:$I$88,3,0)*0.475*44/12</f>
        <v>80.711283115903029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125.46078657191333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282.40000000000003</v>
      </c>
      <c r="BE49" s="14">
        <f>BD49*VLOOKUP('Données projet'!$B$11,Paramètres!$A$1:$I$88,3,0)*VLOOKUP('Données projet'!$B$11,Paramètres!$A$1:$I$88,5,0)</f>
        <v>168.87520000000004</v>
      </c>
      <c r="BF49" s="14">
        <f t="shared" si="37"/>
        <v>42.838008554673955</v>
      </c>
      <c r="BG49" s="22">
        <f t="shared" si="7"/>
        <v>368.73383823272388</v>
      </c>
      <c r="BH49" s="62">
        <f t="shared" si="8"/>
        <v>649.77225358567489</v>
      </c>
      <c r="BI49" s="62">
        <f ca="1">AVERAGE(OFFSET($BH$3,0,0,'Données projet'!$E$11+1,1))-AVERAGE(OFFSET($H$3,0,0,'Données projet'!$E$11+1,1))</f>
        <v>377.49758296179459</v>
      </c>
      <c r="BJ49" s="62">
        <f t="shared" si="38"/>
        <v>297.9972591134441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17.203450722720497</v>
      </c>
      <c r="BQ49" s="23">
        <f>EXP(-LN(2)/25)*BQ48+(1-EXP(-LN(2)/25))/(LN(2)/25)*Calculateur!BL49*Calculateur!BN49*VLOOKUP('Données projet'!$B$11,Paramètres!$A$1:$I$88,3,0)*0.475*44/12</f>
        <v>28.617367932270746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45.820818654991243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16.069245727083121</v>
      </c>
      <c r="BY49" s="13">
        <f>IF('Données projet'!$A$114&gt;35,BY48+BX49-CG48,IF(A49&lt;'Données projet'!$A$114,$BV$205^A49,IF(A49='Données projet'!$A$114,'Données projet'!$B$114,BY48+BX49-CG48)))</f>
        <v>225.03053697855614</v>
      </c>
      <c r="BZ49" s="14">
        <f>BY49*VLOOKUP('Données projet'!$B$12,Paramètres!$A$1:$I$88,3,0)*VLOOKUP('Données projet'!$B$12,Paramètres!$A$1:$I$88,5,0)</f>
        <v>105.31429130596428</v>
      </c>
      <c r="CA49" s="14">
        <f t="shared" si="39"/>
        <v>28.224213693131514</v>
      </c>
      <c r="CB49" s="22">
        <f t="shared" si="10"/>
        <v>232.57956287342515</v>
      </c>
      <c r="CC49" s="62">
        <f t="shared" si="11"/>
        <v>513.61797822637618</v>
      </c>
      <c r="CD49" s="62">
        <f ca="1">AVERAGE(OFFSET($CC$3,0,0,'Données projet'!$E$12+1,1))-AVERAGE(OFFSET($H$3,0,0,'Données projet'!$E$12+1,1))</f>
        <v>163.77317062597106</v>
      </c>
      <c r="CE49" s="62">
        <f t="shared" si="40"/>
        <v>122.66073843071686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4.8745396058541353</v>
      </c>
      <c r="CL49" s="23">
        <f>EXP(-LN(2)/25)*CL48+(1-EXP(-LN(2)/25))/(LN(2)/25)*Calculateur!CG49*Calculateur!CI49*VLOOKUP('Données projet'!$B$12,Paramètres!$A$1:$I$88,3,0)*0.475*44/12</f>
        <v>9.1373572099112295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14.011896815765365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-1.1368683772161603E-13</v>
      </c>
      <c r="CU49" s="18">
        <f>CT49*VLOOKUP('Données projet'!$B$13,Paramètres!$A$1:$I$88,3,0)*VLOOKUP('Données projet'!$B$13,Paramètres!$A$1:$I$88,5,0)</f>
        <v>-6.7984728957526396E-14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167.84261986874142</v>
      </c>
      <c r="CZ49" s="62">
        <f t="shared" si="42"/>
        <v>242.5860875239222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36.801260256265202</v>
      </c>
      <c r="DG49" s="23">
        <f>EXP(-LN(2)/25)*DG48+(1-EXP(-LN(2)/25))/(LN(2)/25)*Calculateur!DB49*Calculateur!DD49*VLOOKUP('Données projet'!$B$13,Paramètres!$A$1:$I$88,3,0)*0.475*44/12</f>
        <v>65.280602111536524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102.08186236780173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1.5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5.5</v>
      </c>
      <c r="H50" s="70">
        <f t="shared" si="1"/>
        <v>234.66666666666666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8.3333333333333339</v>
      </c>
      <c r="N50" s="14">
        <f>IF('Données projet'!$A$36&gt;35,N49+M50-V49,IF(A50&lt;'Données projet'!$A$36,$K$205^A50,IF(A50='Données projet'!$A$36,'Données projet'!$B$36,N49+M50-V49)))</f>
        <v>148.66666666666663</v>
      </c>
      <c r="O50" s="14">
        <f>N50*VLOOKUP('Données projet'!$B$9,Paramètres!$A$1:$I$88,3,0)*VLOOKUP('Données projet'!$B$9,Paramètres!$A$1:$I$88,5,0)</f>
        <v>134.51359999999997</v>
      </c>
      <c r="P50" s="14">
        <f t="shared" si="33"/>
        <v>35.037238995886256</v>
      </c>
      <c r="Q50" s="22">
        <f t="shared" si="53"/>
        <v>295.30104458450182</v>
      </c>
      <c r="R50" s="62">
        <f t="shared" si="0"/>
        <v>576.55274927709388</v>
      </c>
      <c r="S50" s="62">
        <f ca="1">AVERAGE(OFFSET($R$3,0,0,'Données projet'!$E$9+1,1))-AVERAGE(OFFSET($H$3,0,0,'Données projet'!$E$9+1,1))</f>
        <v>387.16864229348823</v>
      </c>
      <c r="T50" s="62">
        <f t="shared" si="34"/>
        <v>260.88002342542893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4.7914723269412312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4.7914723269412312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projet'!$B$10,Paramètres!$A$1:$I$88,3,0)*VLOOKUP('Données projet'!$B$10,Paramètres!$A$1:$I$88,5,0)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281.25170469259308</v>
      </c>
      <c r="AN50" s="62">
        <f ca="1">AVERAGE(OFFSET($AM$3,0,0,'Données projet'!$E$10+1,1))-AVERAGE(OFFSET($H$3,0,0,'Données projet'!$E$10+1,1))</f>
        <v>197.84745001458262</v>
      </c>
      <c r="AO50" s="62">
        <f t="shared" si="36"/>
        <v>290.24283321060068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43.871992987739937</v>
      </c>
      <c r="AV50" s="23">
        <f>EXP(-LN(2)/25)*AV49+(1-EXP(-LN(2)/25))/(LN(2)/25)*Calculateur!AQ50*Calculateur!AS50*VLOOKUP('Données projet'!$B$10,Paramètres!$A$1:$I$88,3,0)*0.475*44/12</f>
        <v>78.504228834676752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122.37622182241668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299.8</v>
      </c>
      <c r="BE50" s="14">
        <f>BD50*VLOOKUP('Données projet'!$B$11,Paramètres!$A$1:$I$88,3,0)*VLOOKUP('Données projet'!$B$11,Paramètres!$A$1:$I$88,5,0)</f>
        <v>179.28040000000001</v>
      </c>
      <c r="BF50" s="14">
        <f t="shared" si="37"/>
        <v>45.162051118824294</v>
      </c>
      <c r="BG50" s="22">
        <f t="shared" si="7"/>
        <v>390.90393569861902</v>
      </c>
      <c r="BH50" s="62">
        <f t="shared" si="8"/>
        <v>672.15564039121102</v>
      </c>
      <c r="BI50" s="62">
        <f ca="1">AVERAGE(OFFSET($BH$3,0,0,'Données projet'!$E$11+1,1))-AVERAGE(OFFSET($H$3,0,0,'Données projet'!$E$11+1,1))</f>
        <v>377.49758296179459</v>
      </c>
      <c r="BJ50" s="62">
        <f t="shared" si="38"/>
        <v>297.9972591134441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16.866101547116784</v>
      </c>
      <c r="BQ50" s="23">
        <f>EXP(-LN(2)/25)*BQ49+(1-EXP(-LN(2)/25))/(LN(2)/25)*Calculateur!BL50*Calculateur!BN50*VLOOKUP('Données projet'!$B$11,Paramètres!$A$1:$I$88,3,0)*0.475*44/12</f>
        <v>27.834824501240828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44.700926048357616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16.069245727083121</v>
      </c>
      <c r="BY50" s="13">
        <f>IF('Données projet'!$A$114&gt;35,BY49+BX50-CG49,IF(A50&lt;'Données projet'!$A$114,$BV$205^A50,IF(A50='Données projet'!$A$114,'Données projet'!$B$114,BY49+BX50-CG49)))</f>
        <v>241.09978270563926</v>
      </c>
      <c r="BZ50" s="14">
        <f>BY50*VLOOKUP('Données projet'!$B$12,Paramètres!$A$1:$I$88,3,0)*VLOOKUP('Données projet'!$B$12,Paramètres!$A$1:$I$88,5,0)</f>
        <v>112.83469830623918</v>
      </c>
      <c r="CA50" s="14">
        <f t="shared" si="39"/>
        <v>29.997869389790033</v>
      </c>
      <c r="CB50" s="22">
        <f t="shared" si="10"/>
        <v>248.76672207058417</v>
      </c>
      <c r="CC50" s="62">
        <f t="shared" si="11"/>
        <v>530.01842676317619</v>
      </c>
      <c r="CD50" s="62">
        <f ca="1">AVERAGE(OFFSET($CC$3,0,0,'Données projet'!$E$12+1,1))-AVERAGE(OFFSET($H$3,0,0,'Données projet'!$E$12+1,1))</f>
        <v>163.77317062597106</v>
      </c>
      <c r="CE50" s="62">
        <f t="shared" si="40"/>
        <v>122.66073843071686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4.7789528573589184</v>
      </c>
      <c r="CL50" s="23">
        <f>EXP(-LN(2)/25)*CL49+(1-EXP(-LN(2)/25))/(LN(2)/25)*Calculateur!CG50*Calculateur!CI50*VLOOKUP('Données projet'!$B$12,Paramètres!$A$1:$I$88,3,0)*0.475*44/12</f>
        <v>8.8874956964934757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13.666448553852394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-1.1368683772161603E-13</v>
      </c>
      <c r="CU50" s="18">
        <f>CT50*VLOOKUP('Données projet'!$B$13,Paramètres!$A$1:$I$88,3,0)*VLOOKUP('Données projet'!$B$13,Paramètres!$A$1:$I$88,5,0)</f>
        <v>-6.7984728957526396E-14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167.84261986874142</v>
      </c>
      <c r="CZ50" s="62">
        <f t="shared" si="42"/>
        <v>242.5860875239222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36.079609989192186</v>
      </c>
      <c r="DG50" s="23">
        <f>EXP(-LN(2)/25)*DG49+(1-EXP(-LN(2)/25))/(LN(2)/25)*Calculateur!DB50*Calculateur!DD50*VLOOKUP('Données projet'!$B$13,Paramètres!$A$1:$I$88,3,0)*0.475*44/12</f>
        <v>63.495500613838892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99.575110603031078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1.5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5.5</v>
      </c>
      <c r="H51" s="70">
        <f t="shared" si="1"/>
        <v>234.66666666666666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157</v>
      </c>
      <c r="L51" s="13">
        <f>VLOOKUP(A51,'Données projet'!$A$35:$I$55,9,0)</f>
        <v>8.3333333333333339</v>
      </c>
      <c r="M51" s="13">
        <f t="array" ref="M51">INDEX(L:L,MIN(IF(ISNUMBER(L51:L247),ROW(L51:L247),"")))</f>
        <v>8.3333333333333339</v>
      </c>
      <c r="N51" s="14">
        <f>IF('Données projet'!$A$36&gt;35,N50+M51-V50,IF(A51&lt;'Données projet'!$A$36,$K$205^A51,IF(A51='Données projet'!$A$36,'Données projet'!$B$36,N50+M51-V50)))</f>
        <v>156.99999999999997</v>
      </c>
      <c r="O51" s="14">
        <f>N51*VLOOKUP('Données projet'!$B$9,Paramètres!$A$1:$I$88,3,0)*VLOOKUP('Données projet'!$B$9,Paramètres!$A$1:$I$88,5,0)</f>
        <v>142.05359999999996</v>
      </c>
      <c r="P51" s="14">
        <f t="shared" si="33"/>
        <v>36.767056963845889</v>
      </c>
      <c r="Q51" s="22">
        <f t="shared" si="53"/>
        <v>311.44597754536488</v>
      </c>
      <c r="R51" s="62">
        <f t="shared" si="0"/>
        <v>592.90727148439851</v>
      </c>
      <c r="S51" s="62">
        <f ca="1">AVERAGE(OFFSET($R$3,0,0,'Données projet'!$E$9+1,1))-AVERAGE(OFFSET($H$3,0,0,'Données projet'!$E$9+1,1))</f>
        <v>387.16864229348823</v>
      </c>
      <c r="T51" s="62">
        <f t="shared" si="34"/>
        <v>260.88002342542893</v>
      </c>
      <c r="U51" s="16">
        <f>IF(ISNA(VLOOKUP(A51,'Données projet'!$A$35:$I$55,3,0)),0,VLOOKUP(A51,'Données projet'!$A$35:$I$55,3,0))</f>
        <v>3</v>
      </c>
      <c r="V51" s="16">
        <f>IF(ISNA(VLOOKUP(A51,'Données projet'!$A$35:$I$55,4,0)),0,VLOOKUP(A51,'Données projet'!$A$35:$I$55,4,0))</f>
        <v>41</v>
      </c>
      <c r="W51" s="17">
        <f>IF(ISNA(VLOOKUP(A51,'Données projet'!$A$35:$I$55,5,0)),0%,VLOOKUP(A51,'Données projet'!$A$35:$I$55,5,0)*VLOOKUP('Données projet'!$B$9,Paramètres!$A$1:$I$88,7,0))</f>
        <v>0.129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9.9877288283535339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9.9877288283535339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projet'!$B$10,Paramètres!$A$1:$I$88,3,0)*VLOOKUP('Données projet'!$B$10,Paramètres!$A$1:$I$88,5,0)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281.4612939390347</v>
      </c>
      <c r="AN51" s="62">
        <f ca="1">AVERAGE(OFFSET($AM$3,0,0,'Données projet'!$E$10+1,1))-AVERAGE(OFFSET($H$3,0,0,'Données projet'!$E$10+1,1))</f>
        <v>197.84745001458262</v>
      </c>
      <c r="AO51" s="62">
        <f t="shared" si="36"/>
        <v>290.24283321060068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43.011689964523818</v>
      </c>
      <c r="AV51" s="23">
        <f>EXP(-LN(2)/25)*AV50+(1-EXP(-LN(2)/25))/(LN(2)/25)*Calculateur!AQ51*Calculateur!AS51*VLOOKUP('Données projet'!$B$10,Paramètres!$A$1:$I$88,3,0)*0.475*44/12</f>
        <v>76.357526568834544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119.36921653335835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317.2</v>
      </c>
      <c r="BE51" s="14">
        <f>BD51*VLOOKUP('Données projet'!$B$11,Paramètres!$A$1:$I$88,3,0)*VLOOKUP('Données projet'!$B$11,Paramètres!$A$1:$I$88,5,0)</f>
        <v>189.68560000000002</v>
      </c>
      <c r="BF51" s="14">
        <f t="shared" si="37"/>
        <v>47.470436776872745</v>
      </c>
      <c r="BG51" s="22">
        <f t="shared" si="7"/>
        <v>413.04676405305344</v>
      </c>
      <c r="BH51" s="62">
        <f t="shared" si="8"/>
        <v>694.50805799208706</v>
      </c>
      <c r="BI51" s="62">
        <f ca="1">AVERAGE(OFFSET($BH$3,0,0,'Données projet'!$E$11+1,1))-AVERAGE(OFFSET($H$3,0,0,'Données projet'!$E$11+1,1))</f>
        <v>377.49758296179459</v>
      </c>
      <c r="BJ51" s="62">
        <f t="shared" si="38"/>
        <v>297.9972591134441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16.535367583083982</v>
      </c>
      <c r="BQ51" s="23">
        <f>EXP(-LN(2)/25)*BQ50+(1-EXP(-LN(2)/25))/(LN(2)/25)*Calculateur!BL51*Calculateur!BN51*VLOOKUP('Données projet'!$B$11,Paramètres!$A$1:$I$88,3,0)*0.475*44/12</f>
        <v>27.073679761484595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43.60904734456858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16.069245727083121</v>
      </c>
      <c r="BY51" s="13">
        <f>IF('Données projet'!$A$114&gt;35,BY50+BX51-CG50,IF(A51&lt;'Données projet'!$A$114,$BV$205^A51,IF(A51='Données projet'!$A$114,'Données projet'!$B$114,BY50+BX51-CG50)))</f>
        <v>257.16902843272237</v>
      </c>
      <c r="BZ51" s="14">
        <f>BY51*VLOOKUP('Données projet'!$B$12,Paramètres!$A$1:$I$88,3,0)*VLOOKUP('Données projet'!$B$12,Paramètres!$A$1:$I$88,5,0)</f>
        <v>120.35510530651406</v>
      </c>
      <c r="CA51" s="14">
        <f t="shared" si="39"/>
        <v>31.757807526869012</v>
      </c>
      <c r="CB51" s="22">
        <f t="shared" si="10"/>
        <v>264.92998985147551</v>
      </c>
      <c r="CC51" s="62">
        <f t="shared" si="11"/>
        <v>546.39128379050908</v>
      </c>
      <c r="CD51" s="62">
        <f ca="1">AVERAGE(OFFSET($CC$3,0,0,'Données projet'!$E$12+1,1))-AVERAGE(OFFSET($H$3,0,0,'Données projet'!$E$12+1,1))</f>
        <v>163.77317062597106</v>
      </c>
      <c r="CE51" s="62">
        <f t="shared" si="40"/>
        <v>122.66073843071686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4.6852405066995333</v>
      </c>
      <c r="CL51" s="23">
        <f>EXP(-LN(2)/25)*CL50+(1-EXP(-LN(2)/25))/(LN(2)/25)*Calculateur!CG51*Calculateur!CI51*VLOOKUP('Données projet'!$B$12,Paramètres!$A$1:$I$88,3,0)*0.475*44/12</f>
        <v>8.6444666592997752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13.329707165999309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-1.1368683772161603E-13</v>
      </c>
      <c r="CU51" s="18">
        <f>CT51*VLOOKUP('Données projet'!$B$13,Paramètres!$A$1:$I$88,3,0)*VLOOKUP('Données projet'!$B$13,Paramètres!$A$1:$I$88,5,0)</f>
        <v>-6.7984728957526396E-14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167.84261986874142</v>
      </c>
      <c r="CZ51" s="62">
        <f t="shared" si="42"/>
        <v>242.5860875239222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35.372110843693271</v>
      </c>
      <c r="DG51" s="23">
        <f>EXP(-LN(2)/25)*DG50+(1-EXP(-LN(2)/25))/(LN(2)/25)*Calculateur!DB51*Calculateur!DD51*VLOOKUP('Données projet'!$B$13,Paramètres!$A$1:$I$88,3,0)*0.475*44/12</f>
        <v>61.75921281047021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97.131323654163481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1.5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5.5</v>
      </c>
      <c r="H52" s="70">
        <f t="shared" si="1"/>
        <v>234.66666666666666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7.833333333333333</v>
      </c>
      <c r="N52" s="14">
        <f>IF('Données projet'!$A$36&gt;35,N51+M52-V51,IF(A52&lt;'Données projet'!$A$36,$K$205^A52,IF(A52='Données projet'!$A$36,'Données projet'!$B$36,N51+M52-V51)))</f>
        <v>123.83333333333331</v>
      </c>
      <c r="O52" s="14">
        <f>N52*VLOOKUP('Données projet'!$B$9,Paramètres!$A$1:$I$88,3,0)*VLOOKUP('Données projet'!$B$9,Paramètres!$A$1:$I$88,5,0)</f>
        <v>112.04439999999998</v>
      </c>
      <c r="P52" s="14">
        <f t="shared" si="33"/>
        <v>29.812143709975022</v>
      </c>
      <c r="Q52" s="22">
        <f t="shared" si="53"/>
        <v>247.06681362820646</v>
      </c>
      <c r="R52" s="62">
        <f t="shared" si="0"/>
        <v>528.73406090882736</v>
      </c>
      <c r="S52" s="62">
        <f ca="1">AVERAGE(OFFSET($R$3,0,0,'Données projet'!$E$9+1,1))-AVERAGE(OFFSET($H$3,0,0,'Données projet'!$E$9+1,1))</f>
        <v>387.16864229348823</v>
      </c>
      <c r="T52" s="62">
        <f t="shared" si="34"/>
        <v>260.88002342542893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9.7918755579425802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9.7918755579425802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projet'!$B$10,Paramètres!$A$1:$I$88,3,0)*VLOOKUP('Données projet'!$B$10,Paramètres!$A$1:$I$88,5,0)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281.66724728062201</v>
      </c>
      <c r="AN52" s="62">
        <f ca="1">AVERAGE(OFFSET($AM$3,0,0,'Données projet'!$E$10+1,1))-AVERAGE(OFFSET($H$3,0,0,'Données projet'!$E$10+1,1))</f>
        <v>197.84745001458262</v>
      </c>
      <c r="AO52" s="62">
        <f t="shared" si="36"/>
        <v>290.24283321060068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42.168256958859935</v>
      </c>
      <c r="AV52" s="23">
        <f>EXP(-LN(2)/25)*AV51+(1-EXP(-LN(2)/25))/(LN(2)/25)*Calculateur!AQ52*Calculateur!AS52*VLOOKUP('Données projet'!$B$10,Paramètres!$A$1:$I$88,3,0)*0.475*44/12</f>
        <v>74.269525989341957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116.43778294820189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334.59999999999997</v>
      </c>
      <c r="BE52" s="14">
        <f>BD52*VLOOKUP('Données projet'!$B$11,Paramètres!$A$1:$I$88,3,0)*VLOOKUP('Données projet'!$B$11,Paramètres!$A$1:$I$88,5,0)</f>
        <v>200.0908</v>
      </c>
      <c r="BF52" s="14">
        <f t="shared" si="37"/>
        <v>49.764122289960234</v>
      </c>
      <c r="BG52" s="22">
        <f t="shared" si="7"/>
        <v>435.16398965501406</v>
      </c>
      <c r="BH52" s="62">
        <f t="shared" si="8"/>
        <v>716.83123693563493</v>
      </c>
      <c r="BI52" s="62">
        <f ca="1">AVERAGE(OFFSET($BH$3,0,0,'Données projet'!$E$11+1,1))-AVERAGE(OFFSET($H$3,0,0,'Données projet'!$E$11+1,1))</f>
        <v>377.49758296179459</v>
      </c>
      <c r="BJ52" s="62">
        <f t="shared" si="38"/>
        <v>297.9972591134441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16.211119110358062</v>
      </c>
      <c r="BQ52" s="23">
        <f>EXP(-LN(2)/25)*BQ51+(1-EXP(-LN(2)/25))/(LN(2)/25)*Calculateur!BL52*Calculateur!BN52*VLOOKUP('Données projet'!$B$11,Paramètres!$A$1:$I$88,3,0)*0.475*44/12</f>
        <v>26.333348564663858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42.54446767502192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16.069245727083121</v>
      </c>
      <c r="BY52" s="13">
        <f>IF('Données projet'!$A$114&gt;35,BY51+BX52-CG51,IF(A52&lt;'Données projet'!$A$114,$BV$205^A52,IF(A52='Données projet'!$A$114,'Données projet'!$B$114,BY51+BX52-CG51)))</f>
        <v>273.23827415980548</v>
      </c>
      <c r="BZ52" s="14">
        <f>BY52*VLOOKUP('Données projet'!$B$12,Paramètres!$A$1:$I$88,3,0)*VLOOKUP('Données projet'!$B$12,Paramètres!$A$1:$I$88,5,0)</f>
        <v>127.87551230678898</v>
      </c>
      <c r="CA52" s="14">
        <f t="shared" si="39"/>
        <v>33.504982828998074</v>
      </c>
      <c r="CB52" s="22">
        <f t="shared" si="10"/>
        <v>281.0710290281624</v>
      </c>
      <c r="CC52" s="62">
        <f t="shared" si="11"/>
        <v>562.73827630878327</v>
      </c>
      <c r="CD52" s="62">
        <f ca="1">AVERAGE(OFFSET($CC$3,0,0,'Données projet'!$E$12+1,1))-AVERAGE(OFFSET($H$3,0,0,'Données projet'!$E$12+1,1))</f>
        <v>163.77317062597106</v>
      </c>
      <c r="CE52" s="62">
        <f t="shared" si="40"/>
        <v>122.66073843071686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4.5933657980776887</v>
      </c>
      <c r="CL52" s="23">
        <f>EXP(-LN(2)/25)*CL51+(1-EXP(-LN(2)/25))/(LN(2)/25)*Calculateur!CG52*Calculateur!CI52*VLOOKUP('Données projet'!$B$12,Paramètres!$A$1:$I$88,3,0)*0.475*44/12</f>
        <v>8.4080832639084786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13.001449061986168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-1.1368683772161603E-13</v>
      </c>
      <c r="CU52" s="18">
        <f>CT52*VLOOKUP('Données projet'!$B$13,Paramètres!$A$1:$I$88,3,0)*VLOOKUP('Données projet'!$B$13,Paramètres!$A$1:$I$88,5,0)</f>
        <v>-6.7984728957526396E-14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167.84261986874142</v>
      </c>
      <c r="CZ52" s="62">
        <f t="shared" si="42"/>
        <v>242.5860875239222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34.678485324905722</v>
      </c>
      <c r="DG52" s="23">
        <f>EXP(-LN(2)/25)*DG51+(1-EXP(-LN(2)/25))/(LN(2)/25)*Calculateur!DB52*Calculateur!DD52*VLOOKUP('Données projet'!$B$13,Paramètres!$A$1:$I$88,3,0)*0.475*44/12</f>
        <v>60.07040388839205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94.748889213297772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1.5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5.5</v>
      </c>
      <c r="H53" s="70">
        <f t="shared" si="1"/>
        <v>234.66666666666666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7.833333333333333</v>
      </c>
      <c r="N53" s="14">
        <f>IF('Données projet'!$A$36&gt;35,N52+M53-V52,IF(A53&lt;'Données projet'!$A$36,$K$205^A53,IF(A53='Données projet'!$A$36,'Données projet'!$B$36,N52+M53-V52)))</f>
        <v>131.66666666666666</v>
      </c>
      <c r="O53" s="14">
        <f>N53*VLOOKUP('Données projet'!$B$9,Paramètres!$A$1:$I$88,3,0)*VLOOKUP('Données projet'!$B$9,Paramètres!$A$1:$I$88,5,0)</f>
        <v>119.13199999999999</v>
      </c>
      <c r="P53" s="14">
        <f t="shared" si="33"/>
        <v>31.472467091979826</v>
      </c>
      <c r="Q53" s="22">
        <f t="shared" si="53"/>
        <v>262.30278018519817</v>
      </c>
      <c r="R53" s="62">
        <f t="shared" si="0"/>
        <v>544.17240797737247</v>
      </c>
      <c r="S53" s="62">
        <f ca="1">AVERAGE(OFFSET($R$3,0,0,'Données projet'!$E$9+1,1))-AVERAGE(OFFSET($H$3,0,0,'Données projet'!$E$9+1,1))</f>
        <v>387.16864229348823</v>
      </c>
      <c r="T53" s="62">
        <f t="shared" si="34"/>
        <v>260.88002342542893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9.5998628507056853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9.5998628507056853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projet'!$B$10,Paramètres!$A$1:$I$88,3,0)*VLOOKUP('Données projet'!$B$10,Paramètres!$A$1:$I$88,5,0)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281.86962779217538</v>
      </c>
      <c r="AN53" s="62">
        <f ca="1">AVERAGE(OFFSET($AM$3,0,0,'Données projet'!$E$10+1,1))-AVERAGE(OFFSET($H$3,0,0,'Données projet'!$E$10+1,1))</f>
        <v>197.84745001458262</v>
      </c>
      <c r="AO53" s="62">
        <f t="shared" si="36"/>
        <v>290.24283321060068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41.34136315999379</v>
      </c>
      <c r="AV53" s="23">
        <f>EXP(-LN(2)/25)*AV52+(1-EXP(-LN(2)/25))/(LN(2)/25)*Calculateur!AQ53*Calculateur!AS53*VLOOKUP('Données projet'!$B$10,Paramètres!$A$1:$I$88,3,0)*0.475*44/12</f>
        <v>72.238621895498781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113.57998505549257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352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351.99999999999994</v>
      </c>
      <c r="BE53" s="14">
        <f>BD53*VLOOKUP('Données projet'!$B$11,Paramètres!$A$1:$I$88,3,0)*VLOOKUP('Données projet'!$B$11,Paramètres!$A$1:$I$88,5,0)</f>
        <v>210.49599999999998</v>
      </c>
      <c r="BF53" s="14">
        <f t="shared" si="37"/>
        <v>52.043959291168463</v>
      </c>
      <c r="BG53" s="22">
        <f t="shared" si="7"/>
        <v>457.25709576545165</v>
      </c>
      <c r="BH53" s="62">
        <f t="shared" si="8"/>
        <v>739.12672355762595</v>
      </c>
      <c r="BI53" s="62">
        <f ca="1">AVERAGE(OFFSET($BH$3,0,0,'Données projet'!$E$11+1,1))-AVERAGE(OFFSET($H$3,0,0,'Données projet'!$E$11+1,1))</f>
        <v>377.49758296179459</v>
      </c>
      <c r="BJ53" s="62">
        <f t="shared" si="38"/>
        <v>297.9972591134441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projet'!$B$11,Paramètres!$A$1:$I$88,7,0))</f>
        <v>0.315</v>
      </c>
      <c r="BN53" s="17">
        <f>IF(ISNA(VLOOKUP(A53,'Données projet'!$A$87:$I$107,6,0)),0%,VLOOKUP(A53,'Données projet'!$A$87:$I$107,6,0)*VLOOKUP('Données projet'!$B$11,Paramètres!$A$1:$I$88,7,0))</f>
        <v>0.13500000000000001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29.13713111538101</v>
      </c>
      <c r="BQ53" s="23">
        <f>EXP(-LN(2)/25)*BQ52+(1-EXP(-LN(2)/25))/(LN(2)/25)*Calculateur!BL53*Calculateur!BN53*VLOOKUP('Données projet'!$B$11,Paramètres!$A$1:$I$88,3,0)*0.475*44/12</f>
        <v>31.26687142356656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60.404002538947566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16.069245727083121</v>
      </c>
      <c r="BY53" s="13">
        <f>IF('Données projet'!$A$114&gt;35,BY52+BX53-CG52,IF(A53&lt;'Données projet'!$A$114,$BV$205^A53,IF(A53='Données projet'!$A$114,'Données projet'!$B$114,BY52+BX53-CG52)))</f>
        <v>289.3075198868886</v>
      </c>
      <c r="BZ53" s="14">
        <f>BY53*VLOOKUP('Données projet'!$B$12,Paramètres!$A$1:$I$88,3,0)*VLOOKUP('Données projet'!$B$12,Paramètres!$A$1:$I$88,5,0)</f>
        <v>135.39591930706385</v>
      </c>
      <c r="CA53" s="14">
        <f t="shared" si="39"/>
        <v>35.240231381734922</v>
      </c>
      <c r="CB53" s="22">
        <f t="shared" si="10"/>
        <v>297.19129578299118</v>
      </c>
      <c r="CC53" s="62">
        <f t="shared" si="11"/>
        <v>579.06092357516548</v>
      </c>
      <c r="CD53" s="62">
        <f ca="1">AVERAGE(OFFSET($CC$3,0,0,'Données projet'!$E$12+1,1))-AVERAGE(OFFSET($H$3,0,0,'Données projet'!$E$12+1,1))</f>
        <v>163.77317062597106</v>
      </c>
      <c r="CE53" s="62">
        <f t="shared" si="40"/>
        <v>122.66073843071686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4.5032926964538795</v>
      </c>
      <c r="CL53" s="23">
        <f>EXP(-LN(2)/25)*CL52+(1-EXP(-LN(2)/25))/(LN(2)/25)*Calculateur!CG53*Calculateur!CI53*VLOOKUP('Données projet'!$B$12,Paramètres!$A$1:$I$88,3,0)*0.475*44/12</f>
        <v>8.1781637848950197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12.681456481348899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-1.1368683772161603E-13</v>
      </c>
      <c r="CU53" s="18">
        <f>CT53*VLOOKUP('Données projet'!$B$13,Paramètres!$A$1:$I$88,3,0)*VLOOKUP('Données projet'!$B$13,Paramètres!$A$1:$I$88,5,0)</f>
        <v>-6.7984728957526396E-14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167.84261986874142</v>
      </c>
      <c r="CZ53" s="62">
        <f t="shared" si="42"/>
        <v>242.5860875239222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33.998461379471806</v>
      </c>
      <c r="DG53" s="23">
        <f>EXP(-LN(2)/25)*DG52+(1-EXP(-LN(2)/25))/(LN(2)/25)*Calculateur!DB53*Calculateur!DD53*VLOOKUP('Données projet'!$B$13,Paramètres!$A$1:$I$88,3,0)*0.475*44/12</f>
        <v>58.427775535098725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92.426236914570524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1.5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5.5</v>
      </c>
      <c r="H54" s="70">
        <f t="shared" si="1"/>
        <v>234.66666666666666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7.833333333333333</v>
      </c>
      <c r="N54" s="14">
        <f>IF('Données projet'!$A$36&gt;35,N53+M54-V53,IF(A54&lt;'Données projet'!$A$36,$K$205^A54,IF(A54='Données projet'!$A$36,'Données projet'!$B$36,N53+M54-V53)))</f>
        <v>139.5</v>
      </c>
      <c r="O54" s="14">
        <f>N54*VLOOKUP('Données projet'!$B$9,Paramètres!$A$1:$I$88,3,0)*VLOOKUP('Données projet'!$B$9,Paramètres!$A$1:$I$88,5,0)</f>
        <v>126.2196</v>
      </c>
      <c r="P54" s="14">
        <f t="shared" si="33"/>
        <v>33.121325210832396</v>
      </c>
      <c r="Q54" s="22">
        <f t="shared" si="53"/>
        <v>277.51877807553302</v>
      </c>
      <c r="R54" s="62">
        <f t="shared" si="0"/>
        <v>559.58727552984033</v>
      </c>
      <c r="S54" s="62">
        <f ca="1">AVERAGE(OFFSET($R$3,0,0,'Données projet'!$E$9+1,1))-AVERAGE(OFFSET($H$3,0,0,'Données projet'!$E$9+1,1))</f>
        <v>387.16864229348823</v>
      </c>
      <c r="T54" s="62">
        <f t="shared" si="34"/>
        <v>260.88002342542893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9.4116153955415189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9.4116153955415189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projet'!$B$10,Paramètres!$A$1:$I$88,3,0)*VLOOKUP('Données projet'!$B$10,Paramètres!$A$1:$I$88,5,0)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282.06849745430844</v>
      </c>
      <c r="AN54" s="62">
        <f ca="1">AVERAGE(OFFSET($AM$3,0,0,'Données projet'!$E$10+1,1))-AVERAGE(OFFSET($H$3,0,0,'Données projet'!$E$10+1,1))</f>
        <v>197.84745001458262</v>
      </c>
      <c r="AO54" s="62">
        <f t="shared" si="36"/>
        <v>290.24283321060068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40.530684244167993</v>
      </c>
      <c r="AV54" s="23">
        <f>EXP(-LN(2)/25)*AV53+(1-EXP(-LN(2)/25))/(LN(2)/25)*Calculateur!AQ54*Calculateur!AS54*VLOOKUP('Données projet'!$B$10,Paramètres!$A$1:$I$88,3,0)*0.475*44/12</f>
        <v>70.263252980902351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110.79393722507035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316.62499999999994</v>
      </c>
      <c r="BE54" s="14">
        <f>BD54*VLOOKUP('Données projet'!$B$11,Paramètres!$A$1:$I$88,3,0)*VLOOKUP('Données projet'!$B$11,Paramètres!$A$1:$I$88,5,0)</f>
        <v>189.34174999999999</v>
      </c>
      <c r="BF54" s="14">
        <f t="shared" si="37"/>
        <v>47.394393740797923</v>
      </c>
      <c r="BG54" s="22">
        <f t="shared" si="7"/>
        <v>412.31545034855634</v>
      </c>
      <c r="BH54" s="62">
        <f t="shared" si="8"/>
        <v>694.38394780286376</v>
      </c>
      <c r="BI54" s="62">
        <f ca="1">AVERAGE(OFFSET($BH$3,0,0,'Données projet'!$E$11+1,1))-AVERAGE(OFFSET($H$3,0,0,'Données projet'!$E$11+1,1))</f>
        <v>377.49758296179459</v>
      </c>
      <c r="BJ54" s="62">
        <f t="shared" si="38"/>
        <v>297.9972591134441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28.565769746103541</v>
      </c>
      <c r="BQ54" s="23">
        <f>EXP(-LN(2)/25)*BQ53+(1-EXP(-LN(2)/25))/(LN(2)/25)*Calculateur!BL54*Calculateur!BN54*VLOOKUP('Données projet'!$B$11,Paramètres!$A$1:$I$88,3,0)*0.475*44/12</f>
        <v>30.411877180235827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58.977646926339368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16.069245727083121</v>
      </c>
      <c r="BY54" s="13">
        <f>IF('Données projet'!$A$114&gt;35,BY53+BX54-CG53,IF(A54&lt;'Données projet'!$A$114,$BV$205^A54,IF(A54='Données projet'!$A$114,'Données projet'!$B$114,BY53+BX54-CG53)))</f>
        <v>305.37676561397171</v>
      </c>
      <c r="BZ54" s="14">
        <f>BY54*VLOOKUP('Données projet'!$B$12,Paramètres!$A$1:$I$88,3,0)*VLOOKUP('Données projet'!$B$12,Paramètres!$A$1:$I$88,5,0)</f>
        <v>142.91632630733878</v>
      </c>
      <c r="CA54" s="14">
        <f t="shared" si="39"/>
        <v>36.964291146166829</v>
      </c>
      <c r="CB54" s="22">
        <f t="shared" si="10"/>
        <v>313.2920753981889</v>
      </c>
      <c r="CC54" s="62">
        <f t="shared" si="11"/>
        <v>595.36057285249626</v>
      </c>
      <c r="CD54" s="62">
        <f ca="1">AVERAGE(OFFSET($CC$3,0,0,'Données projet'!$E$12+1,1))-AVERAGE(OFFSET($H$3,0,0,'Données projet'!$E$12+1,1))</f>
        <v>163.77317062597106</v>
      </c>
      <c r="CE54" s="62">
        <f t="shared" si="40"/>
        <v>122.66073843071686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4.4149858734137464</v>
      </c>
      <c r="CL54" s="23">
        <f>EXP(-LN(2)/25)*CL53+(1-EXP(-LN(2)/25))/(LN(2)/25)*Calculateur!CG54*Calculateur!CI54*VLOOKUP('Données projet'!$B$12,Paramètres!$A$1:$I$88,3,0)*0.475*44/12</f>
        <v>7.9545314661261237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12.36951733953987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-1.1368683772161603E-13</v>
      </c>
      <c r="CU54" s="18">
        <f>CT54*VLOOKUP('Données projet'!$B$13,Paramètres!$A$1:$I$88,3,0)*VLOOKUP('Données projet'!$B$13,Paramètres!$A$1:$I$88,5,0)</f>
        <v>-6.7984728957526396E-14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167.84261986874142</v>
      </c>
      <c r="CZ54" s="62">
        <f t="shared" si="42"/>
        <v>242.5860875239222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33.331772288834195</v>
      </c>
      <c r="DG54" s="23">
        <f>EXP(-LN(2)/25)*DG53+(1-EXP(-LN(2)/25))/(LN(2)/25)*Calculateur!DB54*Calculateur!DD54*VLOOKUP('Données projet'!$B$13,Paramètres!$A$1:$I$88,3,0)*0.475*44/12</f>
        <v>56.830064940508272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90.161837229342467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1.5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5.5</v>
      </c>
      <c r="H55" s="70">
        <f t="shared" si="1"/>
        <v>234.66666666666666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7.833333333333333</v>
      </c>
      <c r="N55" s="14">
        <f>IF('Données projet'!$A$36&gt;35,N54+M55-V54,IF(A55&lt;'Données projet'!$A$36,$K$205^A55,IF(A55='Données projet'!$A$36,'Données projet'!$B$36,N54+M55-V54)))</f>
        <v>147.33333333333334</v>
      </c>
      <c r="O55" s="14">
        <f>N55*VLOOKUP('Données projet'!$B$9,Paramètres!$A$1:$I$88,3,0)*VLOOKUP('Données projet'!$B$9,Paramètres!$A$1:$I$88,5,0)</f>
        <v>133.30719999999999</v>
      </c>
      <c r="P55" s="14">
        <f t="shared" si="33"/>
        <v>34.759435244472861</v>
      </c>
      <c r="Q55" s="22">
        <f t="shared" si="53"/>
        <v>292.71605638412353</v>
      </c>
      <c r="R55" s="62">
        <f t="shared" si="0"/>
        <v>574.97997355653183</v>
      </c>
      <c r="S55" s="62">
        <f ca="1">AVERAGE(OFFSET($R$3,0,0,'Données projet'!$E$9+1,1))-AVERAGE(OFFSET($H$3,0,0,'Données projet'!$E$9+1,1))</f>
        <v>387.16864229348823</v>
      </c>
      <c r="T55" s="62">
        <f t="shared" si="34"/>
        <v>260.88002342542893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9.2270593581535127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9.2270593581535127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projet'!$B$10,Paramètres!$A$1:$I$88,3,0)*VLOOKUP('Données projet'!$B$10,Paramètres!$A$1:$I$88,5,0)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282.26391717240944</v>
      </c>
      <c r="AN55" s="62">
        <f ca="1">AVERAGE(OFFSET($AM$3,0,0,'Données projet'!$E$10+1,1))-AVERAGE(OFFSET($H$3,0,0,'Données projet'!$E$10+1,1))</f>
        <v>197.84745001458262</v>
      </c>
      <c r="AO55" s="62">
        <f t="shared" si="36"/>
        <v>290.24283321060068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39.735902247416227</v>
      </c>
      <c r="AV55" s="23">
        <f>EXP(-LN(2)/25)*AV54+(1-EXP(-LN(2)/25))/(LN(2)/25)*Calculateur!AQ55*Calculateur!AS55*VLOOKUP('Données projet'!$B$10,Paramètres!$A$1:$I$88,3,0)*0.475*44/12</f>
        <v>68.341900633155689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108.07780288057191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334.24999999999994</v>
      </c>
      <c r="BE55" s="14">
        <f>BD55*VLOOKUP('Données projet'!$B$11,Paramètres!$A$1:$I$88,3,0)*VLOOKUP('Données projet'!$B$11,Paramètres!$A$1:$I$88,5,0)</f>
        <v>199.88149999999996</v>
      </c>
      <c r="BF55" s="14">
        <f t="shared" si="37"/>
        <v>49.71812411377941</v>
      </c>
      <c r="BG55" s="22">
        <f t="shared" si="7"/>
        <v>434.71934533149914</v>
      </c>
      <c r="BH55" s="62">
        <f t="shared" si="8"/>
        <v>716.98326250390755</v>
      </c>
      <c r="BI55" s="62">
        <f ca="1">AVERAGE(OFFSET($BH$3,0,0,'Données projet'!$E$11+1,1))-AVERAGE(OFFSET($H$3,0,0,'Données projet'!$E$11+1,1))</f>
        <v>377.49758296179459</v>
      </c>
      <c r="BJ55" s="62">
        <f t="shared" si="38"/>
        <v>297.9972591134441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28.005612424781578</v>
      </c>
      <c r="BQ55" s="23">
        <f>EXP(-LN(2)/25)*BQ54+(1-EXP(-LN(2)/25))/(LN(2)/25)*Calculateur!BL55*Calculateur!BN55*VLOOKUP('Données projet'!$B$11,Paramètres!$A$1:$I$88,3,0)*0.475*44/12</f>
        <v>29.580262799451166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57.585875224232744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16.069245727083121</v>
      </c>
      <c r="BY55" s="13">
        <f>IF('Données projet'!$A$114&gt;35,BY54+BX55-CG54,IF(A55&lt;'Données projet'!$A$114,$BV$205^A55,IF(A55='Données projet'!$A$114,'Données projet'!$B$114,BY54+BX55-CG54)))</f>
        <v>321.44601134105483</v>
      </c>
      <c r="BZ55" s="14">
        <f>BY55*VLOOKUP('Données projet'!$B$12,Paramètres!$A$1:$I$88,3,0)*VLOOKUP('Données projet'!$B$12,Paramètres!$A$1:$I$88,5,0)</f>
        <v>150.43673330761365</v>
      </c>
      <c r="CA55" s="14">
        <f t="shared" si="39"/>
        <v>38.6778180323317</v>
      </c>
      <c r="CB55" s="22">
        <f t="shared" si="10"/>
        <v>329.37451025040485</v>
      </c>
      <c r="CC55" s="62">
        <f t="shared" si="11"/>
        <v>611.63842742281327</v>
      </c>
      <c r="CD55" s="62">
        <f ca="1">AVERAGE(OFFSET($CC$3,0,0,'Données projet'!$E$12+1,1))-AVERAGE(OFFSET($H$3,0,0,'Données projet'!$E$12+1,1))</f>
        <v>163.77317062597106</v>
      </c>
      <c r="CE55" s="62">
        <f t="shared" si="40"/>
        <v>122.66073843071686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4.3284106933115858</v>
      </c>
      <c r="CL55" s="23">
        <f>EXP(-LN(2)/25)*CL54+(1-EXP(-LN(2)/25))/(LN(2)/25)*Calculateur!CG55*Calculateur!CI55*VLOOKUP('Données projet'!$B$12,Paramètres!$A$1:$I$88,3,0)*0.475*44/12</f>
        <v>7.737014384874275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12.065425078185861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-1.1368683772161603E-13</v>
      </c>
      <c r="CU55" s="18">
        <f>CT55*VLOOKUP('Données projet'!$B$13,Paramètres!$A$1:$I$88,3,0)*VLOOKUP('Données projet'!$B$13,Paramètres!$A$1:$I$88,5,0)</f>
        <v>-6.7984728957526396E-14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167.84261986874142</v>
      </c>
      <c r="CZ55" s="62">
        <f t="shared" si="42"/>
        <v>242.5860875239222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32.678156564623798</v>
      </c>
      <c r="DG55" s="23">
        <f>EXP(-LN(2)/25)*DG54+(1-EXP(-LN(2)/25))/(LN(2)/25)*Calculateur!DB55*Calculateur!DD55*VLOOKUP('Données projet'!$B$13,Paramètres!$A$1:$I$88,3,0)*0.475*44/12</f>
        <v>55.276043826146847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87.954200390770637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1.5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5.5</v>
      </c>
      <c r="H56" s="70">
        <f t="shared" si="1"/>
        <v>234.66666666666666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7.833333333333333</v>
      </c>
      <c r="N56" s="14">
        <f>IF('Données projet'!$A$36&gt;35,N55+M56-V55,IF(A56&lt;'Données projet'!$A$36,$K$205^A56,IF(A56='Données projet'!$A$36,'Données projet'!$B$36,N55+M56-V55)))</f>
        <v>155.16666666666669</v>
      </c>
      <c r="O56" s="14">
        <f>N56*VLOOKUP('Données projet'!$B$9,Paramètres!$A$1:$I$88,3,0)*VLOOKUP('Données projet'!$B$9,Paramètres!$A$1:$I$88,5,0)</f>
        <v>140.3948</v>
      </c>
      <c r="P56" s="14">
        <f t="shared" si="33"/>
        <v>36.387433802709147</v>
      </c>
      <c r="Q56" s="22">
        <f t="shared" si="53"/>
        <v>307.89572387305174</v>
      </c>
      <c r="R56" s="62">
        <f t="shared" si="0"/>
        <v>590.35167066834504</v>
      </c>
      <c r="S56" s="62">
        <f ca="1">AVERAGE(OFFSET($R$3,0,0,'Données projet'!$E$9+1,1))-AVERAGE(OFFSET($H$3,0,0,'Données projet'!$E$9+1,1))</f>
        <v>387.16864229348823</v>
      </c>
      <c r="T56" s="62">
        <f t="shared" si="34"/>
        <v>260.88002342542893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9.0461223520906167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9.0461223520906167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projet'!$B$10,Paramètres!$A$1:$I$88,3,0)*VLOOKUP('Données projet'!$B$10,Paramètres!$A$1:$I$88,5,0)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282.45594679529438</v>
      </c>
      <c r="AN56" s="62">
        <f ca="1">AVERAGE(OFFSET($AM$3,0,0,'Données projet'!$E$10+1,1))-AVERAGE(OFFSET($H$3,0,0,'Données projet'!$E$10+1,1))</f>
        <v>197.84745001458262</v>
      </c>
      <c r="AO56" s="62">
        <f t="shared" si="36"/>
        <v>290.24283321060068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38.956705440851607</v>
      </c>
      <c r="AV56" s="23">
        <f>EXP(-LN(2)/25)*AV55+(1-EXP(-LN(2)/25))/(LN(2)/25)*Calculateur!AQ56*Calculateur!AS56*VLOOKUP('Données projet'!$B$10,Paramètres!$A$1:$I$88,3,0)*0.475*44/12</f>
        <v>66.473087766397683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105.42979320724929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351.87499999999994</v>
      </c>
      <c r="BE56" s="14">
        <f>BD56*VLOOKUP('Données projet'!$B$11,Paramètres!$A$1:$I$88,3,0)*VLOOKUP('Données projet'!$B$11,Paramètres!$A$1:$I$88,5,0)</f>
        <v>210.42124999999999</v>
      </c>
      <c r="BF56" s="14">
        <f t="shared" si="37"/>
        <v>52.027628682866947</v>
      </c>
      <c r="BG56" s="22">
        <f t="shared" si="7"/>
        <v>457.09846370599325</v>
      </c>
      <c r="BH56" s="62">
        <f t="shared" si="8"/>
        <v>739.55441050128661</v>
      </c>
      <c r="BI56" s="62">
        <f ca="1">AVERAGE(OFFSET($BH$3,0,0,'Données projet'!$E$11+1,1))-AVERAGE(OFFSET($H$3,0,0,'Données projet'!$E$11+1,1))</f>
        <v>377.49758296179459</v>
      </c>
      <c r="BJ56" s="62">
        <f t="shared" si="38"/>
        <v>297.9972591134441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27.456439446868508</v>
      </c>
      <c r="BQ56" s="23">
        <f>EXP(-LN(2)/25)*BQ55+(1-EXP(-LN(2)/25))/(LN(2)/25)*Calculateur!BL56*Calculateur!BN56*VLOOKUP('Données projet'!$B$11,Paramètres!$A$1:$I$88,3,0)*0.475*44/12</f>
        <v>28.771388957641761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56.227828404510269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16.069245727083121</v>
      </c>
      <c r="BY56" s="13">
        <f>IF('Données projet'!$A$114&gt;35,BY55+BX56-CG55,IF(A56&lt;'Données projet'!$A$114,$BV$205^A56,IF(A56='Données projet'!$A$114,'Données projet'!$B$114,BY55+BX56-CG55)))</f>
        <v>337.51525706813794</v>
      </c>
      <c r="BZ56" s="14">
        <f>BY56*VLOOKUP('Données projet'!$B$12,Paramètres!$A$1:$I$88,3,0)*VLOOKUP('Données projet'!$B$12,Paramètres!$A$1:$I$88,5,0)</f>
        <v>157.95714030788855</v>
      </c>
      <c r="CA56" s="14">
        <f t="shared" si="39"/>
        <v>40.381398667228794</v>
      </c>
      <c r="CB56" s="22">
        <f t="shared" si="10"/>
        <v>345.43962204832934</v>
      </c>
      <c r="CC56" s="62">
        <f t="shared" si="11"/>
        <v>627.89556884362264</v>
      </c>
      <c r="CD56" s="62">
        <f ca="1">AVERAGE(OFFSET($CC$3,0,0,'Données projet'!$E$12+1,1))-AVERAGE(OFFSET($H$3,0,0,'Données projet'!$E$12+1,1))</f>
        <v>163.77317062597106</v>
      </c>
      <c r="CE56" s="62">
        <f t="shared" si="40"/>
        <v>122.66073843071686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4.243533199685583</v>
      </c>
      <c r="CL56" s="23">
        <f>EXP(-LN(2)/25)*CL55+(1-EXP(-LN(2)/25))/(LN(2)/25)*Calculateur!CG56*Calculateur!CI56*VLOOKUP('Données projet'!$B$12,Paramètres!$A$1:$I$88,3,0)*0.475*44/12</f>
        <v>7.5254453196479849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11.768978519333569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-1.1368683772161603E-13</v>
      </c>
      <c r="CU56" s="18">
        <f>CT56*VLOOKUP('Données projet'!$B$13,Paramètres!$A$1:$I$88,3,0)*VLOOKUP('Données projet'!$B$13,Paramètres!$A$1:$I$88,5,0)</f>
        <v>-6.7984728957526396E-14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167.84261986874142</v>
      </c>
      <c r="CZ56" s="62">
        <f t="shared" si="42"/>
        <v>242.5860875239222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32.037357846098935</v>
      </c>
      <c r="DG56" s="23">
        <f>EXP(-LN(2)/25)*DG55+(1-EXP(-LN(2)/25))/(LN(2)/25)*Calculateur!DB56*Calculateur!DD56*VLOOKUP('Données projet'!$B$13,Paramètres!$A$1:$I$88,3,0)*0.475*44/12</f>
        <v>53.764517500880054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85.801875346978989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1.5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5.5</v>
      </c>
      <c r="H57" s="70">
        <f t="shared" si="1"/>
        <v>234.66666666666666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163</v>
      </c>
      <c r="L57" s="13">
        <f>VLOOKUP(A57,'Données projet'!$A$35:$I$55,9,0)</f>
        <v>7.833333333333333</v>
      </c>
      <c r="M57" s="13">
        <f t="array" ref="M57">INDEX(L:L,MIN(IF(ISNUMBER(L57:L253),ROW(L57:L253),"")))</f>
        <v>7.833333333333333</v>
      </c>
      <c r="N57" s="14">
        <f>IF('Données projet'!$A$36&gt;35,N56+M57-V56,IF(A57&lt;'Données projet'!$A$36,$K$205^A57,IF(A57='Données projet'!$A$36,'Données projet'!$B$36,N56+M57-V56)))</f>
        <v>163.00000000000003</v>
      </c>
      <c r="O57" s="14">
        <f>N57*VLOOKUP('Données projet'!$B$9,Paramètres!$A$1:$I$88,3,0)*VLOOKUP('Données projet'!$B$9,Paramètres!$A$1:$I$88,5,0)</f>
        <v>147.48240000000001</v>
      </c>
      <c r="P57" s="14">
        <f t="shared" si="33"/>
        <v>38.005889588171215</v>
      </c>
      <c r="Q57" s="22">
        <f t="shared" si="53"/>
        <v>323.05877103273156</v>
      </c>
      <c r="R57" s="62">
        <f t="shared" si="0"/>
        <v>605.70341616626661</v>
      </c>
      <c r="S57" s="62">
        <f ca="1">AVERAGE(OFFSET($R$3,0,0,'Données projet'!$E$9+1,1))-AVERAGE(OFFSET($H$3,0,0,'Données projet'!$E$9+1,1))</f>
        <v>387.16864229348823</v>
      </c>
      <c r="T57" s="62">
        <f t="shared" si="34"/>
        <v>260.88002342542893</v>
      </c>
      <c r="U57" s="16">
        <f>IF(ISNA(VLOOKUP(A57,'Données projet'!$A$35:$I$55,3,0)),0,VLOOKUP(A57,'Données projet'!$A$35:$I$55,3,0))</f>
        <v>4</v>
      </c>
      <c r="V57" s="16">
        <f>IF(ISNA(VLOOKUP(A57,'Données projet'!$A$35:$I$55,4,0)),0,VLOOKUP(A57,'Données projet'!$A$35:$I$55,4,0))</f>
        <v>31</v>
      </c>
      <c r="W57" s="17">
        <f>IF(ISNA(VLOOKUP(A57,'Données projet'!$A$35:$I$55,5,0)),0%,VLOOKUP(A57,'Données projet'!$A$35:$I$55,5,0)*VLOOKUP('Données projet'!$B$9,Paramètres!$A$1:$I$88,7,0))</f>
        <v>0.129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12.86865157836219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12.86865157836219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projet'!$B$10,Paramètres!$A$1:$I$88,3,0)*VLOOKUP('Données projet'!$B$10,Paramètres!$A$1:$I$88,5,0)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282.64464513353619</v>
      </c>
      <c r="AN57" s="62">
        <f ca="1">AVERAGE(OFFSET($AM$3,0,0,'Données projet'!$E$10+1,1))-AVERAGE(OFFSET($H$3,0,0,'Données projet'!$E$10+1,1))</f>
        <v>197.84745001458262</v>
      </c>
      <c r="AO57" s="62">
        <f t="shared" si="36"/>
        <v>290.24283321060068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38.1927882084006</v>
      </c>
      <c r="AV57" s="23">
        <f>EXP(-LN(2)/25)*AV56+(1-EXP(-LN(2)/25))/(LN(2)/25)*Calculateur!AQ57*Calculateur!AS57*VLOOKUP('Données projet'!$B$10,Paramètres!$A$1:$I$88,3,0)*0.475*44/12</f>
        <v>64.655377685757784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102.84816589415838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369.49999999999994</v>
      </c>
      <c r="BE57" s="14">
        <f>BD57*VLOOKUP('Données projet'!$B$11,Paramètres!$A$1:$I$88,3,0)*VLOOKUP('Données projet'!$B$11,Paramètres!$A$1:$I$88,5,0)</f>
        <v>220.96099999999996</v>
      </c>
      <c r="BF57" s="14">
        <f t="shared" si="37"/>
        <v>54.323701308314696</v>
      </c>
      <c r="BG57" s="22">
        <f t="shared" si="7"/>
        <v>479.45418811198141</v>
      </c>
      <c r="BH57" s="62">
        <f t="shared" si="8"/>
        <v>762.09883324551652</v>
      </c>
      <c r="BI57" s="62">
        <f ca="1">AVERAGE(OFFSET($BH$3,0,0,'Données projet'!$E$11+1,1))-AVERAGE(OFFSET($H$3,0,0,'Données projet'!$E$11+1,1))</f>
        <v>377.49758296179459</v>
      </c>
      <c r="BJ57" s="62">
        <f t="shared" si="38"/>
        <v>297.9972591134441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26.918035416089872</v>
      </c>
      <c r="BQ57" s="23">
        <f>EXP(-LN(2)/25)*BQ56+(1-EXP(-LN(2)/25))/(LN(2)/25)*Calculateur!BL57*Calculateur!BN57*VLOOKUP('Données projet'!$B$11,Paramètres!$A$1:$I$88,3,0)*0.475*44/12</f>
        <v>27.98463381357346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54.902669229663331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16.069245727083121</v>
      </c>
      <c r="BY57" s="13">
        <f>IF('Données projet'!$A$114&gt;35,BY56+BX57-CG56,IF(A57&lt;'Données projet'!$A$114,$BV$205^A57,IF(A57='Données projet'!$A$114,'Données projet'!$B$114,BY56+BX57-CG56)))</f>
        <v>353.58450279522106</v>
      </c>
      <c r="BZ57" s="14">
        <f>BY57*VLOOKUP('Données projet'!$B$12,Paramètres!$A$1:$I$88,3,0)*VLOOKUP('Données projet'!$B$12,Paramètres!$A$1:$I$88,5,0)</f>
        <v>165.47754730816345</v>
      </c>
      <c r="CA57" s="14">
        <f t="shared" si="39"/>
        <v>42.075560662373611</v>
      </c>
      <c r="CB57" s="22">
        <f t="shared" si="10"/>
        <v>361.48832971535211</v>
      </c>
      <c r="CC57" s="62">
        <f t="shared" si="11"/>
        <v>644.13297484888722</v>
      </c>
      <c r="CD57" s="62">
        <f ca="1">AVERAGE(OFFSET($CC$3,0,0,'Données projet'!$E$12+1,1))-AVERAGE(OFFSET($H$3,0,0,'Données projet'!$E$12+1,1))</f>
        <v>163.77317062597106</v>
      </c>
      <c r="CE57" s="62">
        <f t="shared" si="40"/>
        <v>122.66073843071686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4.1603201019394271</v>
      </c>
      <c r="CL57" s="23">
        <f>EXP(-LN(2)/25)*CL56+(1-EXP(-LN(2)/25))/(LN(2)/25)*Calculateur!CG57*Calculateur!CI57*VLOOKUP('Données projet'!$B$12,Paramètres!$A$1:$I$88,3,0)*0.475*44/12</f>
        <v>7.3196616216362411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11.479981723575669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-1.1368683772161603E-13</v>
      </c>
      <c r="CU57" s="18">
        <f>CT57*VLOOKUP('Données projet'!$B$13,Paramètres!$A$1:$I$88,3,0)*VLOOKUP('Données projet'!$B$13,Paramètres!$A$1:$I$88,5,0)</f>
        <v>-6.7984728957526396E-14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167.84261986874142</v>
      </c>
      <c r="CZ57" s="62">
        <f t="shared" si="42"/>
        <v>242.5860875239222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31.409124799595723</v>
      </c>
      <c r="DG57" s="23">
        <f>EXP(-LN(2)/25)*DG56+(1-EXP(-LN(2)/25))/(LN(2)/25)*Calculateur!DB57*Calculateur!DD57*VLOOKUP('Données projet'!$B$13,Paramètres!$A$1:$I$88,3,0)*0.475*44/12</f>
        <v>52.294323942465397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83.703448742061113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1.5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5.5</v>
      </c>
      <c r="H58" s="70">
        <f t="shared" si="1"/>
        <v>234.66666666666666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7.625</v>
      </c>
      <c r="N58" s="14">
        <f>IF('Données projet'!$A$36&gt;35,N57+M58-V57,IF(A58&lt;'Données projet'!$A$36,$K$205^A58,IF(A58='Données projet'!$A$36,'Données projet'!$B$36,N57+M58-V57)))</f>
        <v>139.62500000000003</v>
      </c>
      <c r="O58" s="14">
        <f>N58*VLOOKUP('Données projet'!$B$9,Paramètres!$A$1:$I$88,3,0)*VLOOKUP('Données projet'!$B$9,Paramètres!$A$1:$I$88,5,0)</f>
        <v>126.33270000000003</v>
      </c>
      <c r="P58" s="14">
        <f t="shared" si="33"/>
        <v>33.147547860677534</v>
      </c>
      <c r="Q58" s="22">
        <f t="shared" si="53"/>
        <v>277.76143169068007</v>
      </c>
      <c r="R58" s="62">
        <f t="shared" si="0"/>
        <v>560.59150166815482</v>
      </c>
      <c r="S58" s="62">
        <f ca="1">AVERAGE(OFFSET($R$3,0,0,'Données projet'!$E$9+1,1))-AVERAGE(OFFSET($H$3,0,0,'Données projet'!$E$9+1,1))</f>
        <v>387.16864229348823</v>
      </c>
      <c r="T58" s="62">
        <f t="shared" si="34"/>
        <v>260.88002342542893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12.616305170012936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12.616305170012936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projet'!$B$10,Paramètres!$A$1:$I$88,3,0)*VLOOKUP('Données projet'!$B$10,Paramètres!$A$1:$I$88,5,0)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282.83006997747583</v>
      </c>
      <c r="AN58" s="62">
        <f ca="1">AVERAGE(OFFSET($AM$3,0,0,'Données projet'!$E$10+1,1))-AVERAGE(OFFSET($H$3,0,0,'Données projet'!$E$10+1,1))</f>
        <v>197.84745001458262</v>
      </c>
      <c r="AO58" s="62">
        <f t="shared" si="36"/>
        <v>290.24283321060068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37.443850926934452</v>
      </c>
      <c r="AV58" s="23">
        <f>EXP(-LN(2)/25)*AV57+(1-EXP(-LN(2)/25))/(LN(2)/25)*Calculateur!AQ58*Calculateur!AS58*VLOOKUP('Données projet'!$B$10,Paramètres!$A$1:$I$88,3,0)*0.475*44/12</f>
        <v>62.887372982862196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100.33122390979665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387.12499999999994</v>
      </c>
      <c r="BE58" s="14">
        <f>BD58*VLOOKUP('Données projet'!$B$11,Paramètres!$A$1:$I$88,3,0)*VLOOKUP('Données projet'!$B$11,Paramètres!$A$1:$I$88,5,0)</f>
        <v>231.50074999999998</v>
      </c>
      <c r="BF58" s="14">
        <f t="shared" si="37"/>
        <v>56.607055837426749</v>
      </c>
      <c r="BG58" s="22">
        <f t="shared" si="7"/>
        <v>501.78776183351812</v>
      </c>
      <c r="BH58" s="62">
        <f t="shared" si="8"/>
        <v>784.61783181099281</v>
      </c>
      <c r="BI58" s="62">
        <f ca="1">AVERAGE(OFFSET($BH$3,0,0,'Données projet'!$E$11+1,1))-AVERAGE(OFFSET($H$3,0,0,'Données projet'!$E$11+1,1))</f>
        <v>377.49758296179459</v>
      </c>
      <c r="BJ58" s="62">
        <f t="shared" si="38"/>
        <v>297.9972591134441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26.390189159960773</v>
      </c>
      <c r="BQ58" s="23">
        <f>EXP(-LN(2)/25)*BQ57+(1-EXP(-LN(2)/25))/(LN(2)/25)*Calculateur!BL58*Calculateur!BN58*VLOOKUP('Données projet'!$B$11,Paramètres!$A$1:$I$88,3,0)*0.475*44/12</f>
        <v>27.219392530293362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53.609581690254132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16.069245727083121</v>
      </c>
      <c r="BY58" s="13">
        <f>IF('Données projet'!$A$114&gt;35,BY57+BX58-CG57,IF(A58&lt;'Données projet'!$A$114,$BV$205^A58,IF(A58='Données projet'!$A$114,'Données projet'!$B$114,BY57+BX58-CG57)))</f>
        <v>369.65374852230417</v>
      </c>
      <c r="BZ58" s="14">
        <f>BY58*VLOOKUP('Données projet'!$B$12,Paramètres!$A$1:$I$88,3,0)*VLOOKUP('Données projet'!$B$12,Paramètres!$A$1:$I$88,5,0)</f>
        <v>172.99795430843835</v>
      </c>
      <c r="CA58" s="14">
        <f t="shared" si="39"/>
        <v>43.760780962085988</v>
      </c>
      <c r="CB58" s="22">
        <f t="shared" si="10"/>
        <v>377.52146392949658</v>
      </c>
      <c r="CC58" s="62">
        <f t="shared" si="11"/>
        <v>660.35153390697133</v>
      </c>
      <c r="CD58" s="62">
        <f ca="1">AVERAGE(OFFSET($CC$3,0,0,'Données projet'!$E$12+1,1))-AVERAGE(OFFSET($H$3,0,0,'Données projet'!$E$12+1,1))</f>
        <v>163.77317062597106</v>
      </c>
      <c r="CE58" s="62">
        <f t="shared" si="40"/>
        <v>122.66073843071686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4.078738762285095</v>
      </c>
      <c r="CL58" s="23">
        <f>EXP(-LN(2)/25)*CL57+(1-EXP(-LN(2)/25))/(LN(2)/25)*Calculateur!CG58*Calculateur!CI58*VLOOKUP('Données projet'!$B$12,Paramètres!$A$1:$I$88,3,0)*0.475*44/12</f>
        <v>7.1195050896683227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11.198243851953418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-1.1368683772161603E-13</v>
      </c>
      <c r="CU58" s="18">
        <f>CT58*VLOOKUP('Données projet'!$B$13,Paramètres!$A$1:$I$88,3,0)*VLOOKUP('Données projet'!$B$13,Paramètres!$A$1:$I$88,5,0)</f>
        <v>-6.7984728957526396E-14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167.84261986874142</v>
      </c>
      <c r="CZ58" s="62">
        <f t="shared" si="42"/>
        <v>242.5860875239222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30.793211019950114</v>
      </c>
      <c r="DG58" s="23">
        <f>EXP(-LN(2)/25)*DG57+(1-EXP(-LN(2)/25))/(LN(2)/25)*Calculateur!DB58*Calculateur!DD58*VLOOKUP('Données projet'!$B$13,Paramètres!$A$1:$I$88,3,0)*0.475*44/12</f>
        <v>50.864332904219708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81.657543924169829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1.5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5.5</v>
      </c>
      <c r="H59" s="70">
        <f t="shared" si="1"/>
        <v>234.66666666666666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7.625</v>
      </c>
      <c r="N59" s="14">
        <f>IF('Données projet'!$A$36&gt;35,N58+M59-V58,IF(A59&lt;'Données projet'!$A$36,$K$205^A59,IF(A59='Données projet'!$A$36,'Données projet'!$B$36,N58+M59-V58)))</f>
        <v>147.25000000000003</v>
      </c>
      <c r="O59" s="14">
        <f>N59*VLOOKUP('Données projet'!$B$9,Paramètres!$A$1:$I$88,3,0)*VLOOKUP('Données projet'!$B$9,Paramètres!$A$1:$I$88,5,0)</f>
        <v>133.23180000000002</v>
      </c>
      <c r="P59" s="14">
        <f t="shared" si="33"/>
        <v>34.742062818999614</v>
      </c>
      <c r="Q59" s="22">
        <f t="shared" si="53"/>
        <v>292.55447774309101</v>
      </c>
      <c r="R59" s="62">
        <f t="shared" si="0"/>
        <v>575.56675585801088</v>
      </c>
      <c r="S59" s="62">
        <f ca="1">AVERAGE(OFFSET($R$3,0,0,'Données projet'!$E$9+1,1))-AVERAGE(OFFSET($H$3,0,0,'Données projet'!$E$9+1,1))</f>
        <v>387.16864229348823</v>
      </c>
      <c r="T59" s="62">
        <f t="shared" si="34"/>
        <v>260.88002342542893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12.368907120815299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12.368907120815299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projet'!$B$10,Paramètres!$A$1:$I$88,3,0)*VLOOKUP('Données projet'!$B$10,Paramètres!$A$1:$I$88,5,0)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283.01227811492095</v>
      </c>
      <c r="AN59" s="62">
        <f ca="1">AVERAGE(OFFSET($AM$3,0,0,'Données projet'!$E$10+1,1))-AVERAGE(OFFSET($H$3,0,0,'Données projet'!$E$10+1,1))</f>
        <v>197.84745001458262</v>
      </c>
      <c r="AO59" s="62">
        <f t="shared" si="36"/>
        <v>290.24283321060068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36.709599848751218</v>
      </c>
      <c r="AV59" s="23">
        <f>EXP(-LN(2)/25)*AV58+(1-EXP(-LN(2)/25))/(LN(2)/25)*Calculateur!AQ59*Calculateur!AS59*VLOOKUP('Données projet'!$B$10,Paramètres!$A$1:$I$88,3,0)*0.475*44/12</f>
        <v>61.167714461542616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97.877314310293826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404.74999999999994</v>
      </c>
      <c r="BE59" s="14">
        <f>BD59*VLOOKUP('Données projet'!$B$11,Paramètres!$A$1:$I$88,3,0)*VLOOKUP('Données projet'!$B$11,Paramètres!$A$1:$I$88,5,0)</f>
        <v>242.04049999999998</v>
      </c>
      <c r="BF59" s="14">
        <f t="shared" si="37"/>
        <v>58.878337443371535</v>
      </c>
      <c r="BG59" s="22">
        <f t="shared" si="7"/>
        <v>524.10030854720526</v>
      </c>
      <c r="BH59" s="62">
        <f t="shared" si="8"/>
        <v>807.11258666212507</v>
      </c>
      <c r="BI59" s="62">
        <f ca="1">AVERAGE(OFFSET($BH$3,0,0,'Données projet'!$E$11+1,1))-AVERAGE(OFFSET($H$3,0,0,'Données projet'!$E$11+1,1))</f>
        <v>377.49758296179459</v>
      </c>
      <c r="BJ59" s="62">
        <f t="shared" si="38"/>
        <v>297.9972591134441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25.872693646959938</v>
      </c>
      <c r="BQ59" s="23">
        <f>EXP(-LN(2)/25)*BQ58+(1-EXP(-LN(2)/25))/(LN(2)/25)*Calculateur!BL59*Calculateur!BN59*VLOOKUP('Données projet'!$B$11,Paramètres!$A$1:$I$88,3,0)*0.475*44/12</f>
        <v>26.475076810146849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52.34777045710679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16.069245727083121</v>
      </c>
      <c r="BY59" s="13">
        <f>IF('Données projet'!$A$114&gt;35,BY58+BX59-CG58,IF(A59&lt;'Données projet'!$A$114,$BV$205^A59,IF(A59='Données projet'!$A$114,'Données projet'!$B$114,BY58+BX59-CG58)))</f>
        <v>385.72299424938728</v>
      </c>
      <c r="BZ59" s="14">
        <f>BY59*VLOOKUP('Données projet'!$B$12,Paramètres!$A$1:$I$88,3,0)*VLOOKUP('Données projet'!$B$12,Paramètres!$A$1:$I$88,5,0)</f>
        <v>180.51836130871325</v>
      </c>
      <c r="CA59" s="14">
        <f t="shared" si="39"/>
        <v>45.437492699181561</v>
      </c>
      <c r="CB59" s="22">
        <f t="shared" si="10"/>
        <v>393.53977906375007</v>
      </c>
      <c r="CC59" s="62">
        <f t="shared" si="11"/>
        <v>676.55205717866988</v>
      </c>
      <c r="CD59" s="62">
        <f ca="1">AVERAGE(OFFSET($CC$3,0,0,'Données projet'!$E$12+1,1))-AVERAGE(OFFSET($H$3,0,0,'Données projet'!$E$12+1,1))</f>
        <v>163.77317062597106</v>
      </c>
      <c r="CE59" s="62">
        <f t="shared" si="40"/>
        <v>122.66073843071686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3.9987571829416808</v>
      </c>
      <c r="CL59" s="23">
        <f>EXP(-LN(2)/25)*CL58+(1-EXP(-LN(2)/25))/(LN(2)/25)*Calculateur!CG59*Calculateur!CI59*VLOOKUP('Données projet'!$B$12,Paramètres!$A$1:$I$88,3,0)*0.475*44/12</f>
        <v>6.9248218485928419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10.923579031534523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-1.1368683772161603E-13</v>
      </c>
      <c r="CU59" s="18">
        <f>CT59*VLOOKUP('Données projet'!$B$13,Paramètres!$A$1:$I$88,3,0)*VLOOKUP('Données projet'!$B$13,Paramètres!$A$1:$I$88,5,0)</f>
        <v>-6.7984728957526396E-14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167.84261986874142</v>
      </c>
      <c r="CZ59" s="62">
        <f t="shared" si="42"/>
        <v>242.5860875239222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30.189374933853045</v>
      </c>
      <c r="DG59" s="23">
        <f>EXP(-LN(2)/25)*DG58+(1-EXP(-LN(2)/25))/(LN(2)/25)*Calculateur!DB59*Calculateur!DD59*VLOOKUP('Données projet'!$B$13,Paramètres!$A$1:$I$88,3,0)*0.475*44/12</f>
        <v>49.473445046114804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79.66281997996785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1.5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5.5</v>
      </c>
      <c r="H60" s="70">
        <f t="shared" si="1"/>
        <v>234.66666666666666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7.625</v>
      </c>
      <c r="N60" s="14">
        <f>IF('Données projet'!$A$36&gt;35,N59+M60-V59,IF(A60&lt;'Données projet'!$A$36,$K$205^A60,IF(A60='Données projet'!$A$36,'Données projet'!$B$36,N59+M60-V59)))</f>
        <v>154.87500000000003</v>
      </c>
      <c r="O60" s="14">
        <f>N60*VLOOKUP('Données projet'!$B$9,Paramètres!$A$1:$I$88,3,0)*VLOOKUP('Données projet'!$B$9,Paramètres!$A$1:$I$88,5,0)</f>
        <v>140.13090000000003</v>
      </c>
      <c r="P60" s="14">
        <f t="shared" si="33"/>
        <v>36.326991215595562</v>
      </c>
      <c r="Q60" s="22">
        <f t="shared" si="53"/>
        <v>307.33082720049566</v>
      </c>
      <c r="R60" s="62">
        <f t="shared" si="0"/>
        <v>590.52215254903228</v>
      </c>
      <c r="S60" s="62">
        <f ca="1">AVERAGE(OFFSET($R$3,0,0,'Données projet'!$E$9+1,1))-AVERAGE(OFFSET($H$3,0,0,'Données projet'!$E$9+1,1))</f>
        <v>387.16864229348823</v>
      </c>
      <c r="T60" s="62">
        <f t="shared" si="34"/>
        <v>260.88002342542893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12.126360396464518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12.126360396464518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projet'!$B$10,Paramètres!$A$1:$I$88,3,0)*VLOOKUP('Données projet'!$B$10,Paramètres!$A$1:$I$88,5,0)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283.1913253485377</v>
      </c>
      <c r="AN60" s="62">
        <f ca="1">AVERAGE(OFFSET($AM$3,0,0,'Données projet'!$E$10+1,1))-AVERAGE(OFFSET($H$3,0,0,'Données projet'!$E$10+1,1))</f>
        <v>197.84745001458262</v>
      </c>
      <c r="AO60" s="62">
        <f t="shared" si="36"/>
        <v>290.24283321060068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35.989746986362221</v>
      </c>
      <c r="AV60" s="23">
        <f>EXP(-LN(2)/25)*AV59+(1-EXP(-LN(2)/25))/(LN(2)/25)*Calculateur!AQ60*Calculateur!AS60*VLOOKUP('Données projet'!$B$10,Paramètres!$A$1:$I$88,3,0)*0.475*44/12</f>
        <v>59.495080092921427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95.484827079283647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422.37499999999994</v>
      </c>
      <c r="BE60" s="14">
        <f>BD60*VLOOKUP('Données projet'!$B$11,Paramètres!$A$1:$I$88,3,0)*VLOOKUP('Données projet'!$B$11,Paramètres!$A$1:$I$88,5,0)</f>
        <v>252.58025000000001</v>
      </c>
      <c r="BF60" s="14">
        <f t="shared" si="37"/>
        <v>61.138131933251593</v>
      </c>
      <c r="BG60" s="22">
        <f t="shared" si="7"/>
        <v>546.39284853374647</v>
      </c>
      <c r="BH60" s="62">
        <f t="shared" si="8"/>
        <v>829.58417388228304</v>
      </c>
      <c r="BI60" s="62">
        <f ca="1">AVERAGE(OFFSET($BH$3,0,0,'Données projet'!$E$11+1,1))-AVERAGE(OFFSET($H$3,0,0,'Données projet'!$E$11+1,1))</f>
        <v>377.49758296179459</v>
      </c>
      <c r="BJ60" s="62">
        <f t="shared" si="38"/>
        <v>297.9972591134441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25.365345905327956</v>
      </c>
      <c r="BQ60" s="23">
        <f>EXP(-LN(2)/25)*BQ59+(1-EXP(-LN(2)/25))/(LN(2)/25)*Calculateur!BL60*Calculateur!BN60*VLOOKUP('Données projet'!$B$11,Paramètres!$A$1:$I$88,3,0)*0.475*44/12</f>
        <v>25.751114442509603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51.11646034783756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16.069245727083121</v>
      </c>
      <c r="BY60" s="13">
        <f>IF('Données projet'!$A$114&gt;35,BY59+BX60-CG59,IF(A60&lt;'Données projet'!$A$114,$BV$205^A60,IF(A60='Données projet'!$A$114,'Données projet'!$B$114,BY59+BX60-CG59)))</f>
        <v>401.7922399764704</v>
      </c>
      <c r="BZ60" s="14">
        <f>BY60*VLOOKUP('Données projet'!$B$12,Paramètres!$A$1:$I$88,3,0)*VLOOKUP('Données projet'!$B$12,Paramètres!$A$1:$I$88,5,0)</f>
        <v>188.03876830898815</v>
      </c>
      <c r="CA60" s="14">
        <f t="shared" si="39"/>
        <v>47.106090876037165</v>
      </c>
      <c r="CB60" s="22">
        <f t="shared" si="10"/>
        <v>409.5439630805858</v>
      </c>
      <c r="CC60" s="62">
        <f t="shared" si="11"/>
        <v>692.73528842912242</v>
      </c>
      <c r="CD60" s="62">
        <f ca="1">AVERAGE(OFFSET($CC$3,0,0,'Données projet'!$E$12+1,1))-AVERAGE(OFFSET($H$3,0,0,'Données projet'!$E$12+1,1))</f>
        <v>163.77317062597106</v>
      </c>
      <c r="CE60" s="62">
        <f t="shared" si="40"/>
        <v>122.66073843071686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3.9203439935852447</v>
      </c>
      <c r="CL60" s="23">
        <f>EXP(-LN(2)/25)*CL59+(1-EXP(-LN(2)/25))/(LN(2)/25)*Calculateur!CG60*Calculateur!CI60*VLOOKUP('Données projet'!$B$12,Paramètres!$A$1:$I$88,3,0)*0.475*44/12</f>
        <v>6.7354622309825167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10.655806224567762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-1.1368683772161603E-13</v>
      </c>
      <c r="CU60" s="18">
        <f>CT60*VLOOKUP('Données projet'!$B$13,Paramètres!$A$1:$I$88,3,0)*VLOOKUP('Données projet'!$B$13,Paramètres!$A$1:$I$88,5,0)</f>
        <v>-6.7984728957526396E-14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167.84261986874142</v>
      </c>
      <c r="CZ60" s="62">
        <f t="shared" si="42"/>
        <v>242.5860875239222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29.597379705100696</v>
      </c>
      <c r="DG60" s="23">
        <f>EXP(-LN(2)/25)*DG59+(1-EXP(-LN(2)/25))/(LN(2)/25)*Calculateur!DB60*Calculateur!DD60*VLOOKUP('Données projet'!$B$13,Paramètres!$A$1:$I$88,3,0)*0.475*44/12</f>
        <v>48.120591089633393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77.717970794734086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1.5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5.5</v>
      </c>
      <c r="H61" s="70">
        <f t="shared" si="1"/>
        <v>234.66666666666666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7.625</v>
      </c>
      <c r="N61" s="14">
        <f>IF('Données projet'!$A$36&gt;35,N60+M61-V60,IF(A61&lt;'Données projet'!$A$36,$K$205^A61,IF(A61='Données projet'!$A$36,'Données projet'!$B$36,N60+M61-V60)))</f>
        <v>162.50000000000003</v>
      </c>
      <c r="O61" s="14">
        <f>N61*VLOOKUP('Données projet'!$B$9,Paramètres!$A$1:$I$88,3,0)*VLOOKUP('Données projet'!$B$9,Paramètres!$A$1:$I$88,5,0)</f>
        <v>147.03000000000003</v>
      </c>
      <c r="P61" s="14">
        <f t="shared" si="33"/>
        <v>37.90285889427615</v>
      </c>
      <c r="Q61" s="22">
        <f t="shared" si="53"/>
        <v>322.09139590753102</v>
      </c>
      <c r="R61" s="62">
        <f t="shared" si="0"/>
        <v>605.45866242047077</v>
      </c>
      <c r="S61" s="62">
        <f ca="1">AVERAGE(OFFSET($R$3,0,0,'Données projet'!$E$9+1,1))-AVERAGE(OFFSET($H$3,0,0,'Données projet'!$E$9+1,1))</f>
        <v>387.16864229348823</v>
      </c>
      <c r="T61" s="62">
        <f t="shared" si="34"/>
        <v>260.88002342542893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11.888569865439361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11.888569865439361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projet'!$B$10,Paramètres!$A$1:$I$88,3,0)*VLOOKUP('Données projet'!$B$10,Paramètres!$A$1:$I$88,5,0)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283.36726651294089</v>
      </c>
      <c r="AN61" s="62">
        <f ca="1">AVERAGE(OFFSET($AM$3,0,0,'Données projet'!$E$10+1,1))-AVERAGE(OFFSET($H$3,0,0,'Données projet'!$E$10+1,1))</f>
        <v>197.84745001458262</v>
      </c>
      <c r="AO61" s="62">
        <f t="shared" si="36"/>
        <v>290.24283321060068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35.28400999953778</v>
      </c>
      <c r="AV61" s="23">
        <f>EXP(-LN(2)/25)*AV60+(1-EXP(-LN(2)/25))/(LN(2)/25)*Calculateur!AQ61*Calculateur!AS61*VLOOKUP('Données projet'!$B$10,Paramètres!$A$1:$I$88,3,0)*0.475*44/12</f>
        <v>57.868183999070204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93.152193998607984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440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439.99999999999994</v>
      </c>
      <c r="BE61" s="14">
        <f>BD61*VLOOKUP('Données projet'!$B$11,Paramètres!$A$1:$I$88,3,0)*VLOOKUP('Données projet'!$B$11,Paramètres!$A$1:$I$88,5,0)</f>
        <v>263.12</v>
      </c>
      <c r="BF61" s="14">
        <f t="shared" si="37"/>
        <v>63.386973458752003</v>
      </c>
      <c r="BG61" s="22">
        <f t="shared" si="7"/>
        <v>568.66631210732646</v>
      </c>
      <c r="BH61" s="62">
        <f t="shared" si="8"/>
        <v>852.03357862026633</v>
      </c>
      <c r="BI61" s="62">
        <f ca="1">AVERAGE(OFFSET($BH$3,0,0,'Données projet'!$E$11+1,1))-AVERAGE(OFFSET($H$3,0,0,'Données projet'!$E$11+1,1))</f>
        <v>377.49758296179459</v>
      </c>
      <c r="BJ61" s="62">
        <f t="shared" si="38"/>
        <v>297.9972591134441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projet'!$B$11,Paramètres!$A$1:$I$88,7,0))</f>
        <v>0.315</v>
      </c>
      <c r="BN61" s="17">
        <f>IF(ISNA(VLOOKUP(A61,'Données projet'!$A$87:$I$107,6,0)),0%,VLOOKUP(A61,'Données projet'!$A$87:$I$107,6,0)*VLOOKUP('Données projet'!$B$11,Paramètres!$A$1:$I$88,7,0))</f>
        <v>0.13500000000000001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44.358972768207209</v>
      </c>
      <c r="BQ61" s="23">
        <f>EXP(-LN(2)/25)*BQ60+(1-EXP(-LN(2)/25))/(LN(2)/25)*Calculateur!BL61*Calculateur!BN61*VLOOKUP('Données projet'!$B$11,Paramètres!$A$1:$I$88,3,0)*0.475*44/12</f>
        <v>33.367355533635902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77.726328301843111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16.069245727083121</v>
      </c>
      <c r="BY61" s="13">
        <f>IF('Données projet'!$A$114&gt;35,BY60+BX61-CG60,IF(A61&lt;'Données projet'!$A$114,$BV$205^A61,IF(A61='Données projet'!$A$114,'Données projet'!$B$114,BY60+BX61-CG60)))</f>
        <v>417.86148570355351</v>
      </c>
      <c r="BZ61" s="14">
        <f>BY61*VLOOKUP('Données projet'!$B$12,Paramètres!$A$1:$I$88,3,0)*VLOOKUP('Données projet'!$B$12,Paramètres!$A$1:$I$88,5,0)</f>
        <v>195.55917530926305</v>
      </c>
      <c r="CA61" s="14">
        <f t="shared" si="39"/>
        <v>48.76693711124161</v>
      </c>
      <c r="CB61" s="22">
        <f t="shared" si="10"/>
        <v>425.53464579904562</v>
      </c>
      <c r="CC61" s="62">
        <f t="shared" si="11"/>
        <v>708.90191231198537</v>
      </c>
      <c r="CD61" s="62">
        <f ca="1">AVERAGE(OFFSET($CC$3,0,0,'Données projet'!$E$12+1,1))-AVERAGE(OFFSET($H$3,0,0,'Données projet'!$E$12+1,1))</f>
        <v>163.77317062597106</v>
      </c>
      <c r="CE61" s="62">
        <f t="shared" si="40"/>
        <v>122.66073843071686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3.8434684390447651</v>
      </c>
      <c r="CL61" s="23">
        <f>EXP(-LN(2)/25)*CL60+(1-EXP(-LN(2)/25))/(LN(2)/25)*Calculateur!CG61*Calculateur!CI61*VLOOKUP('Données projet'!$B$12,Paramètres!$A$1:$I$88,3,0)*0.475*44/12</f>
        <v>6.5512806620737356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10.394749101118501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-1.1368683772161603E-13</v>
      </c>
      <c r="CU61" s="18">
        <f>CT61*VLOOKUP('Données projet'!$B$13,Paramètres!$A$1:$I$88,3,0)*VLOOKUP('Données projet'!$B$13,Paramètres!$A$1:$I$88,5,0)</f>
        <v>-6.7984728957526396E-14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167.84261986874142</v>
      </c>
      <c r="CZ61" s="62">
        <f t="shared" si="42"/>
        <v>242.5860875239222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29.016993141702745</v>
      </c>
      <c r="DG61" s="23">
        <f>EXP(-LN(2)/25)*DG60+(1-EXP(-LN(2)/25))/(LN(2)/25)*Calculateur!DB61*Calculateur!DD61*VLOOKUP('Données projet'!$B$13,Paramètres!$A$1:$I$88,3,0)*0.475*44/12</f>
        <v>46.804730995735461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75.82172413743821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1.5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5.5</v>
      </c>
      <c r="H62" s="70">
        <f t="shared" si="1"/>
        <v>234.66666666666666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7.625</v>
      </c>
      <c r="N62" s="14">
        <f>IF('Données projet'!$A$36&gt;35,N61+M62-V61,IF(A62&lt;'Données projet'!$A$36,$K$205^A62,IF(A62='Données projet'!$A$36,'Données projet'!$B$36,N61+M62-V61)))</f>
        <v>170.12500000000003</v>
      </c>
      <c r="O62" s="14">
        <f>N62*VLOOKUP('Données projet'!$B$9,Paramètres!$A$1:$I$88,3,0)*VLOOKUP('Données projet'!$B$9,Paramètres!$A$1:$I$88,5,0)</f>
        <v>153.92910000000003</v>
      </c>
      <c r="P62" s="14">
        <f t="shared" si="33"/>
        <v>39.470139561672248</v>
      </c>
      <c r="Q62" s="22">
        <f t="shared" si="53"/>
        <v>336.83700890324593</v>
      </c>
      <c r="R62" s="62">
        <f t="shared" si="0"/>
        <v>620.37716439473206</v>
      </c>
      <c r="S62" s="62">
        <f ca="1">AVERAGE(OFFSET($R$3,0,0,'Données projet'!$E$9+1,1))-AVERAGE(OFFSET($H$3,0,0,'Données projet'!$E$9+1,1))</f>
        <v>387.16864229348823</v>
      </c>
      <c r="T62" s="62">
        <f t="shared" si="34"/>
        <v>260.88002342542893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11.655442261689705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11.655442261689705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projet'!$B$10,Paramètres!$A$1:$I$88,3,0)*VLOOKUP('Données projet'!$B$10,Paramètres!$A$1:$I$88,5,0)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283.54015549148721</v>
      </c>
      <c r="AN62" s="62">
        <f ca="1">AVERAGE(OFFSET($AM$3,0,0,'Données projet'!$E$10+1,1))-AVERAGE(OFFSET($H$3,0,0,'Données projet'!$E$10+1,1))</f>
        <v>197.84745001458262</v>
      </c>
      <c r="AO62" s="62">
        <f t="shared" si="36"/>
        <v>290.24283321060068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34.592112084567908</v>
      </c>
      <c r="AV62" s="23">
        <f>EXP(-LN(2)/25)*AV61+(1-EXP(-LN(2)/25))/(LN(2)/25)*Calculateur!AQ62*Calculateur!AS62*VLOOKUP('Données projet'!$B$10,Paramètres!$A$1:$I$88,3,0)*0.475*44/12</f>
        <v>56.285775464460094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90.877887549028003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378.62499999999994</v>
      </c>
      <c r="BE62" s="14">
        <f>BD62*VLOOKUP('Données projet'!$B$11,Paramètres!$A$1:$I$88,3,0)*VLOOKUP('Données projet'!$B$11,Paramètres!$A$1:$I$88,5,0)</f>
        <v>226.41774999999998</v>
      </c>
      <c r="BF62" s="14">
        <f t="shared" si="37"/>
        <v>55.507409107649494</v>
      </c>
      <c r="BG62" s="22">
        <f t="shared" si="7"/>
        <v>491.0196521124895</v>
      </c>
      <c r="BH62" s="62">
        <f t="shared" si="8"/>
        <v>774.55980760397563</v>
      </c>
      <c r="BI62" s="62">
        <f ca="1">AVERAGE(OFFSET($BH$3,0,0,'Données projet'!$E$11+1,1))-AVERAGE(OFFSET($H$3,0,0,'Données projet'!$E$11+1,1))</f>
        <v>377.49758296179459</v>
      </c>
      <c r="BJ62" s="62">
        <f t="shared" si="38"/>
        <v>297.9972591134441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43.489120368524468</v>
      </c>
      <c r="BQ62" s="23">
        <f>EXP(-LN(2)/25)*BQ61+(1-EXP(-LN(2)/25))/(LN(2)/25)*Calculateur!BL62*Calculateur!BN62*VLOOKUP('Données projet'!$B$11,Paramètres!$A$1:$I$88,3,0)*0.475*44/12</f>
        <v>32.454923441855662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75.944043810380123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16.069245727083121</v>
      </c>
      <c r="BY62" s="13">
        <f>IF('Données projet'!$A$114&gt;35,BY61+BX62-CG61,IF(A62&lt;'Données projet'!$A$114,$BV$205^A62,IF(A62='Données projet'!$A$114,'Données projet'!$B$114,BY61+BX62-CG61)))</f>
        <v>433.93073143063663</v>
      </c>
      <c r="BZ62" s="14">
        <f>BY62*VLOOKUP('Données projet'!$B$12,Paramètres!$A$1:$I$88,3,0)*VLOOKUP('Données projet'!$B$12,Paramètres!$A$1:$I$88,5,0)</f>
        <v>203.07958230953793</v>
      </c>
      <c r="CA62" s="14">
        <f t="shared" si="39"/>
        <v>50.420363635562353</v>
      </c>
      <c r="CB62" s="22">
        <f t="shared" si="10"/>
        <v>441.51240585438296</v>
      </c>
      <c r="CC62" s="62">
        <f t="shared" si="11"/>
        <v>725.05256134586909</v>
      </c>
      <c r="CD62" s="62">
        <f ca="1">AVERAGE(OFFSET($CC$3,0,0,'Données projet'!$E$12+1,1))-AVERAGE(OFFSET($H$3,0,0,'Données projet'!$E$12+1,1))</f>
        <v>163.77317062597106</v>
      </c>
      <c r="CE62" s="62">
        <f t="shared" si="40"/>
        <v>122.66073843071686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3.768100367239366</v>
      </c>
      <c r="CL62" s="23">
        <f>EXP(-LN(2)/25)*CL61+(1-EXP(-LN(2)/25))/(LN(2)/25)*Calculateur!CG62*Calculateur!CI62*VLOOKUP('Données projet'!$B$12,Paramètres!$A$1:$I$88,3,0)*0.475*44/12</f>
        <v>6.3721355478524524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10.140235915091818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-1.1368683772161603E-13</v>
      </c>
      <c r="CU62" s="18">
        <f>CT62*VLOOKUP('Données projet'!$B$13,Paramètres!$A$1:$I$88,3,0)*VLOOKUP('Données projet'!$B$13,Paramètres!$A$1:$I$88,5,0)</f>
        <v>-6.7984728957526396E-14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167.84261986874142</v>
      </c>
      <c r="CZ62" s="62">
        <f t="shared" si="42"/>
        <v>242.5860875239222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28.447987604812177</v>
      </c>
      <c r="DG62" s="23">
        <f>EXP(-LN(2)/25)*DG61+(1-EXP(-LN(2)/25))/(LN(2)/25)*Calculateur!DB62*Calculateur!DD62*VLOOKUP('Données projet'!$B$13,Paramètres!$A$1:$I$88,3,0)*0.475*44/12</f>
        <v>45.524853165303249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73.972840770115425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1.5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5.5</v>
      </c>
      <c r="H63" s="70">
        <f t="shared" si="1"/>
        <v>234.66666666666666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7.625</v>
      </c>
      <c r="N63" s="14">
        <f>IF('Données projet'!$A$36&gt;35,N62+M63-V62,IF(A63&lt;'Données projet'!$A$36,$K$205^A63,IF(A63='Données projet'!$A$36,'Données projet'!$B$36,N62+M63-V62)))</f>
        <v>177.75000000000003</v>
      </c>
      <c r="O63" s="14">
        <f>N63*VLOOKUP('Données projet'!$B$9,Paramètres!$A$1:$I$88,3,0)*VLOOKUP('Données projet'!$B$9,Paramètres!$A$1:$I$88,5,0)</f>
        <v>160.82820000000004</v>
      </c>
      <c r="P63" s="14">
        <f t="shared" si="33"/>
        <v>41.029262060786046</v>
      </c>
      <c r="Q63" s="22">
        <f t="shared" si="53"/>
        <v>351.56841308920235</v>
      </c>
      <c r="R63" s="62">
        <f t="shared" si="0"/>
        <v>635.27845832197886</v>
      </c>
      <c r="S63" s="62">
        <f ca="1">AVERAGE(OFFSET($R$3,0,0,'Données projet'!$E$9+1,1))-AVERAGE(OFFSET($H$3,0,0,'Données projet'!$E$9+1,1))</f>
        <v>387.16864229348823</v>
      </c>
      <c r="T63" s="62">
        <f t="shared" si="34"/>
        <v>260.88002342542893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11.426886148055782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11.426886148055782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projet'!$B$10,Paramètres!$A$1:$I$88,3,0)*VLOOKUP('Données projet'!$B$10,Paramètres!$A$1:$I$88,5,0)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283.71004523277765</v>
      </c>
      <c r="AN63" s="62">
        <f ca="1">AVERAGE(OFFSET($AM$3,0,0,'Données projet'!$E$10+1,1))-AVERAGE(OFFSET($H$3,0,0,'Données projet'!$E$10+1,1))</f>
        <v>197.84745001458262</v>
      </c>
      <c r="AO63" s="62">
        <f t="shared" si="36"/>
        <v>290.24283321060068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33.913781865694538</v>
      </c>
      <c r="AV63" s="23">
        <f>EXP(-LN(2)/25)*AV62+(1-EXP(-LN(2)/25))/(LN(2)/25)*Calculateur!AQ63*Calculateur!AS63*VLOOKUP('Données projet'!$B$10,Paramètres!$A$1:$I$88,3,0)*0.475*44/12</f>
        <v>54.746637974444141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88.660419840138672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395.24999999999994</v>
      </c>
      <c r="BE63" s="14">
        <f>BD63*VLOOKUP('Données projet'!$B$11,Paramètres!$A$1:$I$88,3,0)*VLOOKUP('Données projet'!$B$11,Paramètres!$A$1:$I$88,5,0)</f>
        <v>236.35949999999997</v>
      </c>
      <c r="BF63" s="14">
        <f t="shared" si="37"/>
        <v>57.655563749416167</v>
      </c>
      <c r="BG63" s="22">
        <f t="shared" si="7"/>
        <v>512.07623603023308</v>
      </c>
      <c r="BH63" s="62">
        <f t="shared" si="8"/>
        <v>795.78628126300964</v>
      </c>
      <c r="BI63" s="62">
        <f ca="1">AVERAGE(OFFSET($BH$3,0,0,'Données projet'!$E$11+1,1))-AVERAGE(OFFSET($H$3,0,0,'Données projet'!$E$11+1,1))</f>
        <v>377.49758296179459</v>
      </c>
      <c r="BJ63" s="62">
        <f t="shared" si="38"/>
        <v>297.9972591134441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42.636325243841931</v>
      </c>
      <c r="BQ63" s="23">
        <f>EXP(-LN(2)/25)*BQ62+(1-EXP(-LN(2)/25))/(LN(2)/25)*Calculateur!BL63*Calculateur!BN63*VLOOKUP('Données projet'!$B$11,Paramètres!$A$1:$I$88,3,0)*0.475*44/12</f>
        <v>31.567441853607871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74.203767097449798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449.99997715771997</v>
      </c>
      <c r="BW63" s="13">
        <f>VLOOKUP(A63,'Données projet'!$A$113:$I$133,9,0)</f>
        <v>16.069245727083121</v>
      </c>
      <c r="BX63" s="13">
        <f t="array" ref="BX63">INDEX(BW:BW,MIN(IF(ISNUMBER(BW63:BW259),ROW(BW63:BW259),"")))</f>
        <v>16.069245727083121</v>
      </c>
      <c r="BY63" s="13">
        <f>IF('Données projet'!$A$114&gt;35,BY62+BX63-CG62,IF(A63&lt;'Données projet'!$A$114,$BV$205^A63,IF(A63='Données projet'!$A$114,'Données projet'!$B$114,BY62+BX63-CG62)))</f>
        <v>449.99997715771974</v>
      </c>
      <c r="BZ63" s="14">
        <f>BY63*VLOOKUP('Données projet'!$B$12,Paramètres!$A$1:$I$88,3,0)*VLOOKUP('Données projet'!$B$12,Paramètres!$A$1:$I$88,5,0)</f>
        <v>210.59998930981283</v>
      </c>
      <c r="CA63" s="14">
        <f t="shared" si="39"/>
        <v>52.066676679360775</v>
      </c>
      <c r="CB63" s="22">
        <f t="shared" si="10"/>
        <v>457.47777659781076</v>
      </c>
      <c r="CC63" s="62">
        <f t="shared" si="11"/>
        <v>741.18782183058738</v>
      </c>
      <c r="CD63" s="62">
        <f ca="1">AVERAGE(OFFSET($CC$3,0,0,'Données projet'!$E$12+1,1))-AVERAGE(OFFSET($H$3,0,0,'Données projet'!$E$12+1,1))</f>
        <v>163.77317062597106</v>
      </c>
      <c r="CE63" s="62">
        <f t="shared" si="40"/>
        <v>122.66073843071686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449.99997715771997</v>
      </c>
      <c r="CH63" s="17">
        <f>IF(ISNA(VLOOKUP(A63,'Données projet'!$A$113:$I$133,5,0)),0%,VLOOKUP(A63,'Données projet'!$A$113:$I$133,5,0)*VLOOKUP('Données projet'!$B$12,Paramètres!$A$1:$I$88,7,0))</f>
        <v>0.38500000000000001</v>
      </c>
      <c r="CI63" s="17">
        <f>IF(ISNA(VLOOKUP(A63,'Données projet'!$A$113:$I$133,6,0)),0%,VLOOKUP(A63,'Données projet'!$A$113:$I$133,6,0)*VLOOKUP('Données projet'!$B$12,Paramètres!$A$1:$I$88,7,0))</f>
        <v>0.16500000000000001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111.25337736907491</v>
      </c>
      <c r="CL63" s="23">
        <f>EXP(-LN(2)/25)*CL62+(1-EXP(-LN(2)/25))/(LN(2)/25)*Calculateur!CG63*Calculateur!CI63*VLOOKUP('Données projet'!$B$12,Paramètres!$A$1:$I$88,3,0)*0.475*44/12</f>
        <v>52.113174477939282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163.36655184701419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-1.1368683772161603E-13</v>
      </c>
      <c r="CU63" s="18">
        <f>CT63*VLOOKUP('Données projet'!$B$13,Paramètres!$A$1:$I$88,3,0)*VLOOKUP('Données projet'!$B$13,Paramètres!$A$1:$I$88,5,0)</f>
        <v>-6.7984728957526396E-14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167.84261986874142</v>
      </c>
      <c r="CZ63" s="62">
        <f t="shared" si="42"/>
        <v>242.5860875239222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27.890139919440923</v>
      </c>
      <c r="DG63" s="23">
        <f>EXP(-LN(2)/25)*DG62+(1-EXP(-LN(2)/25))/(LN(2)/25)*Calculateur!DB63*Calculateur!DD63*VLOOKUP('Données projet'!$B$13,Paramètres!$A$1:$I$88,3,0)*0.475*44/12</f>
        <v>44.27997366145005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72.17011358089097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1.5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5.5</v>
      </c>
      <c r="H64" s="70">
        <f t="shared" si="1"/>
        <v>234.66666666666666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7.625</v>
      </c>
      <c r="N64" s="14">
        <f>IF('Données projet'!$A$36&gt;35,N63+M64-V63,IF(A64&lt;'Données projet'!$A$36,$K$205^A64,IF(A64='Données projet'!$A$36,'Données projet'!$B$36,N63+M64-V63)))</f>
        <v>185.37500000000003</v>
      </c>
      <c r="O64" s="14">
        <f>N64*VLOOKUP('Données projet'!$B$9,Paramètres!$A$1:$I$88,3,0)*VLOOKUP('Données projet'!$B$9,Paramètres!$A$1:$I$88,5,0)</f>
        <v>167.72730000000001</v>
      </c>
      <c r="P64" s="14">
        <f t="shared" si="33"/>
        <v>42.58061636127843</v>
      </c>
      <c r="Q64" s="22">
        <f t="shared" si="53"/>
        <v>366.28628766255997</v>
      </c>
      <c r="R64" s="62">
        <f t="shared" si="0"/>
        <v>650.16327542943213</v>
      </c>
      <c r="S64" s="62">
        <f ca="1">AVERAGE(OFFSET($R$3,0,0,'Données projet'!$E$9+1,1))-AVERAGE(OFFSET($H$3,0,0,'Données projet'!$E$9+1,1))</f>
        <v>387.16864229348823</v>
      </c>
      <c r="T64" s="62">
        <f t="shared" si="34"/>
        <v>260.88002342542893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11.202811880404758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11.202811880404758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projet'!$B$10,Paramètres!$A$1:$I$88,3,0)*VLOOKUP('Données projet'!$B$10,Paramètres!$A$1:$I$88,5,0)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283.87698776687319</v>
      </c>
      <c r="AN64" s="62">
        <f ca="1">AVERAGE(OFFSET($AM$3,0,0,'Données projet'!$E$10+1,1))-AVERAGE(OFFSET($H$3,0,0,'Données projet'!$E$10+1,1))</f>
        <v>197.84745001458262</v>
      </c>
      <c r="AO64" s="62">
        <f t="shared" si="36"/>
        <v>290.24283321060068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33.248753288672695</v>
      </c>
      <c r="AV64" s="23">
        <f>EXP(-LN(2)/25)*AV63+(1-EXP(-LN(2)/25))/(LN(2)/25)*Calculateur!AQ64*Calculateur!AS64*VLOOKUP('Données projet'!$B$10,Paramètres!$A$1:$I$88,3,0)*0.475*44/12</f>
        <v>53.249588280032398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86.498341568705087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411.87499999999994</v>
      </c>
      <c r="BE64" s="14">
        <f>BD64*VLOOKUP('Données projet'!$B$11,Paramètres!$A$1:$I$88,3,0)*VLOOKUP('Données projet'!$B$11,Paramètres!$A$1:$I$88,5,0)</f>
        <v>246.30124999999998</v>
      </c>
      <c r="BF64" s="14">
        <f t="shared" si="37"/>
        <v>59.793223430016852</v>
      </c>
      <c r="BG64" s="22">
        <f t="shared" si="7"/>
        <v>533.11454122394582</v>
      </c>
      <c r="BH64" s="62">
        <f t="shared" si="8"/>
        <v>816.99152899081787</v>
      </c>
      <c r="BI64" s="62">
        <f ca="1">AVERAGE(OFFSET($BH$3,0,0,'Données projet'!$E$11+1,1))-AVERAGE(OFFSET($H$3,0,0,'Données projet'!$E$11+1,1))</f>
        <v>377.49758296179459</v>
      </c>
      <c r="BJ64" s="62">
        <f t="shared" si="38"/>
        <v>297.9972591134441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41.800252911400747</v>
      </c>
      <c r="BQ64" s="23">
        <f>EXP(-LN(2)/25)*BQ63+(1-EXP(-LN(2)/25))/(LN(2)/25)*Calculateur!BL64*Calculateur!BN64*VLOOKUP('Données projet'!$B$11,Paramètres!$A$1:$I$88,3,0)*0.475*44/12</f>
        <v>30.704228496061344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72.504481407462094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-2.2737367544323206E-13</v>
      </c>
      <c r="BZ64" s="14">
        <f>BY64*VLOOKUP('Données projet'!$B$12,Paramètres!$A$1:$I$88,3,0)*VLOOKUP('Données projet'!$B$12,Paramètres!$A$1:$I$88,5,0)</f>
        <v>-1.064108801074326E-13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163.77317062597106</v>
      </c>
      <c r="CE64" s="62">
        <f t="shared" si="40"/>
        <v>122.66073843071686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109.07176649672714</v>
      </c>
      <c r="CL64" s="23">
        <f>EXP(-LN(2)/25)*CL63+(1-EXP(-LN(2)/25))/(LN(2)/25)*Calculateur!CG64*Calculateur!CI64*VLOOKUP('Données projet'!$B$12,Paramètres!$A$1:$I$88,3,0)*0.475*44/12</f>
        <v>50.68813698132729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159.75990347805441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-1.1368683772161603E-13</v>
      </c>
      <c r="CU64" s="18">
        <f>CT64*VLOOKUP('Données projet'!$B$13,Paramètres!$A$1:$I$88,3,0)*VLOOKUP('Données projet'!$B$13,Paramètres!$A$1:$I$88,5,0)</f>
        <v>-6.7984728957526396E-14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167.84261986874142</v>
      </c>
      <c r="CZ64" s="62">
        <f t="shared" si="42"/>
        <v>242.5860875239222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27.343231286926311</v>
      </c>
      <c r="DG64" s="23">
        <f>EXP(-LN(2)/25)*DG63+(1-EXP(-LN(2)/25))/(LN(2)/25)*Calculateur!DB64*Calculateur!DD64*VLOOKUP('Données projet'!$B$13,Paramètres!$A$1:$I$88,3,0)*0.475*44/12</f>
        <v>43.069135453095086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70.412366740021398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1.5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5.5</v>
      </c>
      <c r="H65" s="70">
        <f t="shared" si="1"/>
        <v>234.66666666666666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193</v>
      </c>
      <c r="L65" s="13">
        <f>VLOOKUP(A65,'Données projet'!$A$35:$I$55,9,0)</f>
        <v>7.625</v>
      </c>
      <c r="M65" s="13">
        <f t="array" ref="M65">INDEX(L:L,MIN(IF(ISNUMBER(L65:L261),ROW(L65:L261),"")))</f>
        <v>7.625</v>
      </c>
      <c r="N65" s="14">
        <f>IF('Données projet'!$A$36&gt;35,N64+M65-V64,IF(A65&lt;'Données projet'!$A$36,$K$205^A65,IF(A65='Données projet'!$A$36,'Données projet'!$B$36,N64+M65-V64)))</f>
        <v>193.00000000000003</v>
      </c>
      <c r="O65" s="14">
        <f>N65*VLOOKUP('Données projet'!$B$9,Paramètres!$A$1:$I$88,3,0)*VLOOKUP('Données projet'!$B$9,Paramètres!$A$1:$I$88,5,0)</f>
        <v>174.62640000000002</v>
      </c>
      <c r="P65" s="14">
        <f t="shared" si="33"/>
        <v>44.124558536403974</v>
      </c>
      <c r="Q65" s="22">
        <f t="shared" si="53"/>
        <v>380.99125278423691</v>
      </c>
      <c r="R65" s="62">
        <f t="shared" si="0"/>
        <v>665.03228700546561</v>
      </c>
      <c r="S65" s="62">
        <f ca="1">AVERAGE(OFFSET($R$3,0,0,'Données projet'!$E$9+1,1))-AVERAGE(OFFSET($H$3,0,0,'Données projet'!$E$9+1,1))</f>
        <v>387.16864229348823</v>
      </c>
      <c r="T65" s="62">
        <f t="shared" si="34"/>
        <v>260.88002342542893</v>
      </c>
      <c r="U65" s="16">
        <f>IF(ISNA(VLOOKUP(A65,'Données projet'!$A$35:$I$55,3,0)),0,VLOOKUP(A65,'Données projet'!$A$35:$I$55,3,0))</f>
        <v>5</v>
      </c>
      <c r="V65" s="16">
        <f>IF(ISNA(VLOOKUP(A65,'Données projet'!$A$35:$I$55,4,0)),0,VLOOKUP(A65,'Données projet'!$A$35:$I$55,4,0))</f>
        <v>39</v>
      </c>
      <c r="W65" s="17">
        <f>IF(ISNA(VLOOKUP(A65,'Données projet'!$A$35:$I$55,5,0)),0%,VLOOKUP(A65,'Données projet'!$A$35:$I$55,5,0)*VLOOKUP('Données projet'!$B$9,Paramètres!$A$1:$I$88,7,0))</f>
        <v>0.25800000000000001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21.047441801647579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21.047441801647579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projet'!$B$10,Paramètres!$A$1:$I$88,3,0)*VLOOKUP('Données projet'!$B$10,Paramètres!$A$1:$I$88,5,0)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284.04103422122984</v>
      </c>
      <c r="AN65" s="62">
        <f ca="1">AVERAGE(OFFSET($AM$3,0,0,'Données projet'!$E$10+1,1))-AVERAGE(OFFSET($H$3,0,0,'Données projet'!$E$10+1,1))</f>
        <v>197.84745001458262</v>
      </c>
      <c r="AO65" s="62">
        <f t="shared" si="36"/>
        <v>290.24283321060068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32.59676551641887</v>
      </c>
      <c r="AV65" s="23">
        <f>EXP(-LN(2)/25)*AV64+(1-EXP(-LN(2)/25))/(LN(2)/25)*Calculateur!AQ65*Calculateur!AS65*VLOOKUP('Données projet'!$B$10,Paramètres!$A$1:$I$88,3,0)*0.475*44/12</f>
        <v>51.793475488240766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84.390241004659629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428.49999999999994</v>
      </c>
      <c r="BE65" s="14">
        <f>BD65*VLOOKUP('Données projet'!$B$11,Paramètres!$A$1:$I$88,3,0)*VLOOKUP('Données projet'!$B$11,Paramètres!$A$1:$I$88,5,0)</f>
        <v>256.24299999999999</v>
      </c>
      <c r="BF65" s="14">
        <f t="shared" si="37"/>
        <v>61.920860231490025</v>
      </c>
      <c r="BG65" s="22">
        <f t="shared" si="7"/>
        <v>554.13538990317852</v>
      </c>
      <c r="BH65" s="62">
        <f t="shared" si="8"/>
        <v>838.17642412440728</v>
      </c>
      <c r="BI65" s="62">
        <f ca="1">AVERAGE(OFFSET($BH$3,0,0,'Données projet'!$E$11+1,1))-AVERAGE(OFFSET($H$3,0,0,'Données projet'!$E$11+1,1))</f>
        <v>377.49758296179459</v>
      </c>
      <c r="BJ65" s="62">
        <f t="shared" si="38"/>
        <v>297.9972591134441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40.98057544744497</v>
      </c>
      <c r="BQ65" s="23">
        <f>EXP(-LN(2)/25)*BQ64+(1-EXP(-LN(2)/25))/(LN(2)/25)*Calculateur!BL65*Calculateur!BN65*VLOOKUP('Données projet'!$B$11,Paramètres!$A$1:$I$88,3,0)*0.475*44/12</f>
        <v>29.864619753171343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70.845195200616317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-2.2737367544323206E-13</v>
      </c>
      <c r="BZ65" s="14">
        <f>BY65*VLOOKUP('Données projet'!$B$12,Paramètres!$A$1:$I$88,3,0)*VLOOKUP('Données projet'!$B$12,Paramètres!$A$1:$I$88,5,0)</f>
        <v>-1.064108801074326E-13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163.77317062597106</v>
      </c>
      <c r="CE65" s="62">
        <f t="shared" si="40"/>
        <v>122.66073843071686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106.93293568293487</v>
      </c>
      <c r="CL65" s="23">
        <f>EXP(-LN(2)/25)*CL64+(1-EXP(-LN(2)/25))/(LN(2)/25)*Calculateur!CG65*Calculateur!CI65*VLOOKUP('Données projet'!$B$12,Paramètres!$A$1:$I$88,3,0)*0.475*44/12</f>
        <v>49.30206720999962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156.23500289293449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-1.1368683772161603E-13</v>
      </c>
      <c r="CU65" s="18">
        <f>CT65*VLOOKUP('Données projet'!$B$13,Paramètres!$A$1:$I$88,3,0)*VLOOKUP('Données projet'!$B$13,Paramètres!$A$1:$I$88,5,0)</f>
        <v>-6.7984728957526396E-14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167.84261986874142</v>
      </c>
      <c r="CZ65" s="62">
        <f t="shared" si="42"/>
        <v>242.5860875239222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26.807047199113985</v>
      </c>
      <c r="DG65" s="23">
        <f>EXP(-LN(2)/25)*DG64+(1-EXP(-LN(2)/25))/(LN(2)/25)*Calculateur!DB65*Calculateur!DD65*VLOOKUP('Données projet'!$B$13,Paramètres!$A$1:$I$88,3,0)*0.475*44/12</f>
        <v>41.891407679222802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68.69845487833679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1.5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5.5</v>
      </c>
      <c r="H66" s="70">
        <f t="shared" si="1"/>
        <v>234.66666666666666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8.25</v>
      </c>
      <c r="N66" s="14">
        <f>IF('Données projet'!$A$36&gt;35,N65+M66-V65,IF(A66&lt;'Données projet'!$A$36,$K$205^A66,IF(A66='Données projet'!$A$36,'Données projet'!$B$36,N65+M66-V65)))</f>
        <v>162.25000000000003</v>
      </c>
      <c r="O66" s="14">
        <f>N66*VLOOKUP('Données projet'!$B$9,Paramètres!$A$1:$I$88,3,0)*VLOOKUP('Données projet'!$B$9,Paramètres!$A$1:$I$88,5,0)</f>
        <v>146.80380000000002</v>
      </c>
      <c r="P66" s="14">
        <f t="shared" si="33"/>
        <v>37.851329714942644</v>
      </c>
      <c r="Q66" s="22">
        <f t="shared" si="53"/>
        <v>321.60768425352512</v>
      </c>
      <c r="R66" s="62">
        <f t="shared" si="0"/>
        <v>605.80991908988028</v>
      </c>
      <c r="S66" s="62">
        <f ca="1">AVERAGE(OFFSET($R$3,0,0,'Données projet'!$E$9+1,1))-AVERAGE(OFFSET($H$3,0,0,'Données projet'!$E$9+1,1))</f>
        <v>387.16864229348823</v>
      </c>
      <c r="T66" s="62">
        <f t="shared" si="34"/>
        <v>260.88002342542893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20.634714305589156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20.634714305589156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projet'!$B$10,Paramètres!$A$1:$I$88,3,0)*VLOOKUP('Données projet'!$B$10,Paramètres!$A$1:$I$88,5,0)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284.20223483635624</v>
      </c>
      <c r="AN66" s="62">
        <f ca="1">AVERAGE(OFFSET($AM$3,0,0,'Données projet'!$E$10+1,1))-AVERAGE(OFFSET($H$3,0,0,'Données projet'!$E$10+1,1))</f>
        <v>197.84745001458262</v>
      </c>
      <c r="AO66" s="62">
        <f t="shared" si="36"/>
        <v>290.24283321060068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31.957562826705669</v>
      </c>
      <c r="AV66" s="23">
        <f>EXP(-LN(2)/25)*AV65+(1-EXP(-LN(2)/25))/(LN(2)/25)*Calculateur!AQ66*Calculateur!AS66*VLOOKUP('Données projet'!$B$10,Paramètres!$A$1:$I$88,3,0)*0.475*44/12</f>
        <v>50.377180177314322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82.334743004019998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445.12499999999994</v>
      </c>
      <c r="BE66" s="14">
        <f>BD66*VLOOKUP('Données projet'!$B$11,Paramètres!$A$1:$I$88,3,0)*VLOOKUP('Données projet'!$B$11,Paramètres!$A$1:$I$88,5,0)</f>
        <v>266.18475000000001</v>
      </c>
      <c r="BF66" s="14">
        <f t="shared" si="37"/>
        <v>64.038907529798962</v>
      </c>
      <c r="BG66" s="22">
        <f t="shared" si="7"/>
        <v>575.13953686439993</v>
      </c>
      <c r="BH66" s="62">
        <f t="shared" si="8"/>
        <v>859.34177170075509</v>
      </c>
      <c r="BI66" s="62">
        <f ca="1">AVERAGE(OFFSET($BH$3,0,0,'Données projet'!$E$11+1,1))-AVERAGE(OFFSET($H$3,0,0,'Données projet'!$E$11+1,1))</f>
        <v>377.49758296179459</v>
      </c>
      <c r="BJ66" s="62">
        <f t="shared" si="38"/>
        <v>297.9972591134441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40.176971358603481</v>
      </c>
      <c r="BQ66" s="23">
        <f>EXP(-LN(2)/25)*BQ65+(1-EXP(-LN(2)/25))/(LN(2)/25)*Calculateur!BL66*Calculateur!BN66*VLOOKUP('Données projet'!$B$11,Paramètres!$A$1:$I$88,3,0)*0.475*44/12</f>
        <v>29.047970155508775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69.22494151411226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-2.2737367544323206E-13</v>
      </c>
      <c r="BZ66" s="14">
        <f>BY66*VLOOKUP('Données projet'!$B$12,Paramètres!$A$1:$I$88,3,0)*VLOOKUP('Données projet'!$B$12,Paramètres!$A$1:$I$88,5,0)</f>
        <v>-1.064108801074326E-13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163.77317062597106</v>
      </c>
      <c r="CE66" s="62">
        <f t="shared" si="40"/>
        <v>122.66073843071686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104.83604603684309</v>
      </c>
      <c r="CL66" s="23">
        <f>EXP(-LN(2)/25)*CL65+(1-EXP(-LN(2)/25))/(LN(2)/25)*Calculateur!CG66*Calculateur!CI66*VLOOKUP('Données projet'!$B$12,Paramètres!$A$1:$I$88,3,0)*0.475*44/12</f>
        <v>47.953899589459148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152.78994562630223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-1.1368683772161603E-13</v>
      </c>
      <c r="CU66" s="18">
        <f>CT66*VLOOKUP('Données projet'!$B$13,Paramètres!$A$1:$I$88,3,0)*VLOOKUP('Données projet'!$B$13,Paramètres!$A$1:$I$88,5,0)</f>
        <v>-6.7984728957526396E-14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167.84261986874142</v>
      </c>
      <c r="CZ66" s="62">
        <f t="shared" si="42"/>
        <v>242.5860875239222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26.281377354223654</v>
      </c>
      <c r="DG66" s="23">
        <f>EXP(-LN(2)/25)*DG65+(1-EXP(-LN(2)/25))/(LN(2)/25)*Calculateur!DB66*Calculateur!DD66*VLOOKUP('Données projet'!$B$13,Paramètres!$A$1:$I$88,3,0)*0.475*44/12</f>
        <v>40.745884933261067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67.027262287484717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1.5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5.5</v>
      </c>
      <c r="H67" s="70">
        <f t="shared" si="1"/>
        <v>234.66666666666666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8.25</v>
      </c>
      <c r="N67" s="14">
        <f>IF('Données projet'!$A$36&gt;35,N66+M67-V66,IF(A67&lt;'Données projet'!$A$36,$K$205^A67,IF(A67='Données projet'!$A$36,'Données projet'!$B$36,N66+M67-V66)))</f>
        <v>170.50000000000003</v>
      </c>
      <c r="O67" s="14">
        <f>N67*VLOOKUP('Données projet'!$B$9,Paramètres!$A$1:$I$88,3,0)*VLOOKUP('Données projet'!$B$9,Paramètres!$A$1:$I$88,5,0)</f>
        <v>154.26840000000004</v>
      </c>
      <c r="P67" s="14">
        <f t="shared" si="33"/>
        <v>39.547005127064722</v>
      </c>
      <c r="Q67" s="22">
        <f t="shared" ref="Q67:Q98" si="54">(O67+P67)*0.475*44/12</f>
        <v>337.56183059630445</v>
      </c>
      <c r="R67" s="62">
        <f t="shared" ref="R67:R130" si="55">Q67+(I67+J67)*44/12</f>
        <v>621.92246957750422</v>
      </c>
      <c r="S67" s="62">
        <f ca="1">AVERAGE(OFFSET($R$3,0,0,'Données projet'!$E$9+1,1))-AVERAGE(OFFSET($H$3,0,0,'Données projet'!$E$9+1,1))</f>
        <v>387.16864229348823</v>
      </c>
      <c r="T67" s="62">
        <f t="shared" si="34"/>
        <v>260.88002342542893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20.230080143989522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20.230080143989522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projet'!$B$10,Paramètres!$A$1:$I$88,3,0)*VLOOKUP('Données projet'!$B$10,Paramètres!$A$1:$I$88,5,0)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284.36063898120085</v>
      </c>
      <c r="AN67" s="62">
        <f ca="1">AVERAGE(OFFSET($AM$3,0,0,'Données projet'!$E$10+1,1))-AVERAGE(OFFSET($H$3,0,0,'Données projet'!$E$10+1,1))</f>
        <v>197.84745001458262</v>
      </c>
      <c r="AO67" s="62">
        <f t="shared" si="36"/>
        <v>290.24283321060068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31.330894511862599</v>
      </c>
      <c r="AV67" s="23">
        <f>EXP(-LN(2)/25)*AV66+(1-EXP(-LN(2)/25))/(LN(2)/25)*Calculateur!AQ67*Calculateur!AS67*VLOOKUP('Données projet'!$B$10,Paramètres!$A$1:$I$88,3,0)*0.475*44/12</f>
        <v>48.999613536144892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80.330508048007488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461.74999999999994</v>
      </c>
      <c r="BE67" s="14">
        <f>BD67*VLOOKUP('Données projet'!$B$11,Paramètres!$A$1:$I$88,3,0)*VLOOKUP('Données projet'!$B$11,Paramètres!$A$1:$I$88,5,0)</f>
        <v>276.12649999999996</v>
      </c>
      <c r="BF67" s="14">
        <f t="shared" si="37"/>
        <v>66.147764494536574</v>
      </c>
      <c r="BG67" s="22">
        <f t="shared" si="7"/>
        <v>596.12767732798443</v>
      </c>
      <c r="BH67" s="62">
        <f t="shared" si="8"/>
        <v>880.48831630918426</v>
      </c>
      <c r="BI67" s="62">
        <f ca="1">AVERAGE(OFFSET($BH$3,0,0,'Données projet'!$E$11+1,1))-AVERAGE(OFFSET($H$3,0,0,'Données projet'!$E$11+1,1))</f>
        <v>377.49758296179459</v>
      </c>
      <c r="BJ67" s="62">
        <f t="shared" si="38"/>
        <v>297.9972591134441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39.389125455794073</v>
      </c>
      <c r="BQ67" s="23">
        <f>EXP(-LN(2)/25)*BQ66+(1-EXP(-LN(2)/25))/(LN(2)/25)*Calculateur!BL67*Calculateur!BN67*VLOOKUP('Données projet'!$B$11,Paramètres!$A$1:$I$88,3,0)*0.475*44/12</f>
        <v>28.253651884040028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67.642777339834097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-2.2737367544323206E-13</v>
      </c>
      <c r="BZ67" s="14">
        <f>BY67*VLOOKUP('Données projet'!$B$12,Paramètres!$A$1:$I$88,3,0)*VLOOKUP('Données projet'!$B$12,Paramètres!$A$1:$I$88,5,0)</f>
        <v>-1.064108801074326E-13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163.77317062597106</v>
      </c>
      <c r="CE67" s="62">
        <f t="shared" si="40"/>
        <v>122.66073843071686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102.78027511773476</v>
      </c>
      <c r="CL67" s="23">
        <f>EXP(-LN(2)/25)*CL66+(1-EXP(-LN(2)/25))/(LN(2)/25)*Calculateur!CG67*Calculateur!CI67*VLOOKUP('Données projet'!$B$12,Paramètres!$A$1:$I$88,3,0)*0.475*44/12</f>
        <v>46.642597683399408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149.42287280113416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-1.1368683772161603E-13</v>
      </c>
      <c r="CU67" s="18">
        <f>CT67*VLOOKUP('Données projet'!$B$13,Paramètres!$A$1:$I$88,3,0)*VLOOKUP('Données projet'!$B$13,Paramètres!$A$1:$I$88,5,0)</f>
        <v>-6.7984728957526396E-14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167.84261986874142</v>
      </c>
      <c r="CZ67" s="62">
        <f t="shared" si="42"/>
        <v>242.5860875239222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25.766015574364676</v>
      </c>
      <c r="DG67" s="23">
        <f>EXP(-LN(2)/25)*DG66+(1-EXP(-LN(2)/25))/(LN(2)/25)*Calculateur!DB67*Calculateur!DD67*VLOOKUP('Données projet'!$B$13,Paramètres!$A$1:$I$88,3,0)*0.475*44/12</f>
        <v>39.631686567028083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65.397702141392756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1.5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5.5</v>
      </c>
      <c r="H68" s="70">
        <f t="shared" ref="H68:H131" si="56">(B68+E68+F68)*44/12+(C68+D68)*0.475*44/12</f>
        <v>234.66666666666666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8.25</v>
      </c>
      <c r="N68" s="14">
        <f>IF('Données projet'!$A$36&gt;35,N67+M68-V67,IF(A68&lt;'Données projet'!$A$36,$K$205^A68,IF(A68='Données projet'!$A$36,'Données projet'!$B$36,N67+M68-V67)))</f>
        <v>178.75000000000003</v>
      </c>
      <c r="O68" s="14">
        <f>N68*VLOOKUP('Données projet'!$B$9,Paramètres!$A$1:$I$88,3,0)*VLOOKUP('Données projet'!$B$9,Paramètres!$A$1:$I$88,5,0)</f>
        <v>161.73300000000003</v>
      </c>
      <c r="P68" s="14">
        <f t="shared" si="33"/>
        <v>41.233152977268539</v>
      </c>
      <c r="Q68" s="22">
        <f t="shared" si="54"/>
        <v>353.49938310207608</v>
      </c>
      <c r="R68" s="62">
        <f t="shared" si="55"/>
        <v>638.01567827034592</v>
      </c>
      <c r="S68" s="62">
        <f ca="1">AVERAGE(OFFSET($R$3,0,0,'Données projet'!$E$9+1,1))-AVERAGE(OFFSET($H$3,0,0,'Données projet'!$E$9+1,1))</f>
        <v>387.16864229348823</v>
      </c>
      <c r="T68" s="62">
        <f t="shared" si="34"/>
        <v>260.88002342542893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19.833380611496388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19.833380611496388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projet'!$B$10,Paramètres!$A$1:$I$88,3,0)*VLOOKUP('Données projet'!$B$10,Paramètres!$A$1:$I$88,5,0)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284.51629516827097</v>
      </c>
      <c r="AN68" s="62">
        <f ca="1">AVERAGE(OFFSET($AM$3,0,0,'Données projet'!$E$10+1,1))-AVERAGE(OFFSET($H$3,0,0,'Données projet'!$E$10+1,1))</f>
        <v>197.84745001458262</v>
      </c>
      <c r="AO68" s="62">
        <f t="shared" si="36"/>
        <v>290.24283321060068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30.716514780443674</v>
      </c>
      <c r="AV68" s="23">
        <f>EXP(-LN(2)/25)*AV67+(1-EXP(-LN(2)/25))/(LN(2)/25)*Calculateur!AQ68*Calculateur!AS68*VLOOKUP('Données projet'!$B$10,Paramètres!$A$1:$I$88,3,0)*0.475*44/12</f>
        <v>47.659716527221327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78.376231307664995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478.37499999999994</v>
      </c>
      <c r="BE68" s="14">
        <f>BD68*VLOOKUP('Données projet'!$B$11,Paramètres!$A$1:$I$88,3,0)*VLOOKUP('Données projet'!$B$11,Paramètres!$A$1:$I$88,5,0)</f>
        <v>286.06824999999998</v>
      </c>
      <c r="BF68" s="14">
        <f t="shared" si="37"/>
        <v>68.247799922382825</v>
      </c>
      <c r="BG68" s="22">
        <f t="shared" ref="BG68:BG131" si="61">(BE68+BF68)*0.475*44/12</f>
        <v>617.10045361481673</v>
      </c>
      <c r="BH68" s="62">
        <f t="shared" ref="BH68:BH131" si="62">BG68+(AY68+AZ68)*44/12</f>
        <v>901.61674878308668</v>
      </c>
      <c r="BI68" s="62">
        <f ca="1">AVERAGE(OFFSET($BH$3,0,0,'Données projet'!$E$11+1,1))-AVERAGE(OFFSET($H$3,0,0,'Données projet'!$E$11+1,1))</f>
        <v>377.49758296179459</v>
      </c>
      <c r="BJ68" s="62">
        <f t="shared" si="38"/>
        <v>297.9972591134441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38.616728730600208</v>
      </c>
      <c r="BQ68" s="23">
        <f>EXP(-LN(2)/25)*BQ67+(1-EXP(-LN(2)/25))/(LN(2)/25)*Calculateur!BL68*Calculateur!BN68*VLOOKUP('Données projet'!$B$11,Paramètres!$A$1:$I$88,3,0)*0.475*44/12</f>
        <v>27.481054287475978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66.097783018076186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-2.2737367544323206E-13</v>
      </c>
      <c r="BZ68" s="14">
        <f>BY68*VLOOKUP('Données projet'!$B$12,Paramètres!$A$1:$I$88,3,0)*VLOOKUP('Données projet'!$B$12,Paramètres!$A$1:$I$88,5,0)</f>
        <v>-1.064108801074326E-13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163.77317062597106</v>
      </c>
      <c r="CE68" s="62">
        <f t="shared" si="40"/>
        <v>122.66073843071686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100.7648166124537</v>
      </c>
      <c r="CL68" s="23">
        <f>EXP(-LN(2)/25)*CL67+(1-EXP(-LN(2)/25))/(LN(2)/25)*Calculateur!CG68*Calculateur!CI68*VLOOKUP('Données projet'!$B$12,Paramètres!$A$1:$I$88,3,0)*0.475*44/12</f>
        <v>45.367153396919242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146.13197000937294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-1.1368683772161603E-13</v>
      </c>
      <c r="CU68" s="18">
        <f>CT68*VLOOKUP('Données projet'!$B$13,Paramètres!$A$1:$I$88,3,0)*VLOOKUP('Données projet'!$B$13,Paramètres!$A$1:$I$88,5,0)</f>
        <v>-6.7984728957526396E-14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167.84261986874142</v>
      </c>
      <c r="CZ68" s="62">
        <f t="shared" si="42"/>
        <v>242.5860875239222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25.260759724669086</v>
      </c>
      <c r="DG68" s="23">
        <f>EXP(-LN(2)/25)*DG67+(1-EXP(-LN(2)/25))/(LN(2)/25)*Calculateur!DB68*Calculateur!DD68*VLOOKUP('Données projet'!$B$13,Paramètres!$A$1:$I$88,3,0)*0.475*44/12</f>
        <v>38.547956013712884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63.80871573838197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1.5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5.5</v>
      </c>
      <c r="H69" s="70">
        <f t="shared" si="56"/>
        <v>234.66666666666666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8.25</v>
      </c>
      <c r="N69" s="14">
        <f>IF('Données projet'!$A$36&gt;35,N68+M69-V68,IF(A69&lt;'Données projet'!$A$36,$K$205^A69,IF(A69='Données projet'!$A$36,'Données projet'!$B$36,N68+M69-V68)))</f>
        <v>187.00000000000003</v>
      </c>
      <c r="O69" s="14">
        <f>N69*VLOOKUP('Données projet'!$B$9,Paramètres!$A$1:$I$88,3,0)*VLOOKUP('Données projet'!$B$9,Paramètres!$A$1:$I$88,5,0)</f>
        <v>169.19760000000002</v>
      </c>
      <c r="P69" s="14">
        <f t="shared" ref="P69:P132" si="87">EXP(-1.0587+0.8836*LN(O69)+0.284)</f>
        <v>42.910263223432885</v>
      </c>
      <c r="Q69" s="22">
        <f t="shared" si="54"/>
        <v>369.42119511414558</v>
      </c>
      <c r="R69" s="62">
        <f t="shared" si="55"/>
        <v>654.09044618263511</v>
      </c>
      <c r="S69" s="62">
        <f ca="1">AVERAGE(OFFSET($R$3,0,0,'Données projet'!$E$9+1,1))-AVERAGE(OFFSET($H$3,0,0,'Données projet'!$E$9+1,1))</f>
        <v>387.16864229348823</v>
      </c>
      <c r="T69" s="62">
        <f t="shared" ref="T69:T132" si="88">$T$3</f>
        <v>260.88002342542893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19.444460114872619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19.444460114872619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projet'!$B$10,Paramètres!$A$1:$I$88,3,0)*VLOOKUP('Données projet'!$B$10,Paramètres!$A$1:$I$88,5,0)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284.66925106849055</v>
      </c>
      <c r="AN69" s="62">
        <f ca="1">AVERAGE(OFFSET($AM$3,0,0,'Données projet'!$E$10+1,1))-AVERAGE(OFFSET($H$3,0,0,'Données projet'!$E$10+1,1))</f>
        <v>197.84745001458262</v>
      </c>
      <c r="AO69" s="62">
        <f t="shared" ref="AO69:AO132" si="90">$AO$3</f>
        <v>290.24283321060068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30.114182660823239</v>
      </c>
      <c r="AV69" s="23">
        <f>EXP(-LN(2)/25)*AV68+(1-EXP(-LN(2)/25))/(LN(2)/25)*Calculateur!AQ69*Calculateur!AS69*VLOOKUP('Données projet'!$B$10,Paramètres!$A$1:$I$88,3,0)*0.475*44/12</f>
        <v>46.356459072468894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76.470641733292126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495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494.99999999999994</v>
      </c>
      <c r="BE69" s="14">
        <f>BD69*VLOOKUP('Données projet'!$B$11,Paramètres!$A$1:$I$88,3,0)*VLOOKUP('Données projet'!$B$11,Paramètres!$A$1:$I$88,5,0)</f>
        <v>296.01</v>
      </c>
      <c r="BF69" s="14">
        <f t="shared" ref="BF69:BF132" si="91">EXP(-1.0587+0.8836*LN(BE69)+0.284)</f>
        <v>70.339355522692159</v>
      </c>
      <c r="BG69" s="22">
        <f t="shared" si="61"/>
        <v>638.05846086868871</v>
      </c>
      <c r="BH69" s="62">
        <f t="shared" si="62"/>
        <v>922.72771193717813</v>
      </c>
      <c r="BI69" s="62">
        <f ca="1">AVERAGE(OFFSET($BH$3,0,0,'Données projet'!$E$11+1,1))-AVERAGE(OFFSET($H$3,0,0,'Données projet'!$E$11+1,1))</f>
        <v>377.49758296179459</v>
      </c>
      <c r="BJ69" s="62">
        <f t="shared" ref="BJ69:BJ132" si="92">$BJ$3</f>
        <v>297.9972591134441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projet'!$B$11,Paramètres!$A$1:$I$88,7,0))</f>
        <v>0.315</v>
      </c>
      <c r="BN69" s="17">
        <f>IF(ISNA(VLOOKUP(A69,'Données projet'!$A$87:$I$107,6,0)),0%,VLOOKUP(A69,'Données projet'!$A$87:$I$107,6,0)*VLOOKUP('Données projet'!$B$11,Paramètres!$A$1:$I$88,7,0))</f>
        <v>0.13500000000000001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54.101999754696415</v>
      </c>
      <c r="BQ69" s="23">
        <f>EXP(-LN(2)/25)*BQ68+(1-EXP(-LN(2)/25))/(LN(2)/25)*Calculateur!BL69*Calculateur!BN69*VLOOKUP('Données projet'!$B$11,Paramètres!$A$1:$I$88,3,0)*0.475*44/12</f>
        <v>33.663255637609929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87.765255392306344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-2.2737367544323206E-13</v>
      </c>
      <c r="BZ69" s="14">
        <f>BY69*VLOOKUP('Données projet'!$B$12,Paramètres!$A$1:$I$88,3,0)*VLOOKUP('Données projet'!$B$12,Paramètres!$A$1:$I$88,5,0)</f>
        <v>-1.064108801074326E-13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163.77317062597106</v>
      </c>
      <c r="CE69" s="62">
        <f t="shared" ref="CE69:CE132" si="94">$CE$3</f>
        <v>122.66073843071686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98.788880019152899</v>
      </c>
      <c r="CL69" s="23">
        <f>EXP(-LN(2)/25)*CL68+(1-EXP(-LN(2)/25))/(LN(2)/25)*Calculateur!CG69*Calculateur!CI69*VLOOKUP('Données projet'!$B$12,Paramètres!$A$1:$I$88,3,0)*0.475*44/12</f>
        <v>44.126586201525576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142.91546622067847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-1.1368683772161603E-13</v>
      </c>
      <c r="CU69" s="18">
        <f>CT69*VLOOKUP('Données projet'!$B$13,Paramètres!$A$1:$I$88,3,0)*VLOOKUP('Données projet'!$B$13,Paramètres!$A$1:$I$88,5,0)</f>
        <v>-6.7984728957526396E-14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167.84261986874142</v>
      </c>
      <c r="CZ69" s="62">
        <f t="shared" ref="CZ69:CZ132" si="96">$CZ$3</f>
        <v>242.5860875239222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24.765411634010388</v>
      </c>
      <c r="DG69" s="23">
        <f>EXP(-LN(2)/25)*DG68+(1-EXP(-LN(2)/25))/(LN(2)/25)*Calculateur!DB69*Calculateur!DD69*VLOOKUP('Données projet'!$B$13,Paramètres!$A$1:$I$88,3,0)*0.475*44/12</f>
        <v>37.493860129369004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62.259271763379388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1.5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5.5</v>
      </c>
      <c r="H70" s="70">
        <f t="shared" si="56"/>
        <v>234.66666666666666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8.25</v>
      </c>
      <c r="N70" s="14">
        <f>IF('Données projet'!$A$36&gt;35,N69+M70-V69,IF(A70&lt;'Données projet'!$A$36,$K$205^A70,IF(A70='Données projet'!$A$36,'Données projet'!$B$36,N69+M70-V69)))</f>
        <v>195.25000000000003</v>
      </c>
      <c r="O70" s="14">
        <f>N70*VLOOKUP('Données projet'!$B$9,Paramètres!$A$1:$I$88,3,0)*VLOOKUP('Données projet'!$B$9,Paramètres!$A$1:$I$88,5,0)</f>
        <v>176.66220000000001</v>
      </c>
      <c r="P70" s="14">
        <f t="shared" si="87"/>
        <v>44.57878014746607</v>
      </c>
      <c r="Q70" s="22">
        <f t="shared" si="54"/>
        <v>385.32804042350341</v>
      </c>
      <c r="R70" s="62">
        <f t="shared" si="55"/>
        <v>670.14759394930184</v>
      </c>
      <c r="S70" s="62">
        <f ca="1">AVERAGE(OFFSET($R$3,0,0,'Données projet'!$E$9+1,1))-AVERAGE(OFFSET($H$3,0,0,'Données projet'!$E$9+1,1))</f>
        <v>387.16864229348823</v>
      </c>
      <c r="T70" s="62">
        <f t="shared" si="88"/>
        <v>260.88002342542893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19.063166111969565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19.063166111969565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projet'!$B$10,Paramètres!$A$1:$I$88,3,0)*VLOOKUP('Données projet'!$B$10,Paramètres!$A$1:$I$88,5,0)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284.81955352579951</v>
      </c>
      <c r="AN70" s="62">
        <f ca="1">AVERAGE(OFFSET($AM$3,0,0,'Données projet'!$E$10+1,1))-AVERAGE(OFFSET($H$3,0,0,'Données projet'!$E$10+1,1))</f>
        <v>197.84745001458262</v>
      </c>
      <c r="AO70" s="62">
        <f t="shared" si="90"/>
        <v>290.24283321060068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29.523661906682246</v>
      </c>
      <c r="AV70" s="23">
        <f>EXP(-LN(2)/25)*AV69+(1-EXP(-LN(2)/25))/(LN(2)/25)*Calculateur!AQ70*Calculateur!AS70*VLOOKUP('Données projet'!$B$10,Paramètres!$A$1:$I$88,3,0)*0.475*44/12</f>
        <v>45.088839261352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74.612501168034242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442.87499999999994</v>
      </c>
      <c r="BE70" s="14">
        <f>BD70*VLOOKUP('Données projet'!$B$11,Paramètres!$A$1:$I$88,3,0)*VLOOKUP('Données projet'!$B$11,Paramètres!$A$1:$I$88,5,0)</f>
        <v>264.83924999999999</v>
      </c>
      <c r="BF70" s="14">
        <f t="shared" si="91"/>
        <v>63.752800756768096</v>
      </c>
      <c r="BG70" s="22">
        <f t="shared" si="61"/>
        <v>572.29782173470437</v>
      </c>
      <c r="BH70" s="62">
        <f t="shared" si="62"/>
        <v>857.11737526050274</v>
      </c>
      <c r="BI70" s="62">
        <f ca="1">AVERAGE(OFFSET($BH$3,0,0,'Données projet'!$E$11+1,1))-AVERAGE(OFFSET($H$3,0,0,'Données projet'!$E$11+1,1))</f>
        <v>377.49758296179459</v>
      </c>
      <c r="BJ70" s="62">
        <f t="shared" si="92"/>
        <v>297.9972591134441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53.041092538468291</v>
      </c>
      <c r="BQ70" s="23">
        <f>EXP(-LN(2)/25)*BQ69+(1-EXP(-LN(2)/25))/(LN(2)/25)*Calculateur!BL70*Calculateur!BN70*VLOOKUP('Données projet'!$B$11,Paramètres!$A$1:$I$88,3,0)*0.475*44/12</f>
        <v>32.742732141925806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85.783824680394105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-2.2737367544323206E-13</v>
      </c>
      <c r="BZ70" s="14">
        <f>BY70*VLOOKUP('Données projet'!$B$12,Paramètres!$A$1:$I$88,3,0)*VLOOKUP('Données projet'!$B$12,Paramètres!$A$1:$I$88,5,0)</f>
        <v>-1.064108801074326E-13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163.77317062597106</v>
      </c>
      <c r="CE70" s="62">
        <f t="shared" si="94"/>
        <v>122.66073843071686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96.851690337244406</v>
      </c>
      <c r="CL70" s="23">
        <f>EXP(-LN(2)/25)*CL69+(1-EXP(-LN(2)/25))/(LN(2)/25)*Calculateur!CG70*Calculateur!CI70*VLOOKUP('Données projet'!$B$12,Paramètres!$A$1:$I$88,3,0)*0.475*44/12</f>
        <v>42.919942381328546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139.77163271857296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-1.1368683772161603E-13</v>
      </c>
      <c r="CU70" s="18">
        <f>CT70*VLOOKUP('Données projet'!$B$13,Paramètres!$A$1:$I$88,3,0)*VLOOKUP('Données projet'!$B$13,Paramètres!$A$1:$I$88,5,0)</f>
        <v>-6.7984728957526396E-14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167.84261986874142</v>
      </c>
      <c r="CZ70" s="62">
        <f t="shared" si="96"/>
        <v>242.5860875239222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24.279777017277006</v>
      </c>
      <c r="DG70" s="23">
        <f>EXP(-LN(2)/25)*DG69+(1-EXP(-LN(2)/25))/(LN(2)/25)*Calculateur!DB70*Calculateur!DD70*VLOOKUP('Données projet'!$B$13,Paramètres!$A$1:$I$88,3,0)*0.475*44/12</f>
        <v>36.468588552415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60.748365569692005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1.5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5.5</v>
      </c>
      <c r="H71" s="70">
        <f t="shared" si="56"/>
        <v>234.66666666666666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8.25</v>
      </c>
      <c r="N71" s="14">
        <f>IF('Données projet'!$A$36&gt;35,N70+M71-V70,IF(A71&lt;'Données projet'!$A$36,$K$205^A71,IF(A71='Données projet'!$A$36,'Données projet'!$B$36,N70+M71-V70)))</f>
        <v>203.50000000000003</v>
      </c>
      <c r="O71" s="14">
        <f>N71*VLOOKUP('Données projet'!$B$9,Paramètres!$A$1:$I$88,3,0)*VLOOKUP('Données projet'!$B$9,Paramètres!$A$1:$I$88,5,0)</f>
        <v>184.12680000000003</v>
      </c>
      <c r="P71" s="14">
        <f t="shared" si="87"/>
        <v>46.239108362516738</v>
      </c>
      <c r="Q71" s="22">
        <f t="shared" si="54"/>
        <v>401.22062373138334</v>
      </c>
      <c r="R71" s="62">
        <f t="shared" si="55"/>
        <v>686.18787230288228</v>
      </c>
      <c r="S71" s="62">
        <f ca="1">AVERAGE(OFFSET($R$3,0,0,'Données projet'!$E$9+1,1))-AVERAGE(OFFSET($H$3,0,0,'Données projet'!$E$9+1,1))</f>
        <v>387.16864229348823</v>
      </c>
      <c r="T71" s="62">
        <f t="shared" si="88"/>
        <v>260.88002342542893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18.689349051897061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18.689349051897061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projet'!$B$10,Paramètres!$A$1:$I$88,3,0)*VLOOKUP('Données projet'!$B$10,Paramètres!$A$1:$I$88,5,0)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284.96724857150002</v>
      </c>
      <c r="AN71" s="62">
        <f ca="1">AVERAGE(OFFSET($AM$3,0,0,'Données projet'!$E$10+1,1))-AVERAGE(OFFSET($H$3,0,0,'Données projet'!$E$10+1,1))</f>
        <v>197.84745001458262</v>
      </c>
      <c r="AO71" s="62">
        <f t="shared" si="90"/>
        <v>290.24283321060068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28.944720904347861</v>
      </c>
      <c r="AV71" s="23">
        <f>EXP(-LN(2)/25)*AV70+(1-EXP(-LN(2)/25))/(LN(2)/25)*Calculateur!AQ71*Calculateur!AS71*VLOOKUP('Données projet'!$B$10,Paramètres!$A$1:$I$88,3,0)*0.475*44/12</f>
        <v>43.855882580631324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72.800603484979177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455.74999999999994</v>
      </c>
      <c r="BE71" s="14">
        <f>BD71*VLOOKUP('Données projet'!$B$11,Paramètres!$A$1:$I$88,3,0)*VLOOKUP('Données projet'!$B$11,Paramètres!$A$1:$I$88,5,0)</f>
        <v>272.5385</v>
      </c>
      <c r="BF71" s="14">
        <f t="shared" si="91"/>
        <v>65.387709293034902</v>
      </c>
      <c r="BG71" s="22">
        <f t="shared" si="61"/>
        <v>588.55481451870241</v>
      </c>
      <c r="BH71" s="62">
        <f t="shared" si="62"/>
        <v>873.5220630902013</v>
      </c>
      <c r="BI71" s="62">
        <f ca="1">AVERAGE(OFFSET($BH$3,0,0,'Données projet'!$E$11+1,1))-AVERAGE(OFFSET($H$3,0,0,'Données projet'!$E$11+1,1))</f>
        <v>377.49758296179459</v>
      </c>
      <c r="BJ71" s="62">
        <f t="shared" si="92"/>
        <v>297.9972591134441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52.000989065660896</v>
      </c>
      <c r="BQ71" s="23">
        <f>EXP(-LN(2)/25)*BQ70+(1-EXP(-LN(2)/25))/(LN(2)/25)*Calculateur!BL71*Calculateur!BN71*VLOOKUP('Données projet'!$B$11,Paramètres!$A$1:$I$88,3,0)*0.475*44/12</f>
        <v>31.847380409639396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83.848369475300288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-2.2737367544323206E-13</v>
      </c>
      <c r="BZ71" s="14">
        <f>BY71*VLOOKUP('Données projet'!$B$12,Paramètres!$A$1:$I$88,3,0)*VLOOKUP('Données projet'!$B$12,Paramètres!$A$1:$I$88,5,0)</f>
        <v>-1.064108801074326E-13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163.77317062597106</v>
      </c>
      <c r="CE71" s="62">
        <f t="shared" si="94"/>
        <v>122.66073843071686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94.952487763429104</v>
      </c>
      <c r="CL71" s="23">
        <f>EXP(-LN(2)/25)*CL70+(1-EXP(-LN(2)/25))/(LN(2)/25)*Calculateur!CG71*Calculateur!CI71*VLOOKUP('Données projet'!$B$12,Paramètres!$A$1:$I$88,3,0)*0.475*44/12</f>
        <v>41.746294299849446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136.69878206327854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-1.1368683772161603E-13</v>
      </c>
      <c r="CU71" s="18">
        <f>CT71*VLOOKUP('Données projet'!$B$13,Paramètres!$A$1:$I$88,3,0)*VLOOKUP('Données projet'!$B$13,Paramètres!$A$1:$I$88,5,0)</f>
        <v>-6.7984728957526396E-14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167.84261986874142</v>
      </c>
      <c r="CZ71" s="62">
        <f t="shared" si="96"/>
        <v>242.5860875239222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23.803665399169898</v>
      </c>
      <c r="DG71" s="23">
        <f>EXP(-LN(2)/25)*DG70+(1-EXP(-LN(2)/25))/(LN(2)/25)*Calculateur!DB71*Calculateur!DD71*VLOOKUP('Données projet'!$B$13,Paramètres!$A$1:$I$88,3,0)*0.475*44/12</f>
        <v>35.471353080649493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59.275018479819394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1.5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5.5</v>
      </c>
      <c r="H72" s="70">
        <f t="shared" si="56"/>
        <v>234.66666666666666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8.25</v>
      </c>
      <c r="N72" s="14">
        <f>IF('Données projet'!$A$36&gt;35,N71+M72-V71,IF(A72&lt;'Données projet'!$A$36,$K$205^A72,IF(A72='Données projet'!$A$36,'Données projet'!$B$36,N71+M72-V71)))</f>
        <v>211.75000000000003</v>
      </c>
      <c r="O72" s="14">
        <f>N72*VLOOKUP('Données projet'!$B$9,Paramètres!$A$1:$I$88,3,0)*VLOOKUP('Données projet'!$B$9,Paramètres!$A$1:$I$88,5,0)</f>
        <v>191.59140000000002</v>
      </c>
      <c r="P72" s="14">
        <f t="shared" si="87"/>
        <v>47.891617818612843</v>
      </c>
      <c r="Q72" s="22">
        <f t="shared" si="54"/>
        <v>417.09958936741742</v>
      </c>
      <c r="R72" s="62">
        <f t="shared" si="55"/>
        <v>702.21197080577076</v>
      </c>
      <c r="S72" s="62">
        <f ca="1">AVERAGE(OFFSET($R$3,0,0,'Données projet'!$E$9+1,1))-AVERAGE(OFFSET($H$3,0,0,'Données projet'!$E$9+1,1))</f>
        <v>387.16864229348823</v>
      </c>
      <c r="T72" s="62">
        <f t="shared" si="88"/>
        <v>260.88002342542893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18.322862316366685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18.322862316366685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projet'!$B$10,Paramètres!$A$1:$I$88,3,0)*VLOOKUP('Données projet'!$B$10,Paramètres!$A$1:$I$88,5,0)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285.11238143835442</v>
      </c>
      <c r="AN72" s="62">
        <f ca="1">AVERAGE(OFFSET($AM$3,0,0,'Données projet'!$E$10+1,1))-AVERAGE(OFFSET($H$3,0,0,'Données projet'!$E$10+1,1))</f>
        <v>197.84745001458262</v>
      </c>
      <c r="AO72" s="62">
        <f t="shared" si="90"/>
        <v>290.24283321060068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28.377132581950111</v>
      </c>
      <c r="AV72" s="23">
        <f>EXP(-LN(2)/25)*AV71+(1-EXP(-LN(2)/25))/(LN(2)/25)*Calculateur!AQ72*Calculateur!AS72*VLOOKUP('Données projet'!$B$10,Paramètres!$A$1:$I$88,3,0)*0.475*44/12</f>
        <v>42.656641165183331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71.033773747133438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468.62499999999994</v>
      </c>
      <c r="BE72" s="14">
        <f>BD72*VLOOKUP('Données projet'!$B$11,Paramètres!$A$1:$I$88,3,0)*VLOOKUP('Données projet'!$B$11,Paramètres!$A$1:$I$88,5,0)</f>
        <v>280.23775000000001</v>
      </c>
      <c r="BF72" s="14">
        <f t="shared" si="91"/>
        <v>67.017249808465152</v>
      </c>
      <c r="BG72" s="22">
        <f t="shared" si="61"/>
        <v>604.80245799974352</v>
      </c>
      <c r="BH72" s="62">
        <f t="shared" si="62"/>
        <v>889.91483943809681</v>
      </c>
      <c r="BI72" s="62">
        <f ca="1">AVERAGE(OFFSET($BH$3,0,0,'Données projet'!$E$11+1,1))-AVERAGE(OFFSET($H$3,0,0,'Données projet'!$E$11+1,1))</f>
        <v>377.49758296179459</v>
      </c>
      <c r="BJ72" s="62">
        <f t="shared" si="92"/>
        <v>297.9972591134441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50.981281387554773</v>
      </c>
      <c r="BQ72" s="23">
        <f>EXP(-LN(2)/25)*BQ71+(1-EXP(-LN(2)/25))/(LN(2)/25)*Calculateur!BL72*Calculateur!BN72*VLOOKUP('Données projet'!$B$11,Paramètres!$A$1:$I$88,3,0)*0.475*44/12</f>
        <v>30.976512117556858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81.957793505111624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-2.2737367544323206E-13</v>
      </c>
      <c r="BZ72" s="14">
        <f>BY72*VLOOKUP('Données projet'!$B$12,Paramètres!$A$1:$I$88,3,0)*VLOOKUP('Données projet'!$B$12,Paramètres!$A$1:$I$88,5,0)</f>
        <v>-1.064108801074326E-13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163.77317062597106</v>
      </c>
      <c r="CE72" s="62">
        <f t="shared" si="94"/>
        <v>122.66073843071686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93.09052739368714</v>
      </c>
      <c r="CL72" s="23">
        <f>EXP(-LN(2)/25)*CL71+(1-EXP(-LN(2)/25))/(LN(2)/25)*Calculateur!CG72*Calculateur!CI72*VLOOKUP('Données projet'!$B$12,Paramètres!$A$1:$I$88,3,0)*0.475*44/12</f>
        <v>40.604739686877856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133.695267080565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-1.1368683772161603E-13</v>
      </c>
      <c r="CU72" s="18">
        <f>CT72*VLOOKUP('Données projet'!$B$13,Paramètres!$A$1:$I$88,3,0)*VLOOKUP('Données projet'!$B$13,Paramètres!$A$1:$I$88,5,0)</f>
        <v>-6.7984728957526396E-14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167.84261986874142</v>
      </c>
      <c r="CZ72" s="62">
        <f t="shared" si="96"/>
        <v>242.5860875239222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23.336890039494456</v>
      </c>
      <c r="DG72" s="23">
        <f>EXP(-LN(2)/25)*DG71+(1-EXP(-LN(2)/25))/(LN(2)/25)*Calculateur!DB72*Calculateur!DD72*VLOOKUP('Données projet'!$B$13,Paramètres!$A$1:$I$88,3,0)*0.475*44/12</f>
        <v>34.501387065301742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57.838277104796198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1.5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5.5</v>
      </c>
      <c r="H73" s="70">
        <f t="shared" si="56"/>
        <v>234.66666666666666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220</v>
      </c>
      <c r="L73" s="13">
        <f>VLOOKUP(A73,'Données projet'!$A$35:$I$55,9,0)</f>
        <v>8.25</v>
      </c>
      <c r="M73" s="13">
        <f t="array" ref="M73">INDEX(L:L,MIN(IF(ISNUMBER(L73:L269),ROW(L73:L269),"")))</f>
        <v>8.25</v>
      </c>
      <c r="N73" s="14">
        <f>IF('Données projet'!$A$36&gt;35,N72+M73-V72,IF(A73&lt;'Données projet'!$A$36,$K$205^A73,IF(A73='Données projet'!$A$36,'Données projet'!$B$36,N72+M73-V72)))</f>
        <v>220.00000000000003</v>
      </c>
      <c r="O73" s="14">
        <f>N73*VLOOKUP('Données projet'!$B$9,Paramètres!$A$1:$I$88,3,0)*VLOOKUP('Données projet'!$B$9,Paramètres!$A$1:$I$88,5,0)</f>
        <v>199.05600000000001</v>
      </c>
      <c r="P73" s="14">
        <f t="shared" si="87"/>
        <v>49.536648006253934</v>
      </c>
      <c r="Q73" s="22">
        <f t="shared" si="54"/>
        <v>432.96552861089231</v>
      </c>
      <c r="R73" s="62">
        <f t="shared" si="55"/>
        <v>718.22052518532848</v>
      </c>
      <c r="S73" s="62">
        <f ca="1">AVERAGE(OFFSET($R$3,0,0,'Données projet'!$E$9+1,1))-AVERAGE(OFFSET($H$3,0,0,'Données projet'!$E$9+1,1))</f>
        <v>387.16864229348823</v>
      </c>
      <c r="T73" s="62">
        <f t="shared" si="88"/>
        <v>260.88002342542893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53</v>
      </c>
      <c r="W73" s="17">
        <f>IF(ISNA(VLOOKUP(A73,'Données projet'!$A$35:$I$55,5,0)),0%,VLOOKUP(A73,'Données projet'!$A$35:$I$55,5,0)*VLOOKUP('Données projet'!$B$9,Paramètres!$A$1:$I$88,7,0))</f>
        <v>0.25800000000000001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31.640701704400147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31.640701704400147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projet'!$B$10,Paramètres!$A$1:$I$88,3,0)*VLOOKUP('Données projet'!$B$10,Paramètres!$A$1:$I$88,5,0)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285.25499657443726</v>
      </c>
      <c r="AN73" s="62">
        <f ca="1">AVERAGE(OFFSET($AM$3,0,0,'Données projet'!$E$10+1,1))-AVERAGE(OFFSET($H$3,0,0,'Données projet'!$E$10+1,1))</f>
        <v>197.84745001458262</v>
      </c>
      <c r="AO73" s="62">
        <f t="shared" si="90"/>
        <v>290.24283321060068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27.820674320359888</v>
      </c>
      <c r="AV73" s="23">
        <f>EXP(-LN(2)/25)*AV72+(1-EXP(-LN(2)/25))/(LN(2)/25)*Calculateur!AQ73*Calculateur!AS73*VLOOKUP('Données projet'!$B$10,Paramètres!$A$1:$I$88,3,0)*0.475*44/12</f>
        <v>41.490193069306123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69.310867389666015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481.49999999999994</v>
      </c>
      <c r="BE73" s="14">
        <f>BD73*VLOOKUP('Données projet'!$B$11,Paramètres!$A$1:$I$88,3,0)*VLOOKUP('Données projet'!$B$11,Paramètres!$A$1:$I$88,5,0)</f>
        <v>287.93700000000001</v>
      </c>
      <c r="BF73" s="14">
        <f t="shared" si="91"/>
        <v>68.641586729718156</v>
      </c>
      <c r="BG73" s="22">
        <f t="shared" si="61"/>
        <v>621.04103855425899</v>
      </c>
      <c r="BH73" s="62">
        <f t="shared" si="62"/>
        <v>906.29603512869517</v>
      </c>
      <c r="BI73" s="62">
        <f ca="1">AVERAGE(OFFSET($BH$3,0,0,'Données projet'!$E$11+1,1))-AVERAGE(OFFSET($H$3,0,0,'Données projet'!$E$11+1,1))</f>
        <v>377.49758296179459</v>
      </c>
      <c r="BJ73" s="62">
        <f t="shared" si="92"/>
        <v>297.9972591134441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49.981569555056041</v>
      </c>
      <c r="BQ73" s="23">
        <f>EXP(-LN(2)/25)*BQ72+(1-EXP(-LN(2)/25))/(LN(2)/25)*Calculateur!BL73*Calculateur!BN73*VLOOKUP('Données projet'!$B$11,Paramètres!$A$1:$I$88,3,0)*0.475*44/12</f>
        <v>30.129457764718293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80.111027319774337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-2.2737367544323206E-13</v>
      </c>
      <c r="BZ73" s="14">
        <f>BY73*VLOOKUP('Données projet'!$B$12,Paramètres!$A$1:$I$88,3,0)*VLOOKUP('Données projet'!$B$12,Paramètres!$A$1:$I$88,5,0)</f>
        <v>-1.064108801074326E-13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163.77317062597106</v>
      </c>
      <c r="CE73" s="62">
        <f t="shared" si="94"/>
        <v>122.66073843071686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91.265078931112129</v>
      </c>
      <c r="CL73" s="23">
        <f>EXP(-LN(2)/25)*CL72+(1-EXP(-LN(2)/25))/(LN(2)/25)*Calculateur!CG73*Calculateur!CI73*VLOOKUP('Données projet'!$B$12,Paramètres!$A$1:$I$88,3,0)*0.475*44/12</f>
        <v>39.494400944829728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130.75947987594185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-1.1368683772161603E-13</v>
      </c>
      <c r="CU73" s="18">
        <f>CT73*VLOOKUP('Données projet'!$B$13,Paramètres!$A$1:$I$88,3,0)*VLOOKUP('Données projet'!$B$13,Paramètres!$A$1:$I$88,5,0)</f>
        <v>-6.7984728957526396E-14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167.84261986874142</v>
      </c>
      <c r="CZ73" s="62">
        <f t="shared" si="96"/>
        <v>242.5860875239222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22.879267859917395</v>
      </c>
      <c r="DG73" s="23">
        <f>EXP(-LN(2)/25)*DG72+(1-EXP(-LN(2)/25))/(LN(2)/25)*Calculateur!DB73*Calculateur!DD73*VLOOKUP('Données projet'!$B$13,Paramètres!$A$1:$I$88,3,0)*0.475*44/12</f>
        <v>33.557944821651972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56.437212681569363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1.5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5.5</v>
      </c>
      <c r="H74" s="70">
        <f t="shared" si="56"/>
        <v>234.66666666666666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7.5</v>
      </c>
      <c r="N74" s="14">
        <f>IF('Données projet'!$A$36&gt;35,N73+M74-V73,IF(A74&lt;'Données projet'!$A$36,$K$205^A74,IF(A74='Données projet'!$A$36,'Données projet'!$B$36,N73+M74-V73)))</f>
        <v>174.50000000000003</v>
      </c>
      <c r="O74" s="14">
        <f>N74*VLOOKUP('Données projet'!$B$9,Paramètres!$A$1:$I$88,3,0)*VLOOKUP('Données projet'!$B$9,Paramètres!$A$1:$I$88,5,0)</f>
        <v>157.88760000000002</v>
      </c>
      <c r="P74" s="14">
        <f t="shared" si="87"/>
        <v>40.365689775715225</v>
      </c>
      <c r="Q74" s="22">
        <f t="shared" si="54"/>
        <v>345.29114635937071</v>
      </c>
      <c r="R74" s="62">
        <f t="shared" si="55"/>
        <v>630.68628401611841</v>
      </c>
      <c r="S74" s="62">
        <f ca="1">AVERAGE(OFFSET($R$3,0,0,'Données projet'!$E$9+1,1))-AVERAGE(OFFSET($H$3,0,0,'Données projet'!$E$9+1,1))</f>
        <v>387.16864229348823</v>
      </c>
      <c r="T74" s="62">
        <f t="shared" si="88"/>
        <v>260.88002342542893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31.02024684289929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31.02024684289929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projet'!$B$10,Paramètres!$A$1:$I$88,3,0)*VLOOKUP('Données projet'!$B$10,Paramètres!$A$1:$I$88,5,0)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285.39513765674877</v>
      </c>
      <c r="AN74" s="62">
        <f ca="1">AVERAGE(OFFSET($AM$3,0,0,'Données projet'!$E$10+1,1))-AVERAGE(OFFSET($H$3,0,0,'Données projet'!$E$10+1,1))</f>
        <v>197.84745001458262</v>
      </c>
      <c r="AO74" s="62">
        <f t="shared" si="90"/>
        <v>290.24283321060068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27.275127865873422</v>
      </c>
      <c r="AV74" s="23">
        <f>EXP(-LN(2)/25)*AV73+(1-EXP(-LN(2)/25))/(LN(2)/25)*Calculateur!AQ74*Calculateur!AS74*VLOOKUP('Données projet'!$B$10,Paramètres!$A$1:$I$88,3,0)*0.475*44/12</f>
        <v>40.355641557951522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67.630769423824944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494.37499999999994</v>
      </c>
      <c r="BE74" s="14">
        <f>BD74*VLOOKUP('Données projet'!$B$11,Paramètres!$A$1:$I$88,3,0)*VLOOKUP('Données projet'!$B$11,Paramètres!$A$1:$I$88,5,0)</f>
        <v>295.63625000000002</v>
      </c>
      <c r="BF74" s="14">
        <f t="shared" si="91"/>
        <v>70.260875189476423</v>
      </c>
      <c r="BG74" s="22">
        <f t="shared" si="61"/>
        <v>637.27082637167155</v>
      </c>
      <c r="BH74" s="62">
        <f t="shared" si="62"/>
        <v>922.66596402841924</v>
      </c>
      <c r="BI74" s="62">
        <f ca="1">AVERAGE(OFFSET($BH$3,0,0,'Données projet'!$E$11+1,1))-AVERAGE(OFFSET($H$3,0,0,'Données projet'!$E$11+1,1))</f>
        <v>377.49758296179459</v>
      </c>
      <c r="BJ74" s="62">
        <f t="shared" si="92"/>
        <v>297.9972591134441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49.001461461828605</v>
      </c>
      <c r="BQ74" s="23">
        <f>EXP(-LN(2)/25)*BQ73+(1-EXP(-LN(2)/25))/(LN(2)/25)*Calculateur!BL74*Calculateur!BN74*VLOOKUP('Données projet'!$B$11,Paramètres!$A$1:$I$88,3,0)*0.475*44/12</f>
        <v>29.305566157702749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78.307027619531354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-2.2737367544323206E-13</v>
      </c>
      <c r="BZ74" s="14">
        <f>BY74*VLOOKUP('Données projet'!$B$12,Paramètres!$A$1:$I$88,3,0)*VLOOKUP('Données projet'!$B$12,Paramètres!$A$1:$I$88,5,0)</f>
        <v>-1.064108801074326E-13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163.77317062597106</v>
      </c>
      <c r="CE74" s="62">
        <f t="shared" si="94"/>
        <v>122.66073843071686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89.475426399474586</v>
      </c>
      <c r="CL74" s="23">
        <f>EXP(-LN(2)/25)*CL73+(1-EXP(-LN(2)/25))/(LN(2)/25)*Calculateur!CG74*Calculateur!CI74*VLOOKUP('Données projet'!$B$12,Paramètres!$A$1:$I$88,3,0)*0.475*44/12</f>
        <v>38.41442447407308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127.88985087354766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-1.1368683772161603E-13</v>
      </c>
      <c r="CU74" s="18">
        <f>CT74*VLOOKUP('Données projet'!$B$13,Paramètres!$A$1:$I$88,3,0)*VLOOKUP('Données projet'!$B$13,Paramètres!$A$1:$I$88,5,0)</f>
        <v>-6.7984728957526396E-14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167.84261986874142</v>
      </c>
      <c r="CZ74" s="62">
        <f t="shared" si="96"/>
        <v>242.5860875239222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22.430619372159871</v>
      </c>
      <c r="DG74" s="23">
        <f>EXP(-LN(2)/25)*DG73+(1-EXP(-LN(2)/25))/(LN(2)/25)*Calculateur!DB74*Calculateur!DD74*VLOOKUP('Données projet'!$B$13,Paramètres!$A$1:$I$88,3,0)*0.475*44/12</f>
        <v>32.640301055768276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55.070920427928144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1.5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5.5</v>
      </c>
      <c r="H75" s="70">
        <f t="shared" si="56"/>
        <v>234.66666666666666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7.5</v>
      </c>
      <c r="N75" s="14">
        <f>IF('Données projet'!$A$36&gt;35,N74+M75-V74,IF(A75&lt;'Données projet'!$A$36,$K$205^A75,IF(A75='Données projet'!$A$36,'Données projet'!$B$36,N74+M75-V74)))</f>
        <v>182.00000000000003</v>
      </c>
      <c r="O75" s="14">
        <f>N75*VLOOKUP('Données projet'!$B$9,Paramètres!$A$1:$I$88,3,0)*VLOOKUP('Données projet'!$B$9,Paramètres!$A$1:$I$88,5,0)</f>
        <v>164.67360000000002</v>
      </c>
      <c r="P75" s="14">
        <f t="shared" si="87"/>
        <v>41.894886049197019</v>
      </c>
      <c r="Q75" s="22">
        <f t="shared" si="54"/>
        <v>359.7734465356848</v>
      </c>
      <c r="R75" s="62">
        <f t="shared" si="55"/>
        <v>645.30629414027453</v>
      </c>
      <c r="S75" s="62">
        <f ca="1">AVERAGE(OFFSET($R$3,0,0,'Données projet'!$E$9+1,1))-AVERAGE(OFFSET($H$3,0,0,'Données projet'!$E$9+1,1))</f>
        <v>387.16864229348823</v>
      </c>
      <c r="T75" s="62">
        <f t="shared" si="88"/>
        <v>260.88002342542893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30.411958722792367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30.411958722792367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projet'!$B$10,Paramètres!$A$1:$I$88,3,0)*VLOOKUP('Données projet'!$B$10,Paramètres!$A$1:$I$88,5,0)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285.53284760459076</v>
      </c>
      <c r="AN75" s="62">
        <f ca="1">AVERAGE(OFFSET($AM$3,0,0,'Données projet'!$E$10+1,1))-AVERAGE(OFFSET($H$3,0,0,'Données projet'!$E$10+1,1))</f>
        <v>197.84745001458262</v>
      </c>
      <c r="AO75" s="62">
        <f t="shared" si="90"/>
        <v>290.24283321060068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26.740279244608956</v>
      </c>
      <c r="AV75" s="23">
        <f>EXP(-LN(2)/25)*AV74+(1-EXP(-LN(2)/25))/(LN(2)/25)*Calculateur!AQ75*Calculateur!AS75*VLOOKUP('Données projet'!$B$10,Paramètres!$A$1:$I$88,3,0)*0.475*44/12</f>
        <v>39.252114417338383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65.992393661947347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507.24999999999994</v>
      </c>
      <c r="BE75" s="14">
        <f>BD75*VLOOKUP('Données projet'!$B$11,Paramètres!$A$1:$I$88,3,0)*VLOOKUP('Données projet'!$B$11,Paramètres!$A$1:$I$88,5,0)</f>
        <v>303.33549999999997</v>
      </c>
      <c r="BF75" s="14">
        <f t="shared" si="91"/>
        <v>71.875261779950591</v>
      </c>
      <c r="BG75" s="22">
        <f t="shared" si="61"/>
        <v>653.49207676674712</v>
      </c>
      <c r="BH75" s="62">
        <f t="shared" si="62"/>
        <v>939.02492437133674</v>
      </c>
      <c r="BI75" s="62">
        <f ca="1">AVERAGE(OFFSET($BH$3,0,0,'Données projet'!$E$11+1,1))-AVERAGE(OFFSET($H$3,0,0,'Données projet'!$E$11+1,1))</f>
        <v>377.49758296179459</v>
      </c>
      <c r="BJ75" s="62">
        <f t="shared" si="92"/>
        <v>297.9972591134441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48.040572690502451</v>
      </c>
      <c r="BQ75" s="23">
        <f>EXP(-LN(2)/25)*BQ74+(1-EXP(-LN(2)/25))/(LN(2)/25)*Calculateur!BL75*Calculateur!BN75*VLOOKUP('Données projet'!$B$11,Paramètres!$A$1:$I$88,3,0)*0.475*44/12</f>
        <v>28.504203910007622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76.544776600510076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-2.2737367544323206E-13</v>
      </c>
      <c r="BZ75" s="14">
        <f>BY75*VLOOKUP('Données projet'!$B$12,Paramètres!$A$1:$I$88,3,0)*VLOOKUP('Données projet'!$B$12,Paramètres!$A$1:$I$88,5,0)</f>
        <v>-1.064108801074326E-13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163.77317062597106</v>
      </c>
      <c r="CE75" s="62">
        <f t="shared" si="94"/>
        <v>122.66073843071686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87.720867862402201</v>
      </c>
      <c r="CL75" s="23">
        <f>EXP(-LN(2)/25)*CL74+(1-EXP(-LN(2)/25))/(LN(2)/25)*Calculateur!CG75*Calculateur!CI75*VLOOKUP('Données projet'!$B$12,Paramètres!$A$1:$I$88,3,0)*0.475*44/12</f>
        <v>37.363980016702769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125.08484787910497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-1.1368683772161603E-13</v>
      </c>
      <c r="CU75" s="18">
        <f>CT75*VLOOKUP('Données projet'!$B$13,Paramètres!$A$1:$I$88,3,0)*VLOOKUP('Données projet'!$B$13,Paramètres!$A$1:$I$88,5,0)</f>
        <v>-6.7984728957526396E-14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167.84261986874142</v>
      </c>
      <c r="CZ75" s="62">
        <f t="shared" si="96"/>
        <v>242.5860875239222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21.990768607598714</v>
      </c>
      <c r="DG75" s="23">
        <f>EXP(-LN(2)/25)*DG74+(1-EXP(-LN(2)/25))/(LN(2)/25)*Calculateur!DB75*Calculateur!DD75*VLOOKUP('Données projet'!$B$13,Paramètres!$A$1:$I$88,3,0)*0.475*44/12</f>
        <v>31.74775030691946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53.738518914518174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1.5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5.5</v>
      </c>
      <c r="H76" s="70">
        <f t="shared" si="56"/>
        <v>234.66666666666666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7.5</v>
      </c>
      <c r="N76" s="14">
        <f>IF('Données projet'!$A$36&gt;35,N75+M76-V75,IF(A76&lt;'Données projet'!$A$36,$K$205^A76,IF(A76='Données projet'!$A$36,'Données projet'!$B$36,N75+M76-V75)))</f>
        <v>189.50000000000003</v>
      </c>
      <c r="O76" s="14">
        <f>N76*VLOOKUP('Données projet'!$B$9,Paramètres!$A$1:$I$88,3,0)*VLOOKUP('Données projet'!$B$9,Paramètres!$A$1:$I$88,5,0)</f>
        <v>171.45960000000002</v>
      </c>
      <c r="P76" s="14">
        <f t="shared" si="87"/>
        <v>43.416762598027233</v>
      </c>
      <c r="Q76" s="22">
        <f t="shared" si="54"/>
        <v>374.24299819156408</v>
      </c>
      <c r="R76" s="62">
        <f t="shared" si="55"/>
        <v>659.91116678427397</v>
      </c>
      <c r="S76" s="62">
        <f ca="1">AVERAGE(OFFSET($R$3,0,0,'Données projet'!$E$9+1,1))-AVERAGE(OFFSET($H$3,0,0,'Données projet'!$E$9+1,1))</f>
        <v>387.16864229348823</v>
      </c>
      <c r="T76" s="62">
        <f t="shared" si="88"/>
        <v>260.88002342542893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29.815598761701622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29.815598761701622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projet'!$B$10,Paramètres!$A$1:$I$88,3,0)*VLOOKUP('Données projet'!$B$10,Paramètres!$A$1:$I$88,5,0)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285.66816859271091</v>
      </c>
      <c r="AN76" s="62">
        <f ca="1">AVERAGE(OFFSET($AM$3,0,0,'Données projet'!$E$10+1,1))-AVERAGE(OFFSET($H$3,0,0,'Données projet'!$E$10+1,1))</f>
        <v>197.84745001458262</v>
      </c>
      <c r="AO76" s="62">
        <f t="shared" si="90"/>
        <v>290.24283321060068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26.215918678582039</v>
      </c>
      <c r="AV76" s="23">
        <f>EXP(-LN(2)/25)*AV75+(1-EXP(-LN(2)/25))/(LN(2)/25)*Calculateur!AQ76*Calculateur!AS76*VLOOKUP('Données projet'!$B$10,Paramètres!$A$1:$I$88,3,0)*0.475*44/12</f>
        <v>38.178763284417279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64.394681962999314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520.125</v>
      </c>
      <c r="BE76" s="14">
        <f>BD76*VLOOKUP('Données projet'!$B$11,Paramètres!$A$1:$I$88,3,0)*VLOOKUP('Données projet'!$B$11,Paramètres!$A$1:$I$88,5,0)</f>
        <v>311.03475000000003</v>
      </c>
      <c r="BF76" s="14">
        <f t="shared" si="91"/>
        <v>73.484885227728896</v>
      </c>
      <c r="BG76" s="22">
        <f t="shared" si="61"/>
        <v>669.70503135496119</v>
      </c>
      <c r="BH76" s="62">
        <f t="shared" si="62"/>
        <v>955.37319994767108</v>
      </c>
      <c r="BI76" s="62">
        <f ca="1">AVERAGE(OFFSET($BH$3,0,0,'Données projet'!$E$11+1,1))-AVERAGE(OFFSET($H$3,0,0,'Données projet'!$E$11+1,1))</f>
        <v>377.49758296179459</v>
      </c>
      <c r="BJ76" s="62">
        <f t="shared" si="92"/>
        <v>297.9972591134441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47.098526361897719</v>
      </c>
      <c r="BQ76" s="23">
        <f>EXP(-LN(2)/25)*BQ75+(1-EXP(-LN(2)/25))/(LN(2)/25)*Calculateur!BL76*Calculateur!BN76*VLOOKUP('Données projet'!$B$11,Paramètres!$A$1:$I$88,3,0)*0.475*44/12</f>
        <v>27.724754955117525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74.823281317015244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-2.2737367544323206E-13</v>
      </c>
      <c r="BZ76" s="14">
        <f>BY76*VLOOKUP('Données projet'!$B$12,Paramètres!$A$1:$I$88,3,0)*VLOOKUP('Données projet'!$B$12,Paramètres!$A$1:$I$88,5,0)</f>
        <v>-1.064108801074326E-13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163.77317062597106</v>
      </c>
      <c r="CE76" s="62">
        <f t="shared" si="94"/>
        <v>122.66073843071686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86.00071514806676</v>
      </c>
      <c r="CL76" s="23">
        <f>EXP(-LN(2)/25)*CL75+(1-EXP(-LN(2)/25))/(LN(2)/25)*Calculateur!CG76*Calculateur!CI76*VLOOKUP('Données projet'!$B$12,Paramètres!$A$1:$I$88,3,0)*0.475*44/12</f>
        <v>36.342260018259722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122.34297516632648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-1.1368683772161603E-13</v>
      </c>
      <c r="CU76" s="18">
        <f>CT76*VLOOKUP('Données projet'!$B$13,Paramètres!$A$1:$I$88,3,0)*VLOOKUP('Données projet'!$B$13,Paramètres!$A$1:$I$88,5,0)</f>
        <v>-6.7984728957526396E-14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167.84261986874142</v>
      </c>
      <c r="CZ76" s="62">
        <f t="shared" si="96"/>
        <v>242.5860875239222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21.559543048248127</v>
      </c>
      <c r="DG76" s="23">
        <f>EXP(-LN(2)/25)*DG75+(1-EXP(-LN(2)/25))/(LN(2)/25)*Calculateur!DB76*Calculateur!DD76*VLOOKUP('Données projet'!$B$13,Paramètres!$A$1:$I$88,3,0)*0.475*44/12</f>
        <v>30.879606405235119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52.439149453483246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1.5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5.5</v>
      </c>
      <c r="H77" s="70">
        <f t="shared" si="56"/>
        <v>234.66666666666666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7.5</v>
      </c>
      <c r="N77" s="14">
        <f>IF('Données projet'!$A$36&gt;35,N76+M77-V76,IF(A77&lt;'Données projet'!$A$36,$K$205^A77,IF(A77='Données projet'!$A$36,'Données projet'!$B$36,N76+M77-V76)))</f>
        <v>197.00000000000003</v>
      </c>
      <c r="O77" s="14">
        <f>N77*VLOOKUP('Données projet'!$B$9,Paramètres!$A$1:$I$88,3,0)*VLOOKUP('Données projet'!$B$9,Paramètres!$A$1:$I$88,5,0)</f>
        <v>178.24560000000002</v>
      </c>
      <c r="P77" s="14">
        <f t="shared" si="87"/>
        <v>44.931642269910427</v>
      </c>
      <c r="Q77" s="22">
        <f t="shared" si="54"/>
        <v>388.70036362009404</v>
      </c>
      <c r="R77" s="62">
        <f t="shared" si="55"/>
        <v>674.50150568431263</v>
      </c>
      <c r="S77" s="62">
        <f ca="1">AVERAGE(OFFSET($R$3,0,0,'Données projet'!$E$9+1,1))-AVERAGE(OFFSET($H$3,0,0,'Données projet'!$E$9+1,1))</f>
        <v>387.16864229348823</v>
      </c>
      <c r="T77" s="62">
        <f t="shared" si="88"/>
        <v>260.88002342542893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29.230933055704206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29.230933055704206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projet'!$B$10,Paramètres!$A$1:$I$88,3,0)*VLOOKUP('Données projet'!$B$10,Paramètres!$A$1:$I$88,5,0)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285.80114206421968</v>
      </c>
      <c r="AN77" s="62">
        <f ca="1">AVERAGE(OFFSET($AM$3,0,0,'Données projet'!$E$10+1,1))-AVERAGE(OFFSET($H$3,0,0,'Données projet'!$E$10+1,1))</f>
        <v>197.84745001458262</v>
      </c>
      <c r="AO77" s="62">
        <f t="shared" si="90"/>
        <v>290.24283321060068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25.701840503426546</v>
      </c>
      <c r="AV77" s="23">
        <f>EXP(-LN(2)/25)*AV76+(1-EXP(-LN(2)/25))/(LN(2)/25)*Calculateur!AQ77*Calculateur!AS77*VLOOKUP('Données projet'!$B$10,Paramètres!$A$1:$I$88,3,0)*0.475*44/12</f>
        <v>37.134762994670986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62.836603498097531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533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533</v>
      </c>
      <c r="BE77" s="14">
        <f>BD77*VLOOKUP('Données projet'!$B$11,Paramètres!$A$1:$I$88,3,0)*VLOOKUP('Données projet'!$B$11,Paramètres!$A$1:$I$88,5,0)</f>
        <v>318.73400000000004</v>
      </c>
      <c r="BF77" s="14">
        <f t="shared" si="91"/>
        <v>75.089876999925679</v>
      </c>
      <c r="BG77" s="22">
        <f t="shared" si="61"/>
        <v>685.90991910820378</v>
      </c>
      <c r="BH77" s="62">
        <f t="shared" si="62"/>
        <v>971.71106117242243</v>
      </c>
      <c r="BI77" s="62">
        <f ca="1">AVERAGE(OFFSET($BH$3,0,0,'Données projet'!$E$11+1,1))-AVERAGE(OFFSET($H$3,0,0,'Données projet'!$E$11+1,1))</f>
        <v>377.49758296179459</v>
      </c>
      <c r="BJ77" s="62">
        <f t="shared" si="92"/>
        <v>297.9972591134441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projet'!$B$11,Paramètres!$A$1:$I$88,7,0))</f>
        <v>0.315</v>
      </c>
      <c r="BN77" s="17">
        <f>IF(ISNA(VLOOKUP(A77,'Données projet'!$A$87:$I$107,6,0)),0%,VLOOKUP(A77,'Données projet'!$A$87:$I$107,6,0)*VLOOKUP('Données projet'!$B$11,Paramètres!$A$1:$I$88,7,0))</f>
        <v>0.13500000000000001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55.420696006637812</v>
      </c>
      <c r="BQ77" s="23">
        <f>EXP(-LN(2)/25)*BQ76+(1-EXP(-LN(2)/25))/(LN(2)/25)*Calculateur!BL77*Calculateur!BN77*VLOOKUP('Données projet'!$B$11,Paramètres!$A$1:$I$88,3,0)*0.475*44/12</f>
        <v>30.913479647000035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86.334175653637843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-2.2737367544323206E-13</v>
      </c>
      <c r="BZ77" s="14">
        <f>BY77*VLOOKUP('Données projet'!$B$12,Paramètres!$A$1:$I$88,3,0)*VLOOKUP('Données projet'!$B$12,Paramètres!$A$1:$I$88,5,0)</f>
        <v>-1.064108801074326E-13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163.77317062597106</v>
      </c>
      <c r="CE77" s="62">
        <f t="shared" si="94"/>
        <v>122.66073843071686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84.314293579269886</v>
      </c>
      <c r="CL77" s="23">
        <f>EXP(-LN(2)/25)*CL76+(1-EXP(-LN(2)/25))/(LN(2)/25)*Calculateur!CG77*Calculateur!CI77*VLOOKUP('Données projet'!$B$12,Paramètres!$A$1:$I$88,3,0)*0.475*44/12</f>
        <v>35.348479006904014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119.6627725861739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-1.1368683772161603E-13</v>
      </c>
      <c r="CU77" s="18">
        <f>CT77*VLOOKUP('Données projet'!$B$13,Paramètres!$A$1:$I$88,3,0)*VLOOKUP('Données projet'!$B$13,Paramètres!$A$1:$I$88,5,0)</f>
        <v>-6.7984728957526396E-14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167.84261986874142</v>
      </c>
      <c r="CZ77" s="62">
        <f t="shared" si="96"/>
        <v>242.5860875239222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21.136773559094785</v>
      </c>
      <c r="DG77" s="23">
        <f>EXP(-LN(2)/25)*DG76+(1-EXP(-LN(2)/25))/(LN(2)/25)*Calculateur!DB77*Calculateur!DD77*VLOOKUP('Données projet'!$B$13,Paramètres!$A$1:$I$88,3,0)*0.475*44/12</f>
        <v>30.035201944196039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51.171975503290824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1.5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5.5</v>
      </c>
      <c r="H78" s="70">
        <f t="shared" si="56"/>
        <v>234.66666666666666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7.5</v>
      </c>
      <c r="N78" s="14">
        <f>IF('Données projet'!$A$36&gt;35,N77+M78-V77,IF(A78&lt;'Données projet'!$A$36,$K$205^A78,IF(A78='Données projet'!$A$36,'Données projet'!$B$36,N77+M78-V77)))</f>
        <v>204.50000000000003</v>
      </c>
      <c r="O78" s="14">
        <f>N78*VLOOKUP('Données projet'!$B$9,Paramètres!$A$1:$I$88,3,0)*VLOOKUP('Données projet'!$B$9,Paramètres!$A$1:$I$88,5,0)</f>
        <v>185.03160000000003</v>
      </c>
      <c r="P78" s="14">
        <f t="shared" si="87"/>
        <v>46.439821937925259</v>
      </c>
      <c r="Q78" s="22">
        <f t="shared" si="54"/>
        <v>403.14605987521986</v>
      </c>
      <c r="R78" s="62">
        <f t="shared" si="55"/>
        <v>689.07786861850059</v>
      </c>
      <c r="S78" s="62">
        <f ca="1">AVERAGE(OFFSET($R$3,0,0,'Données projet'!$E$9+1,1))-AVERAGE(OFFSET($H$3,0,0,'Données projet'!$E$9+1,1))</f>
        <v>387.16864229348823</v>
      </c>
      <c r="T78" s="62">
        <f t="shared" si="88"/>
        <v>260.88002342542893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28.657732287590534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28.657732287590534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projet'!$B$10,Paramètres!$A$1:$I$88,3,0)*VLOOKUP('Données projet'!$B$10,Paramètres!$A$1:$I$88,5,0)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285.93180874328186</v>
      </c>
      <c r="AN78" s="62">
        <f ca="1">AVERAGE(OFFSET($AM$3,0,0,'Données projet'!$E$10+1,1))-AVERAGE(OFFSET($H$3,0,0,'Données projet'!$E$10+1,1))</f>
        <v>197.84745001458262</v>
      </c>
      <c r="AO78" s="62">
        <f t="shared" si="90"/>
        <v>290.24283321060068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25.197843087729126</v>
      </c>
      <c r="AV78" s="23">
        <f>EXP(-LN(2)/25)*AV77+(1-EXP(-LN(2)/25))/(LN(2)/25)*Calculateur!AQ78*Calculateur!AS78*VLOOKUP('Données projet'!$B$10,Paramètres!$A$1:$I$88,3,0)*0.475*44/12</f>
        <v>36.119310947749398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61.317154035478524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504.875</v>
      </c>
      <c r="BE78" s="14">
        <f>BD78*VLOOKUP('Données projet'!$B$11,Paramètres!$A$1:$I$88,3,0)*VLOOKUP('Données projet'!$B$11,Paramètres!$A$1:$I$88,5,0)</f>
        <v>301.91525000000001</v>
      </c>
      <c r="BF78" s="14">
        <f t="shared" si="91"/>
        <v>71.577824610045951</v>
      </c>
      <c r="BG78" s="22">
        <f t="shared" si="61"/>
        <v>650.50043827916329</v>
      </c>
      <c r="BH78" s="62">
        <f t="shared" si="62"/>
        <v>936.43224702244402</v>
      </c>
      <c r="BI78" s="62">
        <f ca="1">AVERAGE(OFFSET($BH$3,0,0,'Données projet'!$E$11+1,1))-AVERAGE(OFFSET($H$3,0,0,'Données projet'!$E$11+1,1))</f>
        <v>377.49758296179459</v>
      </c>
      <c r="BJ78" s="62">
        <f t="shared" si="92"/>
        <v>297.9972591134441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54.333929961234411</v>
      </c>
      <c r="BQ78" s="23">
        <f>EXP(-LN(2)/25)*BQ77+(1-EXP(-LN(2)/25))/(LN(2)/25)*Calculateur!BL78*Calculateur!BN78*VLOOKUP('Données projet'!$B$11,Paramètres!$A$1:$I$88,3,0)*0.475*44/12</f>
        <v>30.068148920383578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84.402078881617996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-2.2737367544323206E-13</v>
      </c>
      <c r="BZ78" s="14">
        <f>BY78*VLOOKUP('Données projet'!$B$12,Paramètres!$A$1:$I$88,3,0)*VLOOKUP('Données projet'!$B$12,Paramètres!$A$1:$I$88,5,0)</f>
        <v>-1.064108801074326E-13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163.77317062597106</v>
      </c>
      <c r="CE78" s="62">
        <f t="shared" si="94"/>
        <v>122.66073843071686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82.660941708821525</v>
      </c>
      <c r="CL78" s="23">
        <f>EXP(-LN(2)/25)*CL77+(1-EXP(-LN(2)/25))/(LN(2)/25)*Calculateur!CG78*Calculateur!CI78*VLOOKUP('Données projet'!$B$12,Paramètres!$A$1:$I$88,3,0)*0.475*44/12</f>
        <v>34.381872989564506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117.04281469838602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-1.1368683772161603E-13</v>
      </c>
      <c r="CU78" s="18">
        <f>CT78*VLOOKUP('Données projet'!$B$13,Paramètres!$A$1:$I$88,3,0)*VLOOKUP('Données projet'!$B$13,Paramètres!$A$1:$I$88,5,0)</f>
        <v>-6.7984728957526396E-14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167.84261986874142</v>
      </c>
      <c r="CZ78" s="62">
        <f t="shared" si="96"/>
        <v>242.5860875239222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20.722294321759811</v>
      </c>
      <c r="DG78" s="23">
        <f>EXP(-LN(2)/25)*DG77+(1-EXP(-LN(2)/25))/(LN(2)/25)*Calculateur!DB78*Calculateur!DD78*VLOOKUP('Données projet'!$B$13,Paramètres!$A$1:$I$88,3,0)*0.475*44/12</f>
        <v>29.213887767549373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49.936182089309185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1.5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5.5</v>
      </c>
      <c r="H79" s="70">
        <f t="shared" si="56"/>
        <v>234.66666666666666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7.5</v>
      </c>
      <c r="N79" s="14">
        <f>IF('Données projet'!$A$36&gt;35,N78+M79-V78,IF(A79&lt;'Données projet'!$A$36,$K$205^A79,IF(A79='Données projet'!$A$36,'Données projet'!$B$36,N78+M79-V78)))</f>
        <v>212.00000000000003</v>
      </c>
      <c r="O79" s="14">
        <f>N79*VLOOKUP('Données projet'!$B$9,Paramètres!$A$1:$I$88,3,0)*VLOOKUP('Données projet'!$B$9,Paramètres!$A$1:$I$88,5,0)</f>
        <v>191.81760000000003</v>
      </c>
      <c r="P79" s="14">
        <f t="shared" si="87"/>
        <v>47.941575465657138</v>
      </c>
      <c r="Q79" s="22">
        <f t="shared" si="54"/>
        <v>417.58056393601959</v>
      </c>
      <c r="R79" s="62">
        <f t="shared" si="55"/>
        <v>703.64077258360771</v>
      </c>
      <c r="S79" s="62">
        <f ca="1">AVERAGE(OFFSET($R$3,0,0,'Données projet'!$E$9+1,1))-AVERAGE(OFFSET($H$3,0,0,'Données projet'!$E$9+1,1))</f>
        <v>387.16864229348823</v>
      </c>
      <c r="T79" s="62">
        <f t="shared" si="88"/>
        <v>260.88002342542893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28.095771636921622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28.095771636921622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projet'!$B$10,Paramètres!$A$1:$I$88,3,0)*VLOOKUP('Données projet'!$B$10,Paramètres!$A$1:$I$88,5,0)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286.06020864758921</v>
      </c>
      <c r="AN79" s="62">
        <f ca="1">AVERAGE(OFFSET($AM$3,0,0,'Données projet'!$E$10+1,1))-AVERAGE(OFFSET($H$3,0,0,'Données projet'!$E$10+1,1))</f>
        <v>197.84745001458262</v>
      </c>
      <c r="AO79" s="62">
        <f t="shared" si="90"/>
        <v>290.24283321060068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24.703728753945462</v>
      </c>
      <c r="AV79" s="23">
        <f>EXP(-LN(2)/25)*AV78+(1-EXP(-LN(2)/25))/(LN(2)/25)*Calculateur!AQ79*Calculateur!AS79*VLOOKUP('Données projet'!$B$10,Paramètres!$A$1:$I$88,3,0)*0.475*44/12</f>
        <v>35.131626490451183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59.835355244396645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513.75</v>
      </c>
      <c r="BE79" s="14">
        <f>BD79*VLOOKUP('Données projet'!$B$11,Paramètres!$A$1:$I$88,3,0)*VLOOKUP('Données projet'!$B$11,Paramètres!$A$1:$I$88,5,0)</f>
        <v>307.22250000000003</v>
      </c>
      <c r="BF79" s="14">
        <f t="shared" si="91"/>
        <v>72.68847414066191</v>
      </c>
      <c r="BG79" s="22">
        <f t="shared" si="61"/>
        <v>661.67827996165295</v>
      </c>
      <c r="BH79" s="62">
        <f t="shared" si="62"/>
        <v>947.73848860924113</v>
      </c>
      <c r="BI79" s="62">
        <f ca="1">AVERAGE(OFFSET($BH$3,0,0,'Données projet'!$E$11+1,1))-AVERAGE(OFFSET($H$3,0,0,'Données projet'!$E$11+1,1))</f>
        <v>377.49758296179459</v>
      </c>
      <c r="BJ79" s="62">
        <f t="shared" si="92"/>
        <v>297.9972591134441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53.268474735119533</v>
      </c>
      <c r="BQ79" s="23">
        <f>EXP(-LN(2)/25)*BQ78+(1-EXP(-LN(2)/25))/(LN(2)/25)*Calculateur!BL79*Calculateur!BN79*VLOOKUP('Données projet'!$B$11,Paramètres!$A$1:$I$88,3,0)*0.475*44/12</f>
        <v>29.24593380694046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82.514408542059996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-2.2737367544323206E-13</v>
      </c>
      <c r="BZ79" s="14">
        <f>BY79*VLOOKUP('Données projet'!$B$12,Paramètres!$A$1:$I$88,3,0)*VLOOKUP('Données projet'!$B$12,Paramètres!$A$1:$I$88,5,0)</f>
        <v>-1.064108801074326E-13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163.77317062597106</v>
      </c>
      <c r="CE79" s="62">
        <f t="shared" si="94"/>
        <v>122.66073843071686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81.040011060107588</v>
      </c>
      <c r="CL79" s="23">
        <f>EXP(-LN(2)/25)*CL78+(1-EXP(-LN(2)/25))/(LN(2)/25)*Calculateur!CG79*Calculateur!CI79*VLOOKUP('Données projet'!$B$12,Paramètres!$A$1:$I$88,3,0)*0.475*44/12</f>
        <v>33.441698864600745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114.48170992470833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-1.1368683772161603E-13</v>
      </c>
      <c r="CU79" s="18">
        <f>CT79*VLOOKUP('Données projet'!$B$13,Paramètres!$A$1:$I$88,3,0)*VLOOKUP('Données projet'!$B$13,Paramètres!$A$1:$I$88,5,0)</f>
        <v>-6.7984728957526396E-14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167.84261986874142</v>
      </c>
      <c r="CZ79" s="62">
        <f t="shared" si="96"/>
        <v>242.5860875239222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20.315942769461607</v>
      </c>
      <c r="DG79" s="23">
        <f>EXP(-LN(2)/25)*DG78+(1-EXP(-LN(2)/25))/(LN(2)/25)*Calculateur!DB79*Calculateur!DD79*VLOOKUP('Données projet'!$B$13,Paramètres!$A$1:$I$88,3,0)*0.475*44/12</f>
        <v>28.415032470254147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48.730975239715754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1.5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5.5</v>
      </c>
      <c r="H80" s="70">
        <f t="shared" si="56"/>
        <v>234.66666666666666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7.5</v>
      </c>
      <c r="N80" s="14">
        <f>IF('Données projet'!$A$36&gt;35,N79+M80-V79,IF(A80&lt;'Données projet'!$A$36,$K$205^A80,IF(A80='Données projet'!$A$36,'Données projet'!$B$36,N79+M80-V79)))</f>
        <v>219.50000000000003</v>
      </c>
      <c r="O80" s="14">
        <f>N80*VLOOKUP('Données projet'!$B$9,Paramètres!$A$1:$I$88,3,0)*VLOOKUP('Données projet'!$B$9,Paramètres!$A$1:$I$88,5,0)</f>
        <v>198.6036</v>
      </c>
      <c r="P80" s="14">
        <f t="shared" si="87"/>
        <v>49.437156240946763</v>
      </c>
      <c r="Q80" s="22">
        <f t="shared" si="54"/>
        <v>432.00431711964893</v>
      </c>
      <c r="R80" s="62">
        <f t="shared" si="55"/>
        <v>718.19069822026404</v>
      </c>
      <c r="S80" s="62">
        <f ca="1">AVERAGE(OFFSET($R$3,0,0,'Données projet'!$E$9+1,1))-AVERAGE(OFFSET($H$3,0,0,'Données projet'!$E$9+1,1))</f>
        <v>387.16864229348823</v>
      </c>
      <c r="T80" s="62">
        <f t="shared" si="88"/>
        <v>260.88002342542893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27.544830691850176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27.544830691850176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projet'!$B$10,Paramètres!$A$1:$I$88,3,0)*VLOOKUP('Données projet'!$B$10,Paramètres!$A$1:$I$88,5,0)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286.18638110061613</v>
      </c>
      <c r="AN80" s="62">
        <f ca="1">AVERAGE(OFFSET($AM$3,0,0,'Données projet'!$E$10+1,1))-AVERAGE(OFFSET($H$3,0,0,'Données projet'!$E$10+1,1))</f>
        <v>197.84745001458262</v>
      </c>
      <c r="AO80" s="62">
        <f t="shared" si="90"/>
        <v>290.24283321060068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24.219303700867311</v>
      </c>
      <c r="AV80" s="23">
        <f>EXP(-LN(2)/25)*AV79+(1-EXP(-LN(2)/25))/(LN(2)/25)*Calculateur!AQ80*Calculateur!AS80*VLOOKUP('Données projet'!$B$10,Paramètres!$A$1:$I$88,3,0)*0.475*44/12</f>
        <v>34.170950316577851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58.390254017445159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522.625</v>
      </c>
      <c r="BE80" s="14">
        <f>BD80*VLOOKUP('Données projet'!$B$11,Paramètres!$A$1:$I$88,3,0)*VLOOKUP('Données projet'!$B$11,Paramètres!$A$1:$I$88,5,0)</f>
        <v>312.52975000000004</v>
      </c>
      <c r="BF80" s="14">
        <f t="shared" si="91"/>
        <v>73.796892500493684</v>
      </c>
      <c r="BG80" s="22">
        <f t="shared" si="61"/>
        <v>672.85223568835988</v>
      </c>
      <c r="BH80" s="62">
        <f t="shared" si="62"/>
        <v>959.03861678897488</v>
      </c>
      <c r="BI80" s="62">
        <f ca="1">AVERAGE(OFFSET($BH$3,0,0,'Données projet'!$E$11+1,1))-AVERAGE(OFFSET($H$3,0,0,'Données projet'!$E$11+1,1))</f>
        <v>377.49758296179459</v>
      </c>
      <c r="BJ80" s="62">
        <f t="shared" si="92"/>
        <v>297.9972591134441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52.223912436125254</v>
      </c>
      <c r="BQ80" s="23">
        <f>EXP(-LN(2)/25)*BQ79+(1-EXP(-LN(2)/25))/(LN(2)/25)*Calculateur!BL80*Calculateur!BN80*VLOOKUP('Données projet'!$B$11,Paramètres!$A$1:$I$88,3,0)*0.475*44/12</f>
        <v>28.446202209012856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80.670114645138113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-2.2737367544323206E-13</v>
      </c>
      <c r="BZ80" s="14">
        <f>BY80*VLOOKUP('Données projet'!$B$12,Paramètres!$A$1:$I$88,3,0)*VLOOKUP('Données projet'!$B$12,Paramètres!$A$1:$I$88,5,0)</f>
        <v>-1.064108801074326E-13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163.77317062597106</v>
      </c>
      <c r="CE80" s="62">
        <f t="shared" si="94"/>
        <v>122.66073843071686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79.45086587274487</v>
      </c>
      <c r="CL80" s="23">
        <f>EXP(-LN(2)/25)*CL79+(1-EXP(-LN(2)/25))/(LN(2)/25)*Calculateur!CG80*Calculateur!CI80*VLOOKUP('Données projet'!$B$12,Paramètres!$A$1:$I$88,3,0)*0.475*44/12</f>
        <v>32.527233850525725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111.97809972327059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-1.1368683772161603E-13</v>
      </c>
      <c r="CU80" s="18">
        <f>CT80*VLOOKUP('Données projet'!$B$13,Paramètres!$A$1:$I$88,3,0)*VLOOKUP('Données projet'!$B$13,Paramètres!$A$1:$I$88,5,0)</f>
        <v>-6.7984728957526396E-14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167.84261986874142</v>
      </c>
      <c r="CZ80" s="62">
        <f t="shared" si="96"/>
        <v>242.5860875239222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19.917559523253995</v>
      </c>
      <c r="DG80" s="23">
        <f>EXP(-LN(2)/25)*DG79+(1-EXP(-LN(2)/25))/(LN(2)/25)*Calculateur!DB80*Calculateur!DD80*VLOOKUP('Données projet'!$B$13,Paramètres!$A$1:$I$88,3,0)*0.475*44/12</f>
        <v>27.638021913073434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47.555581436327429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1.5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5.5</v>
      </c>
      <c r="H81" s="70">
        <f t="shared" si="56"/>
        <v>234.66666666666666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227</v>
      </c>
      <c r="L81" s="13">
        <f>VLOOKUP(A81,'Données projet'!$A$35:$I$55,9,0)</f>
        <v>7.5</v>
      </c>
      <c r="M81" s="13">
        <f t="array" ref="M81">INDEX(L:L,MIN(IF(ISNUMBER(L81:L277),ROW(L81:L277),"")))</f>
        <v>7.5</v>
      </c>
      <c r="N81" s="14">
        <f>IF('Données projet'!$A$36&gt;35,N80+M81-V80,IF(A81&lt;'Données projet'!$A$36,$K$205^A81,IF(A81='Données projet'!$A$36,'Données projet'!$B$36,N80+M81-V80)))</f>
        <v>227.00000000000003</v>
      </c>
      <c r="O81" s="14">
        <f>N81*VLOOKUP('Données projet'!$B$9,Paramètres!$A$1:$I$88,3,0)*VLOOKUP('Données projet'!$B$9,Paramètres!$A$1:$I$88,5,0)</f>
        <v>205.3896</v>
      </c>
      <c r="P81" s="14">
        <f t="shared" si="87"/>
        <v>50.926799353611955</v>
      </c>
      <c r="Q81" s="22">
        <f t="shared" si="54"/>
        <v>446.4177288742074</v>
      </c>
      <c r="R81" s="62">
        <f t="shared" si="55"/>
        <v>732.72809361786858</v>
      </c>
      <c r="S81" s="62">
        <f ca="1">AVERAGE(OFFSET($R$3,0,0,'Données projet'!$E$9+1,1))-AVERAGE(OFFSET($H$3,0,0,'Données projet'!$E$9+1,1))</f>
        <v>387.16864229348823</v>
      </c>
      <c r="T81" s="62">
        <f t="shared" si="88"/>
        <v>260.88002342542893</v>
      </c>
      <c r="U81" s="16">
        <f>IF(ISNA(VLOOKUP(A81,'Données projet'!$A$35:$I$55,3,0)),0,VLOOKUP(A81,'Données projet'!$A$35:$I$55,3,0))</f>
        <v>7</v>
      </c>
      <c r="V81" s="16">
        <f>IF(ISNA(VLOOKUP(A81,'Données projet'!$A$35:$I$55,4,0)),0,VLOOKUP(A81,'Données projet'!$A$35:$I$55,4,0))</f>
        <v>42</v>
      </c>
      <c r="W81" s="17">
        <f>IF(ISNA(VLOOKUP(A81,'Données projet'!$A$35:$I$55,5,0)),0%,VLOOKUP(A81,'Données projet'!$A$35:$I$55,5,0)*VLOOKUP('Données projet'!$B$9,Paramètres!$A$1:$I$88,7,0))</f>
        <v>0.25800000000000001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37.843181301784497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37.843181301784497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projet'!$B$10,Paramètres!$A$1:$I$88,3,0)*VLOOKUP('Données projet'!$B$10,Paramètres!$A$1:$I$88,5,0)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286.31036474366226</v>
      </c>
      <c r="AN81" s="62">
        <f ca="1">AVERAGE(OFFSET($AM$3,0,0,'Données projet'!$E$10+1,1))-AVERAGE(OFFSET($H$3,0,0,'Données projet'!$E$10+1,1))</f>
        <v>197.84745001458262</v>
      </c>
      <c r="AO81" s="62">
        <f t="shared" si="90"/>
        <v>290.24283321060068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23.744377927609914</v>
      </c>
      <c r="AV81" s="23">
        <f>EXP(-LN(2)/25)*AV80+(1-EXP(-LN(2)/25))/(LN(2)/25)*Calculateur!AQ81*Calculateur!AS81*VLOOKUP('Données projet'!$B$10,Paramètres!$A$1:$I$88,3,0)*0.475*44/12</f>
        <v>33.236543883198848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56.980921810808766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531.5</v>
      </c>
      <c r="BE81" s="14">
        <f>BD81*VLOOKUP('Données projet'!$B$11,Paramètres!$A$1:$I$88,3,0)*VLOOKUP('Données projet'!$B$11,Paramètres!$A$1:$I$88,5,0)</f>
        <v>317.83700000000005</v>
      </c>
      <c r="BF81" s="14">
        <f t="shared" si="91"/>
        <v>74.903121950927684</v>
      </c>
      <c r="BG81" s="22">
        <f t="shared" si="61"/>
        <v>684.0223790645324</v>
      </c>
      <c r="BH81" s="62">
        <f t="shared" si="62"/>
        <v>970.33274380819353</v>
      </c>
      <c r="BI81" s="62">
        <f ca="1">AVERAGE(OFFSET($BH$3,0,0,'Données projet'!$E$11+1,1))-AVERAGE(OFFSET($H$3,0,0,'Données projet'!$E$11+1,1))</f>
        <v>377.49758296179459</v>
      </c>
      <c r="BJ81" s="62">
        <f t="shared" si="92"/>
        <v>297.9972591134441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51.199833366694158</v>
      </c>
      <c r="BQ81" s="23">
        <f>EXP(-LN(2)/25)*BQ80+(1-EXP(-LN(2)/25))/(LN(2)/25)*Calculateur!BL81*Calculateur!BN81*VLOOKUP('Données projet'!$B$11,Paramètres!$A$1:$I$88,3,0)*0.475*44/12</f>
        <v>27.668339313686641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78.868172680380795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-2.2737367544323206E-13</v>
      </c>
      <c r="BZ81" s="14">
        <f>BY81*VLOOKUP('Données projet'!$B$12,Paramètres!$A$1:$I$88,3,0)*VLOOKUP('Données projet'!$B$12,Paramètres!$A$1:$I$88,5,0)</f>
        <v>-1.064108801074326E-13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163.77317062597106</v>
      </c>
      <c r="CE81" s="62">
        <f t="shared" si="94"/>
        <v>122.66073843071686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77.892882853223469</v>
      </c>
      <c r="CL81" s="23">
        <f>EXP(-LN(2)/25)*CL80+(1-EXP(-LN(2)/25))/(LN(2)/25)*Calculateur!CG81*Calculateur!CI81*VLOOKUP('Données projet'!$B$12,Paramètres!$A$1:$I$88,3,0)*0.475*44/12</f>
        <v>31.637774930350211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109.53065778357367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-1.1368683772161603E-13</v>
      </c>
      <c r="CU81" s="18">
        <f>CT81*VLOOKUP('Données projet'!$B$13,Paramètres!$A$1:$I$88,3,0)*VLOOKUP('Données projet'!$B$13,Paramètres!$A$1:$I$88,5,0)</f>
        <v>-6.7984728957526396E-14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167.84261986874142</v>
      </c>
      <c r="CZ81" s="62">
        <f t="shared" si="96"/>
        <v>242.5860875239222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19.52698832951473</v>
      </c>
      <c r="DG81" s="23">
        <f>EXP(-LN(2)/25)*DG80+(1-EXP(-LN(2)/25))/(LN(2)/25)*Calculateur!DB81*Calculateur!DD81*VLOOKUP('Données projet'!$B$13,Paramètres!$A$1:$I$88,3,0)*0.475*44/12</f>
        <v>26.882258750440037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46.409247079954767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1.5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5.5</v>
      </c>
      <c r="H82" s="70">
        <f t="shared" si="56"/>
        <v>234.66666666666666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6.4444444444444446</v>
      </c>
      <c r="N82" s="14">
        <f>IF('Données projet'!$A$36&gt;35,N81+M82-V81,IF(A82&lt;'Données projet'!$A$36,$K$205^A82,IF(A82='Données projet'!$A$36,'Données projet'!$B$36,N81+M82-V81)))</f>
        <v>191.44444444444449</v>
      </c>
      <c r="O82" s="14">
        <f>N82*VLOOKUP('Données projet'!$B$9,Paramètres!$A$1:$I$88,3,0)*VLOOKUP('Données projet'!$B$9,Paramètres!$A$1:$I$88,5,0)</f>
        <v>173.21893333333335</v>
      </c>
      <c r="P82" s="14">
        <f t="shared" si="87"/>
        <v>43.810168637383875</v>
      </c>
      <c r="Q82" s="22">
        <f t="shared" si="54"/>
        <v>377.99235259899916</v>
      </c>
      <c r="R82" s="62">
        <f t="shared" si="55"/>
        <v>664.42455014668553</v>
      </c>
      <c r="S82" s="62">
        <f ca="1">AVERAGE(OFFSET($R$3,0,0,'Données projet'!$E$9+1,1))-AVERAGE(OFFSET($H$3,0,0,'Données projet'!$E$9+1,1))</f>
        <v>387.16864229348823</v>
      </c>
      <c r="T82" s="62">
        <f t="shared" si="88"/>
        <v>260.88002342542893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37.101099598517933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37.101099598517933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projet'!$B$10,Paramètres!$A$1:$I$88,3,0)*VLOOKUP('Données projet'!$B$10,Paramètres!$A$1:$I$88,5,0)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286.43219754768751</v>
      </c>
      <c r="AN82" s="62">
        <f ca="1">AVERAGE(OFFSET($AM$3,0,0,'Données projet'!$E$10+1,1))-AVERAGE(OFFSET($H$3,0,0,'Données projet'!$E$10+1,1))</f>
        <v>197.84745001458262</v>
      </c>
      <c r="AO82" s="62">
        <f t="shared" si="90"/>
        <v>290.24283321060068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23.278765159089978</v>
      </c>
      <c r="AV82" s="23">
        <f>EXP(-LN(2)/25)*AV81+(1-EXP(-LN(2)/25))/(LN(2)/25)*Calculateur!AQ82*Calculateur!AS82*VLOOKUP('Données projet'!$B$10,Paramètres!$A$1:$I$88,3,0)*0.475*44/12</f>
        <v>32.327688842878899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55.606454001968878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540.375</v>
      </c>
      <c r="BE82" s="14">
        <f>BD82*VLOOKUP('Données projet'!$B$11,Paramètres!$A$1:$I$88,3,0)*VLOOKUP('Données projet'!$B$11,Paramètres!$A$1:$I$88,5,0)</f>
        <v>323.14425000000006</v>
      </c>
      <c r="BF82" s="14">
        <f t="shared" si="91"/>
        <v>76.007203261088534</v>
      </c>
      <c r="BG82" s="22">
        <f t="shared" si="61"/>
        <v>695.18878109639593</v>
      </c>
      <c r="BH82" s="62">
        <f t="shared" si="62"/>
        <v>981.62097864408236</v>
      </c>
      <c r="BI82" s="62">
        <f ca="1">AVERAGE(OFFSET($BH$3,0,0,'Données projet'!$E$11+1,1))-AVERAGE(OFFSET($H$3,0,0,'Données projet'!$E$11+1,1))</f>
        <v>377.49758296179459</v>
      </c>
      <c r="BJ82" s="62">
        <f t="shared" si="92"/>
        <v>297.9972591134441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50.195835863188051</v>
      </c>
      <c r="BQ82" s="23">
        <f>EXP(-LN(2)/25)*BQ81+(1-EXP(-LN(2)/25))/(LN(2)/25)*Calculateur!BL82*Calculateur!BN82*VLOOKUP('Données projet'!$B$11,Paramètres!$A$1:$I$88,3,0)*0.475*44/12</f>
        <v>26.91174712013915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77.107582983327205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-2.2737367544323206E-13</v>
      </c>
      <c r="BZ82" s="14">
        <f>BY82*VLOOKUP('Données projet'!$B$12,Paramètres!$A$1:$I$88,3,0)*VLOOKUP('Données projet'!$B$12,Paramètres!$A$1:$I$88,5,0)</f>
        <v>-1.064108801074326E-13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163.77317062597106</v>
      </c>
      <c r="CE82" s="62">
        <f t="shared" si="94"/>
        <v>122.66073843071686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76.365450930439081</v>
      </c>
      <c r="CL82" s="23">
        <f>EXP(-LN(2)/25)*CL81+(1-EXP(-LN(2)/25))/(LN(2)/25)*Calculateur!CG82*Calculateur!CI82*VLOOKUP('Données projet'!$B$12,Paramètres!$A$1:$I$88,3,0)*0.475*44/12</f>
        <v>30.772638311121511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107.13808924156059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-1.1368683772161603E-13</v>
      </c>
      <c r="CU82" s="18">
        <f>CT82*VLOOKUP('Données projet'!$B$13,Paramètres!$A$1:$I$88,3,0)*VLOOKUP('Données projet'!$B$13,Paramètres!$A$1:$I$88,5,0)</f>
        <v>-6.7984728957526396E-14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167.84261986874142</v>
      </c>
      <c r="CZ82" s="62">
        <f t="shared" si="96"/>
        <v>242.5860875239222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19.144075998659783</v>
      </c>
      <c r="DG82" s="23">
        <f>EXP(-LN(2)/25)*DG81+(1-EXP(-LN(2)/25))/(LN(2)/25)*Calculateur!DB82*Calculateur!DD82*VLOOKUP('Données projet'!$B$13,Paramètres!$A$1:$I$88,3,0)*0.475*44/12</f>
        <v>26.147161971232705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45.291237969892492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1.5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5.5</v>
      </c>
      <c r="H83" s="70">
        <f t="shared" si="56"/>
        <v>234.66666666666666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6.4444444444444446</v>
      </c>
      <c r="N83" s="14">
        <f>IF('Données projet'!$A$36&gt;35,N82+M83-V82,IF(A83&lt;'Données projet'!$A$36,$K$205^A83,IF(A83='Données projet'!$A$36,'Données projet'!$B$36,N82+M83-V82)))</f>
        <v>197.88888888888894</v>
      </c>
      <c r="O83" s="14">
        <f>N83*VLOOKUP('Données projet'!$B$9,Paramètres!$A$1:$I$88,3,0)*VLOOKUP('Données projet'!$B$9,Paramètres!$A$1:$I$88,5,0)</f>
        <v>179.04986666666673</v>
      </c>
      <c r="P83" s="14">
        <f t="shared" si="87"/>
        <v>45.110733936942161</v>
      </c>
      <c r="Q83" s="22">
        <f t="shared" si="54"/>
        <v>390.41304605128545</v>
      </c>
      <c r="R83" s="62">
        <f t="shared" si="55"/>
        <v>676.9649628762246</v>
      </c>
      <c r="S83" s="62">
        <f ca="1">AVERAGE(OFFSET($R$3,0,0,'Données projet'!$E$9+1,1))-AVERAGE(OFFSET($H$3,0,0,'Données projet'!$E$9+1,1))</f>
        <v>387.16864229348823</v>
      </c>
      <c r="T83" s="62">
        <f t="shared" si="88"/>
        <v>260.88002342542893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36.373569664827279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36.373569664827279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projet'!$B$10,Paramètres!$A$1:$I$88,3,0)*VLOOKUP('Données projet'!$B$10,Paramètres!$A$1:$I$88,5,0)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286.55191682494024</v>
      </c>
      <c r="AN83" s="62">
        <f ca="1">AVERAGE(OFFSET($AM$3,0,0,'Données projet'!$E$10+1,1))-AVERAGE(OFFSET($H$3,0,0,'Données projet'!$E$10+1,1))</f>
        <v>197.84745001458262</v>
      </c>
      <c r="AO83" s="62">
        <f t="shared" si="90"/>
        <v>290.24283321060068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22.822282772964972</v>
      </c>
      <c r="AV83" s="23">
        <f>EXP(-LN(2)/25)*AV82+(1-EXP(-LN(2)/25))/(LN(2)/25)*Calculateur!AQ83*Calculateur!AS83*VLOOKUP('Données projet'!$B$10,Paramètres!$A$1:$I$88,3,0)*0.475*44/12</f>
        <v>31.443686491431105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54.265969264396077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549.25</v>
      </c>
      <c r="BE83" s="14">
        <f>BD83*VLOOKUP('Données projet'!$B$11,Paramètres!$A$1:$I$88,3,0)*VLOOKUP('Données projet'!$B$11,Paramètres!$A$1:$I$88,5,0)</f>
        <v>328.45150000000001</v>
      </c>
      <c r="BF83" s="14">
        <f t="shared" si="91"/>
        <v>77.109175784158708</v>
      </c>
      <c r="BG83" s="22">
        <f t="shared" si="61"/>
        <v>706.35151032407646</v>
      </c>
      <c r="BH83" s="62">
        <f t="shared" si="62"/>
        <v>992.90342714901567</v>
      </c>
      <c r="BI83" s="62">
        <f ca="1">AVERAGE(OFFSET($BH$3,0,0,'Données projet'!$E$11+1,1))-AVERAGE(OFFSET($H$3,0,0,'Données projet'!$E$11+1,1))</f>
        <v>377.49758296179459</v>
      </c>
      <c r="BJ83" s="62">
        <f t="shared" si="92"/>
        <v>297.9972591134441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49.211526138347686</v>
      </c>
      <c r="BQ83" s="23">
        <f>EXP(-LN(2)/25)*BQ82+(1-EXP(-LN(2)/25))/(LN(2)/25)*Calculateur!BL83*Calculateur!BN83*VLOOKUP('Données projet'!$B$11,Paramètres!$A$1:$I$88,3,0)*0.475*44/12</f>
        <v>26.175843979911672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75.387370118259355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-2.2737367544323206E-13</v>
      </c>
      <c r="BZ83" s="14">
        <f>BY83*VLOOKUP('Données projet'!$B$12,Paramètres!$A$1:$I$88,3,0)*VLOOKUP('Données projet'!$B$12,Paramètres!$A$1:$I$88,5,0)</f>
        <v>-1.064108801074326E-13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163.77317062597106</v>
      </c>
      <c r="CE83" s="62">
        <f t="shared" si="94"/>
        <v>122.66073843071686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74.867971016019013</v>
      </c>
      <c r="CL83" s="23">
        <f>EXP(-LN(2)/25)*CL82+(1-EXP(-LN(2)/25))/(LN(2)/25)*Calculateur!CG83*Calculateur!CI83*VLOOKUP('Données projet'!$B$12,Paramètres!$A$1:$I$88,3,0)*0.475*44/12</f>
        <v>29.931158898241176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104.79912991426019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-1.1368683772161603E-13</v>
      </c>
      <c r="CU83" s="18">
        <f>CT83*VLOOKUP('Données projet'!$B$13,Paramètres!$A$1:$I$88,3,0)*VLOOKUP('Données projet'!$B$13,Paramètres!$A$1:$I$88,5,0)</f>
        <v>-6.7984728957526396E-14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167.84261986874142</v>
      </c>
      <c r="CZ83" s="62">
        <f t="shared" si="96"/>
        <v>242.5860875239222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18.768672345059443</v>
      </c>
      <c r="DG83" s="23">
        <f>EXP(-LN(2)/25)*DG82+(1-EXP(-LN(2)/25))/(LN(2)/25)*Calculateur!DB83*Calculateur!DD83*VLOOKUP('Données projet'!$B$13,Paramètres!$A$1:$I$88,3,0)*0.475*44/12</f>
        <v>25.432166452109858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44.200838797169297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1.5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5.5</v>
      </c>
      <c r="H84" s="70">
        <f t="shared" si="56"/>
        <v>234.66666666666666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6.4444444444444446</v>
      </c>
      <c r="N84" s="14">
        <f>IF('Données projet'!$A$36&gt;35,N83+M84-V83,IF(A84&lt;'Données projet'!$A$36,$K$205^A84,IF(A84='Données projet'!$A$36,'Données projet'!$B$36,N83+M84-V83)))</f>
        <v>204.3333333333334</v>
      </c>
      <c r="O84" s="14">
        <f>N84*VLOOKUP('Données projet'!$B$9,Paramètres!$A$1:$I$88,3,0)*VLOOKUP('Données projet'!$B$9,Paramètres!$A$1:$I$88,5,0)</f>
        <v>184.88080000000005</v>
      </c>
      <c r="P84" s="14">
        <f t="shared" si="87"/>
        <v>46.40637762364517</v>
      </c>
      <c r="Q84" s="22">
        <f t="shared" si="54"/>
        <v>402.82516769451541</v>
      </c>
      <c r="R84" s="62">
        <f t="shared" si="55"/>
        <v>689.49472693489918</v>
      </c>
      <c r="S84" s="62">
        <f ca="1">AVERAGE(OFFSET($R$3,0,0,'Données projet'!$E$9+1,1))-AVERAGE(OFFSET($H$3,0,0,'Données projet'!$E$9+1,1))</f>
        <v>387.16864229348823</v>
      </c>
      <c r="T84" s="62">
        <f t="shared" si="88"/>
        <v>260.88002342542893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35.660306149386855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35.660306149386855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projet'!$B$10,Paramètres!$A$1:$I$88,3,0)*VLOOKUP('Données projet'!$B$10,Paramètres!$A$1:$I$88,5,0)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286.66955924038484</v>
      </c>
      <c r="AN84" s="62">
        <f ca="1">AVERAGE(OFFSET($AM$3,0,0,'Données projet'!$E$10+1,1))-AVERAGE(OFFSET($H$3,0,0,'Données projet'!$E$10+1,1))</f>
        <v>197.84745001458262</v>
      </c>
      <c r="AO84" s="62">
        <f t="shared" si="90"/>
        <v>290.24283321060068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22.374751728005112</v>
      </c>
      <c r="AV84" s="23">
        <f>EXP(-LN(2)/25)*AV83+(1-EXP(-LN(2)/25))/(LN(2)/25)*Calculateur!AQ84*Calculateur!AS84*VLOOKUP('Données projet'!$B$10,Paramètres!$A$1:$I$88,3,0)*0.475*44/12</f>
        <v>30.583857230771315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52.958608958776423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558.125</v>
      </c>
      <c r="BE84" s="14">
        <f>BD84*VLOOKUP('Données projet'!$B$11,Paramètres!$A$1:$I$88,3,0)*VLOOKUP('Données projet'!$B$11,Paramètres!$A$1:$I$88,5,0)</f>
        <v>333.75875000000002</v>
      </c>
      <c r="BF84" s="14">
        <f t="shared" si="91"/>
        <v>78.209077528625059</v>
      </c>
      <c r="BG84" s="22">
        <f t="shared" si="61"/>
        <v>717.5106329456886</v>
      </c>
      <c r="BH84" s="62">
        <f t="shared" si="62"/>
        <v>1004.1801921860724</v>
      </c>
      <c r="BI84" s="62">
        <f ca="1">AVERAGE(OFFSET($BH$3,0,0,'Données projet'!$E$11+1,1))-AVERAGE(OFFSET($H$3,0,0,'Données projet'!$E$11+1,1))</f>
        <v>377.49758296179459</v>
      </c>
      <c r="BJ84" s="62">
        <f t="shared" si="92"/>
        <v>297.9972591134441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48.246518126841792</v>
      </c>
      <c r="BQ84" s="23">
        <f>EXP(-LN(2)/25)*BQ83+(1-EXP(-LN(2)/25))/(LN(2)/25)*Calculateur!BL84*Calculateur!BN84*VLOOKUP('Données projet'!$B$11,Paramètres!$A$1:$I$88,3,0)*0.475*44/12</f>
        <v>25.46006414975318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73.706582276594972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projet'!$B$12,Paramètres!$A$1:$I$88,3,0)*VLOOKUP('Données projet'!$B$12,Paramètres!$A$1:$I$88,5,0)</f>
        <v>-1.064108801074326E-13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163.77317062597106</v>
      </c>
      <c r="CE84" s="62">
        <f t="shared" si="94"/>
        <v>122.66073843071686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73.399855769348164</v>
      </c>
      <c r="CL84" s="23">
        <f>EXP(-LN(2)/25)*CL83+(1-EXP(-LN(2)/25))/(LN(2)/25)*Calculateur!CG84*Calculateur!CI84*VLOOKUP('Données projet'!$B$12,Paramètres!$A$1:$I$88,3,0)*0.475*44/12</f>
        <v>29.112689784157531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102.5125455535057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projet'!$B$13,Paramètres!$A$1:$I$88,3,0)*VLOOKUP('Données projet'!$B$13,Paramètres!$A$1:$I$88,5,0)</f>
        <v>-6.7984728957526396E-14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167.84261986874142</v>
      </c>
      <c r="CZ84" s="62">
        <f t="shared" si="96"/>
        <v>242.5860875239222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18.400630128132587</v>
      </c>
      <c r="DG84" s="23">
        <f>EXP(-LN(2)/25)*DG83+(1-EXP(-LN(2)/25))/(LN(2)/25)*Calculateur!DB84*Calculateur!DD84*VLOOKUP('Données projet'!$B$13,Paramètres!$A$1:$I$88,3,0)*0.475*44/12</f>
        <v>24.736722523057406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43.137352651189993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1.5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5.5</v>
      </c>
      <c r="H85" s="70">
        <f t="shared" si="56"/>
        <v>234.66666666666666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6.4444444444444446</v>
      </c>
      <c r="N85" s="14">
        <f>IF('Données projet'!$A$36&gt;35,N84+M85-V84,IF(A85&lt;'Données projet'!$A$36,$K$205^A85,IF(A85='Données projet'!$A$36,'Données projet'!$B$36,N84+M85-V84)))</f>
        <v>210.77777777777786</v>
      </c>
      <c r="O85" s="14">
        <f>N85*VLOOKUP('Données projet'!$B$9,Paramètres!$A$1:$I$88,3,0)*VLOOKUP('Données projet'!$B$9,Paramètres!$A$1:$I$88,5,0)</f>
        <v>190.7117333333334</v>
      </c>
      <c r="P85" s="14">
        <f t="shared" si="87"/>
        <v>47.697272728026732</v>
      </c>
      <c r="Q85" s="22">
        <f t="shared" si="54"/>
        <v>415.22901889020221</v>
      </c>
      <c r="R85" s="62">
        <f t="shared" si="55"/>
        <v>702.01417971313163</v>
      </c>
      <c r="S85" s="62">
        <f ca="1">AVERAGE(OFFSET($R$3,0,0,'Données projet'!$E$9+1,1))-AVERAGE(OFFSET($H$3,0,0,'Données projet'!$E$9+1,1))</f>
        <v>387.16864229348823</v>
      </c>
      <c r="T85" s="62">
        <f t="shared" si="88"/>
        <v>260.88002342542893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34.961029296436436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34.961029296436436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projet'!$B$10,Paramètres!$A$1:$I$88,3,0)*VLOOKUP('Données projet'!$B$10,Paramètres!$A$1:$I$88,5,0)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286.78516082293055</v>
      </c>
      <c r="AN85" s="62">
        <f ca="1">AVERAGE(OFFSET($AM$3,0,0,'Données projet'!$E$10+1,1))-AVERAGE(OFFSET($H$3,0,0,'Données projet'!$E$10+1,1))</f>
        <v>197.84745001458262</v>
      </c>
      <c r="AO85" s="62">
        <f t="shared" si="90"/>
        <v>290.24283321060068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21.935996493869933</v>
      </c>
      <c r="AV85" s="23">
        <f>EXP(-LN(2)/25)*AV84+(1-EXP(-LN(2)/25))/(LN(2)/25)*Calculateur!AQ85*Calculateur!AS85*VLOOKUP('Données projet'!$B$10,Paramètres!$A$1:$I$88,3,0)*0.475*44/12</f>
        <v>29.74754004646072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51.68353654033065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567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567</v>
      </c>
      <c r="BE85" s="14">
        <f>BD85*VLOOKUP('Données projet'!$B$11,Paramètres!$A$1:$I$88,3,0)*VLOOKUP('Données projet'!$B$11,Paramètres!$A$1:$I$88,5,0)</f>
        <v>339.06600000000003</v>
      </c>
      <c r="BF85" s="14">
        <f t="shared" si="91"/>
        <v>79.30694522486489</v>
      </c>
      <c r="BG85" s="22">
        <f t="shared" si="61"/>
        <v>728.66621293330627</v>
      </c>
      <c r="BH85" s="62">
        <f t="shared" si="62"/>
        <v>1015.4513737562357</v>
      </c>
      <c r="BI85" s="62">
        <f ca="1">AVERAGE(OFFSET($BH$3,0,0,'Données projet'!$E$11+1,1))-AVERAGE(OFFSET($H$3,0,0,'Données projet'!$E$11+1,1))</f>
        <v>377.49758296179459</v>
      </c>
      <c r="BJ85" s="62">
        <f t="shared" si="92"/>
        <v>297.9972591134441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567</v>
      </c>
      <c r="BM85" s="17">
        <f>IF(ISNA(VLOOKUP(A85,'Données projet'!$A$87:$I$107,5,0)),0%,VLOOKUP(A85,'Données projet'!$A$87:$I$107,5,0)*VLOOKUP('Données projet'!$B$11,Paramètres!$A$1:$I$88,7,0))</f>
        <v>0.315</v>
      </c>
      <c r="BN85" s="17">
        <f>IF(ISNA(VLOOKUP(A85,'Données projet'!$A$87:$I$107,6,0)),0%,VLOOKUP(A85,'Données projet'!$A$87:$I$107,6,0)*VLOOKUP('Données projet'!$B$11,Paramètres!$A$1:$I$88,7,0))</f>
        <v>0.13500000000000001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188.98519798298463</v>
      </c>
      <c r="BQ85" s="23">
        <f>EXP(-LN(2)/25)*BQ84+(1-EXP(-LN(2)/25))/(LN(2)/25)*Calculateur!BL85*Calculateur!BN85*VLOOKUP('Données projet'!$B$11,Paramètres!$A$1:$I$88,3,0)*0.475*44/12</f>
        <v>85.246813532943804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274.23201151592843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projet'!$B$12,Paramètres!$A$1:$I$88,3,0)*VLOOKUP('Données projet'!$B$12,Paramètres!$A$1:$I$88,5,0)</f>
        <v>-1.064108801074326E-13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163.77317062597106</v>
      </c>
      <c r="CE85" s="62">
        <f t="shared" si="94"/>
        <v>122.66073843071686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71.960529367202639</v>
      </c>
      <c r="CL85" s="23">
        <f>EXP(-LN(2)/25)*CL84+(1-EXP(-LN(2)/25))/(LN(2)/25)*Calculateur!CG85*Calculateur!CI85*VLOOKUP('Données projet'!$B$12,Paramètres!$A$1:$I$88,3,0)*0.475*44/12</f>
        <v>28.316601751039926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100.27713111824256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projet'!$B$13,Paramètres!$A$1:$I$88,3,0)*VLOOKUP('Données projet'!$B$13,Paramètres!$A$1:$I$88,5,0)</f>
        <v>-6.7984728957526396E-14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167.84261986874142</v>
      </c>
      <c r="CZ85" s="62">
        <f t="shared" si="96"/>
        <v>242.5860875239222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18.039804994596079</v>
      </c>
      <c r="DG85" s="23">
        <f>EXP(-LN(2)/25)*DG84+(1-EXP(-LN(2)/25))/(LN(2)/25)*Calculateur!DB85*Calculateur!DD85*VLOOKUP('Données projet'!$B$13,Paramètres!$A$1:$I$88,3,0)*0.475*44/12</f>
        <v>24.0602955448167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42.100100539412779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1.5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5.5</v>
      </c>
      <c r="H86" s="70">
        <f t="shared" si="56"/>
        <v>234.66666666666666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6.4444444444444446</v>
      </c>
      <c r="N86" s="14">
        <f>IF('Données projet'!$A$36&gt;35,N85+M86-V85,IF(A86&lt;'Données projet'!$A$36,$K$205^A86,IF(A86='Données projet'!$A$36,'Données projet'!$B$36,N85+M86-V85)))</f>
        <v>217.22222222222231</v>
      </c>
      <c r="O86" s="14">
        <f>N86*VLOOKUP('Données projet'!$B$9,Paramètres!$A$1:$I$88,3,0)*VLOOKUP('Données projet'!$B$9,Paramètres!$A$1:$I$88,5,0)</f>
        <v>196.54266666666675</v>
      </c>
      <c r="P86" s="14">
        <f t="shared" si="87"/>
        <v>48.983581098767061</v>
      </c>
      <c r="Q86" s="22">
        <f t="shared" si="54"/>
        <v>427.62488152479727</v>
      </c>
      <c r="R86" s="62">
        <f t="shared" si="55"/>
        <v>714.52363850126164</v>
      </c>
      <c r="S86" s="62">
        <f ca="1">AVERAGE(OFFSET($R$3,0,0,'Données projet'!$E$9+1,1))-AVERAGE(OFFSET($H$3,0,0,'Données projet'!$E$9+1,1))</f>
        <v>387.16864229348823</v>
      </c>
      <c r="T86" s="62">
        <f t="shared" si="88"/>
        <v>260.88002342542893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34.275464836055605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34.275464836055605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projet'!$B$10,Paramètres!$A$1:$I$88,3,0)*VLOOKUP('Données projet'!$B$10,Paramètres!$A$1:$I$88,5,0)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286.89875697646545</v>
      </c>
      <c r="AN86" s="62">
        <f ca="1">AVERAGE(OFFSET($AM$3,0,0,'Données projet'!$E$10+1,1))-AVERAGE(OFFSET($H$3,0,0,'Données projet'!$E$10+1,1))</f>
        <v>197.84745001458262</v>
      </c>
      <c r="AO86" s="62">
        <f t="shared" si="90"/>
        <v>290.24283321060068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21.505844982261877</v>
      </c>
      <c r="AV86" s="23">
        <f>EXP(-LN(2)/25)*AV85+(1-EXP(-LN(2)/25))/(LN(2)/25)*Calculateur!AQ86*Calculateur!AS86*VLOOKUP('Données projet'!$B$10,Paramètres!$A$1:$I$88,3,0)*0.475*44/12</f>
        <v>28.934091999535109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50.43993698179699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projet'!$B$11,Paramètres!$A$1:$I$88,3,0)*VLOOKUP('Données projet'!$B$11,Paramètres!$A$1:$I$88,5,0)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377.49758296179459</v>
      </c>
      <c r="BJ86" s="62">
        <f t="shared" si="92"/>
        <v>297.9972591134441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185.27931352012715</v>
      </c>
      <c r="BQ86" s="23">
        <f>EXP(-LN(2)/25)*BQ85+(1-EXP(-LN(2)/25))/(LN(2)/25)*Calculateur!BL86*Calculateur!BN86*VLOOKUP('Données projet'!$B$11,Paramètres!$A$1:$I$88,3,0)*0.475*44/12</f>
        <v>82.915734933950361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268.19504845407749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projet'!$B$12,Paramètres!$A$1:$I$88,3,0)*VLOOKUP('Données projet'!$B$12,Paramètres!$A$1:$I$88,5,0)</f>
        <v>-1.064108801074326E-13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163.77317062597106</v>
      </c>
      <c r="CE86" s="62">
        <f t="shared" si="94"/>
        <v>122.66073843071686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70.549427277900776</v>
      </c>
      <c r="CL86" s="23">
        <f>EXP(-LN(2)/25)*CL85+(1-EXP(-LN(2)/25))/(LN(2)/25)*Calculateur!CG86*Calculateur!CI86*VLOOKUP('Données projet'!$B$12,Paramètres!$A$1:$I$88,3,0)*0.475*44/12</f>
        <v>27.542282787052372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98.091710064953148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projet'!$B$13,Paramètres!$A$1:$I$88,3,0)*VLOOKUP('Données projet'!$B$13,Paramètres!$A$1:$I$88,5,0)</f>
        <v>-6.7984728957526396E-14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167.84261986874142</v>
      </c>
      <c r="CZ86" s="62">
        <f t="shared" si="96"/>
        <v>242.5860875239222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17.686055421846621</v>
      </c>
      <c r="DG86" s="23">
        <f>EXP(-LN(2)/25)*DG85+(1-EXP(-LN(2)/25))/(LN(2)/25)*Calculateur!DB86*Calculateur!DD86*VLOOKUP('Données projet'!$B$13,Paramètres!$A$1:$I$88,3,0)*0.475*44/12</f>
        <v>23.402365497867734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41.088420919714352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1.5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5.5</v>
      </c>
      <c r="H87" s="70">
        <f t="shared" si="56"/>
        <v>234.66666666666666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6.4444444444444446</v>
      </c>
      <c r="N87" s="14">
        <f>IF('Données projet'!$A$36&gt;35,N86+M87-V86,IF(A87&lt;'Données projet'!$A$36,$K$205^A87,IF(A87='Données projet'!$A$36,'Données projet'!$B$36,N86+M87-V86)))</f>
        <v>223.66666666666677</v>
      </c>
      <c r="O87" s="14">
        <f>N87*VLOOKUP('Données projet'!$B$9,Paramètres!$A$1:$I$88,3,0)*VLOOKUP('Données projet'!$B$9,Paramètres!$A$1:$I$88,5,0)</f>
        <v>202.3736000000001</v>
      </c>
      <c r="P87" s="14">
        <f t="shared" si="87"/>
        <v>50.265454435353256</v>
      </c>
      <c r="Q87" s="22">
        <f t="shared" si="54"/>
        <v>440.01301980824041</v>
      </c>
      <c r="R87" s="62">
        <f t="shared" si="55"/>
        <v>727.02340229893889</v>
      </c>
      <c r="S87" s="62">
        <f ca="1">AVERAGE(OFFSET($R$3,0,0,'Données projet'!$E$9+1,1))-AVERAGE(OFFSET($H$3,0,0,'Données projet'!$E$9+1,1))</f>
        <v>387.16864229348823</v>
      </c>
      <c r="T87" s="62">
        <f t="shared" si="88"/>
        <v>260.88002342542893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33.603343876589811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33.603343876589811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projet'!$B$10,Paramètres!$A$1:$I$88,3,0)*VLOOKUP('Données projet'!$B$10,Paramètres!$A$1:$I$88,5,0)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287.0103824906995</v>
      </c>
      <c r="AN87" s="62">
        <f ca="1">AVERAGE(OFFSET($AM$3,0,0,'Données projet'!$E$10+1,1))-AVERAGE(OFFSET($H$3,0,0,'Données projet'!$E$10+1,1))</f>
        <v>197.84745001458262</v>
      </c>
      <c r="AO87" s="62">
        <f t="shared" si="90"/>
        <v>290.24283321060068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21.084128479429939</v>
      </c>
      <c r="AV87" s="23">
        <f>EXP(-LN(2)/25)*AV86+(1-EXP(-LN(2)/25))/(LN(2)/25)*Calculateur!AQ87*Calculateur!AS87*VLOOKUP('Données projet'!$B$10,Paramètres!$A$1:$I$88,3,0)*0.475*44/12</f>
        <v>28.142887732230054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49.227016211659993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projet'!$B$11,Paramètres!$A$1:$I$88,3,0)*VLOOKUP('Données projet'!$B$11,Paramètres!$A$1:$I$88,5,0)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377.49758296179459</v>
      </c>
      <c r="BJ87" s="62">
        <f t="shared" si="92"/>
        <v>297.9972591134441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181.64609919121997</v>
      </c>
      <c r="BQ87" s="23">
        <f>EXP(-LN(2)/25)*BQ86+(1-EXP(-LN(2)/25))/(LN(2)/25)*Calculateur!BL87*Calculateur!BN87*VLOOKUP('Données projet'!$B$11,Paramètres!$A$1:$I$88,3,0)*0.475*44/12</f>
        <v>80.648399801832497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262.29449899305246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projet'!$B$12,Paramètres!$A$1:$I$88,3,0)*VLOOKUP('Données projet'!$B$12,Paramètres!$A$1:$I$88,5,0)</f>
        <v>-1.064108801074326E-13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163.77317062597106</v>
      </c>
      <c r="CE87" s="62">
        <f t="shared" si="94"/>
        <v>122.66073843071686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69.165996039882828</v>
      </c>
      <c r="CL87" s="23">
        <f>EXP(-LN(2)/25)*CL86+(1-EXP(-LN(2)/25))/(LN(2)/25)*Calculateur!CG87*Calculateur!CI87*VLOOKUP('Données projet'!$B$12,Paramètres!$A$1:$I$88,3,0)*0.475*44/12</f>
        <v>26.78913761585472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95.955133655737541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projet'!$B$13,Paramètres!$A$1:$I$88,3,0)*VLOOKUP('Données projet'!$B$13,Paramètres!$A$1:$I$88,5,0)</f>
        <v>-6.7984728957526396E-14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167.84261986874142</v>
      </c>
      <c r="CZ87" s="62">
        <f t="shared" si="96"/>
        <v>242.5860875239222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17.339242662452847</v>
      </c>
      <c r="DG87" s="23">
        <f>EXP(-LN(2)/25)*DG86+(1-EXP(-LN(2)/25))/(LN(2)/25)*Calculateur!DB87*Calculateur!DD87*VLOOKUP('Données projet'!$B$13,Paramètres!$A$1:$I$88,3,0)*0.475*44/12</f>
        <v>22.762426582651628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40.101669245104475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1.5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5.5</v>
      </c>
      <c r="H88" s="70">
        <f t="shared" si="56"/>
        <v>234.66666666666666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6.4444444444444446</v>
      </c>
      <c r="N88" s="14">
        <f>IF('Données projet'!$A$36&gt;35,N87+M88-V87,IF(A88&lt;'Données projet'!$A$36,$K$205^A88,IF(A88='Données projet'!$A$36,'Données projet'!$B$36,N87+M88-V87)))</f>
        <v>230.11111111111123</v>
      </c>
      <c r="O88" s="14">
        <f>N88*VLOOKUP('Données projet'!$B$9,Paramètres!$A$1:$I$88,3,0)*VLOOKUP('Données projet'!$B$9,Paramètres!$A$1:$I$88,5,0)</f>
        <v>208.20453333333342</v>
      </c>
      <c r="P88" s="14">
        <f t="shared" si="87"/>
        <v>51.543035198379727</v>
      </c>
      <c r="Q88" s="22">
        <f t="shared" si="54"/>
        <v>452.39368185940026</v>
      </c>
      <c r="R88" s="62">
        <f t="shared" si="55"/>
        <v>739.51375341121809</v>
      </c>
      <c r="S88" s="62">
        <f ca="1">AVERAGE(OFFSET($R$3,0,0,'Données projet'!$E$9+1,1))-AVERAGE(OFFSET($H$3,0,0,'Données projet'!$E$9+1,1))</f>
        <v>387.16864229348823</v>
      </c>
      <c r="T88" s="62">
        <f t="shared" si="88"/>
        <v>260.88002342542893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32.944402799185838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32.944402799185838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projet'!$B$10,Paramètres!$A$1:$I$88,3,0)*VLOOKUP('Données projet'!$B$10,Paramètres!$A$1:$I$88,5,0)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287.12007155181891</v>
      </c>
      <c r="AN88" s="62">
        <f ca="1">AVERAGE(OFFSET($AM$3,0,0,'Données projet'!$E$10+1,1))-AVERAGE(OFFSET($H$3,0,0,'Données projet'!$E$10+1,1))</f>
        <v>197.84745001458262</v>
      </c>
      <c r="AO88" s="62">
        <f t="shared" si="90"/>
        <v>290.24283321060068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20.670681579996867</v>
      </c>
      <c r="AV88" s="23">
        <f>EXP(-LN(2)/25)*AV87+(1-EXP(-LN(2)/25))/(LN(2)/25)*Calculateur!AQ88*Calculateur!AS88*VLOOKUP('Données projet'!$B$10,Paramètres!$A$1:$I$88,3,0)*0.475*44/12</f>
        <v>27.373318987222078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48.044000567218944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projet'!$B$11,Paramètres!$A$1:$I$88,3,0)*VLOOKUP('Données projet'!$B$11,Paramètres!$A$1:$I$88,5,0)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377.49758296179459</v>
      </c>
      <c r="BJ88" s="62">
        <f t="shared" si="92"/>
        <v>297.9972591134441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178.08412997926075</v>
      </c>
      <c r="BQ88" s="23">
        <f>EXP(-LN(2)/25)*BQ87+(1-EXP(-LN(2)/25))/(LN(2)/25)*Calculateur!BL88*Calculateur!BN88*VLOOKUP('Données projet'!$B$11,Paramètres!$A$1:$I$88,3,0)*0.475*44/12</f>
        <v>78.443065068136363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256.52719504739713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projet'!$B$12,Paramètres!$A$1:$I$88,3,0)*VLOOKUP('Données projet'!$B$12,Paramètres!$A$1:$I$88,5,0)</f>
        <v>-1.064108801074326E-13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163.77317062597106</v>
      </c>
      <c r="CE88" s="62">
        <f t="shared" si="94"/>
        <v>122.66073843071686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67.809693044632681</v>
      </c>
      <c r="CL88" s="23">
        <f>EXP(-LN(2)/25)*CL87+(1-EXP(-LN(2)/25))/(LN(2)/25)*Calculateur!CG88*Calculateur!CI88*VLOOKUP('Données projet'!$B$12,Paramètres!$A$1:$I$88,3,0)*0.475*44/12</f>
        <v>26.056587238969652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93.866280283602336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projet'!$B$13,Paramètres!$A$1:$I$88,3,0)*VLOOKUP('Données projet'!$B$13,Paramètres!$A$1:$I$88,5,0)</f>
        <v>-6.7984728957526396E-14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167.84261986874142</v>
      </c>
      <c r="CZ88" s="62">
        <f t="shared" si="96"/>
        <v>242.5860875239222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16.999230689735889</v>
      </c>
      <c r="DG88" s="23">
        <f>EXP(-LN(2)/25)*DG87+(1-EXP(-LN(2)/25))/(LN(2)/25)*Calculateur!DB88*Calculateur!DD88*VLOOKUP('Données projet'!$B$13,Paramètres!$A$1:$I$88,3,0)*0.475*44/12</f>
        <v>22.139986830725029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39.139217520460917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1.5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5.5</v>
      </c>
      <c r="H89" s="70">
        <f t="shared" si="56"/>
        <v>234.66666666666666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6.4444444444444446</v>
      </c>
      <c r="N89" s="14">
        <f>IF('Données projet'!$A$36&gt;35,N88+M89-V88,IF(A89&lt;'Données projet'!$A$36,$K$205^A89,IF(A89='Données projet'!$A$36,'Données projet'!$B$36,N88+M89-V88)))</f>
        <v>236.55555555555569</v>
      </c>
      <c r="O89" s="14">
        <f>N89*VLOOKUP('Données projet'!$B$9,Paramètres!$A$1:$I$88,3,0)*VLOOKUP('Données projet'!$B$9,Paramètres!$A$1:$I$88,5,0)</f>
        <v>214.03546666666676</v>
      </c>
      <c r="P89" s="14">
        <f t="shared" si="87"/>
        <v>52.816457415007392</v>
      </c>
      <c r="Q89" s="22">
        <f t="shared" si="54"/>
        <v>464.76710110891577</v>
      </c>
      <c r="R89" s="62">
        <f t="shared" si="55"/>
        <v>751.99495886187049</v>
      </c>
      <c r="S89" s="62">
        <f ca="1">AVERAGE(OFFSET($R$3,0,0,'Données projet'!$E$9+1,1))-AVERAGE(OFFSET($H$3,0,0,'Données projet'!$E$9+1,1))</f>
        <v>387.16864229348823</v>
      </c>
      <c r="T89" s="62">
        <f t="shared" si="88"/>
        <v>260.88002342542893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32.298383154395381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32.298383154395381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projet'!$B$10,Paramètres!$A$1:$I$88,3,0)*VLOOKUP('Données projet'!$B$10,Paramètres!$A$1:$I$88,5,0)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287.2278577529558</v>
      </c>
      <c r="AN89" s="62">
        <f ca="1">AVERAGE(OFFSET($AM$3,0,0,'Données projet'!$E$10+1,1))-AVERAGE(OFFSET($H$3,0,0,'Données projet'!$E$10+1,1))</f>
        <v>197.84745001458262</v>
      </c>
      <c r="AO89" s="62">
        <f t="shared" si="90"/>
        <v>290.24283321060068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20.265342122083968</v>
      </c>
      <c r="AV89" s="23">
        <f>EXP(-LN(2)/25)*AV88+(1-EXP(-LN(2)/25))/(LN(2)/25)*Calculateur!AQ89*Calculateur!AS89*VLOOKUP('Données projet'!$B$10,Paramètres!$A$1:$I$88,3,0)*0.475*44/12</f>
        <v>26.624794140016206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46.890136262100171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projet'!$B$11,Paramètres!$A$1:$I$88,3,0)*VLOOKUP('Données projet'!$B$11,Paramètres!$A$1:$I$88,5,0)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377.49758296179459</v>
      </c>
      <c r="BJ89" s="62">
        <f t="shared" si="92"/>
        <v>297.9972591134441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174.59200881096135</v>
      </c>
      <c r="BQ89" s="23">
        <f>EXP(-LN(2)/25)*BQ88+(1-EXP(-LN(2)/25))/(LN(2)/25)*Calculateur!BL89*Calculateur!BN89*VLOOKUP('Données projet'!$B$11,Paramètres!$A$1:$I$88,3,0)*0.475*44/12</f>
        <v>76.298035328706661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250.89004413966802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projet'!$B$12,Paramètres!$A$1:$I$88,3,0)*VLOOKUP('Données projet'!$B$12,Paramètres!$A$1:$I$88,5,0)</f>
        <v>-1.064108801074326E-13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163.77317062597106</v>
      </c>
      <c r="CE89" s="62">
        <f t="shared" si="94"/>
        <v>122.66073843071686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66.479986323856252</v>
      </c>
      <c r="CL89" s="23">
        <f>EXP(-LN(2)/25)*CL88+(1-EXP(-LN(2)/25))/(LN(2)/25)*Calculateur!CG89*Calculateur!CI89*VLOOKUP('Données projet'!$B$12,Paramètres!$A$1:$I$88,3,0)*0.475*44/12</f>
        <v>25.344068490663656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91.824054814519911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projet'!$B$13,Paramètres!$A$1:$I$88,3,0)*VLOOKUP('Données projet'!$B$13,Paramètres!$A$1:$I$88,5,0)</f>
        <v>-6.7984728957526396E-14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167.84261986874142</v>
      </c>
      <c r="CZ89" s="62">
        <f t="shared" si="96"/>
        <v>242.5860875239222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16.665886144417083</v>
      </c>
      <c r="DG89" s="23">
        <f>EXP(-LN(2)/25)*DG88+(1-EXP(-LN(2)/25))/(LN(2)/25)*Calculateur!DB89*Calculateur!DD89*VLOOKUP('Données projet'!$B$13,Paramètres!$A$1:$I$88,3,0)*0.475*44/12</f>
        <v>21.534567726547547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38.20045387096463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1.5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5.5</v>
      </c>
      <c r="H90" s="70">
        <f t="shared" si="56"/>
        <v>234.66666666666666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243</v>
      </c>
      <c r="L90" s="13">
        <f>VLOOKUP(A90,'Données projet'!$A$35:$I$55,9,0)</f>
        <v>6.4444444444444446</v>
      </c>
      <c r="M90" s="13">
        <f t="array" ref="M90">INDEX(L:L,MIN(IF(ISNUMBER(L90:L286),ROW(L90:L286),"")))</f>
        <v>6.4444444444444446</v>
      </c>
      <c r="N90" s="14">
        <f>IF('Données projet'!$A$36&gt;35,N89+M90-V89,IF(A90&lt;'Données projet'!$A$36,$K$205^A90,IF(A90='Données projet'!$A$36,'Données projet'!$B$36,N89+M90-V89)))</f>
        <v>243.00000000000014</v>
      </c>
      <c r="O90" s="14">
        <f>N90*VLOOKUP('Données projet'!$B$9,Paramètres!$A$1:$I$88,3,0)*VLOOKUP('Données projet'!$B$9,Paramètres!$A$1:$I$88,5,0)</f>
        <v>219.86640000000014</v>
      </c>
      <c r="P90" s="14">
        <f t="shared" si="87"/>
        <v>54.085847394182466</v>
      </c>
      <c r="Q90" s="22">
        <f t="shared" si="54"/>
        <v>477.13349754486808</v>
      </c>
      <c r="R90" s="62">
        <f t="shared" si="55"/>
        <v>764.46727164934384</v>
      </c>
      <c r="S90" s="62">
        <f ca="1">AVERAGE(OFFSET($R$3,0,0,'Données projet'!$E$9+1,1))-AVERAGE(OFFSET($H$3,0,0,'Données projet'!$E$9+1,1))</f>
        <v>387.16864229348823</v>
      </c>
      <c r="T90" s="62">
        <f t="shared" si="88"/>
        <v>260.88002342542893</v>
      </c>
      <c r="U90" s="16">
        <f>IF(ISNA(VLOOKUP(A90,'Données projet'!$A$35:$I$55,3,0)),0,VLOOKUP(A90,'Données projet'!$A$35:$I$55,3,0))</f>
        <v>8</v>
      </c>
      <c r="V90" s="16">
        <f>IF(ISNA(VLOOKUP(A90,'Données projet'!$A$35:$I$55,4,0)),0,VLOOKUP(A90,'Données projet'!$A$35:$I$55,4,0))</f>
        <v>39</v>
      </c>
      <c r="W90" s="17">
        <f>IF(ISNA(VLOOKUP(A90,'Données projet'!$A$35:$I$55,5,0)),0%,VLOOKUP(A90,'Données projet'!$A$35:$I$55,5,0)*VLOOKUP('Données projet'!$B$9,Paramètres!$A$1:$I$88,7,0))</f>
        <v>0.25800000000000001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41.729341789983209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41.729341789983209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projet'!$B$10,Paramètres!$A$1:$I$88,3,0)*VLOOKUP('Données projet'!$B$10,Paramètres!$A$1:$I$88,5,0)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287.33377410447684</v>
      </c>
      <c r="AN90" s="62">
        <f ca="1">AVERAGE(OFFSET($AM$3,0,0,'Données projet'!$E$10+1,1))-AVERAGE(OFFSET($H$3,0,0,'Données projet'!$E$10+1,1))</f>
        <v>197.84745001458262</v>
      </c>
      <c r="AO90" s="62">
        <f t="shared" si="90"/>
        <v>290.24283321060068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19.867951123708085</v>
      </c>
      <c r="AV90" s="23">
        <f>EXP(-LN(2)/25)*AV89+(1-EXP(-LN(2)/25))/(LN(2)/25)*Calculateur!AQ90*Calculateur!AS90*VLOOKUP('Données projet'!$B$10,Paramètres!$A$1:$I$88,3,0)*0.475*44/12</f>
        <v>25.89673774412039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45.764688867828475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projet'!$B$11,Paramètres!$A$1:$I$88,3,0)*VLOOKUP('Données projet'!$B$11,Paramètres!$A$1:$I$88,5,0)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377.49758296179459</v>
      </c>
      <c r="BJ90" s="62">
        <f t="shared" si="92"/>
        <v>297.9972591134441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171.16836600878869</v>
      </c>
      <c r="BQ90" s="23">
        <f>EXP(-LN(2)/25)*BQ89+(1-EXP(-LN(2)/25))/(LN(2)/25)*Calculateur!BL90*Calculateur!BN90*VLOOKUP('Données projet'!$B$11,Paramètres!$A$1:$I$88,3,0)*0.475*44/12</f>
        <v>74.211661540303879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245.38002754909257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projet'!$B$12,Paramètres!$A$1:$I$88,3,0)*VLOOKUP('Données projet'!$B$12,Paramètres!$A$1:$I$88,5,0)</f>
        <v>-1.064108801074326E-13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163.77317062597106</v>
      </c>
      <c r="CE90" s="62">
        <f t="shared" si="94"/>
        <v>122.66073843071686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65.176354340833228</v>
      </c>
      <c r="CL90" s="23">
        <f>EXP(-LN(2)/25)*CL89+(1-EXP(-LN(2)/25))/(LN(2)/25)*Calculateur!CG90*Calculateur!CI90*VLOOKUP('Données projet'!$B$12,Paramètres!$A$1:$I$88,3,0)*0.475*44/12</f>
        <v>24.651033604999821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89.827387945833053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projet'!$B$13,Paramètres!$A$1:$I$88,3,0)*VLOOKUP('Données projet'!$B$13,Paramètres!$A$1:$I$88,5,0)</f>
        <v>-6.7984728957526396E-14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167.84261986874142</v>
      </c>
      <c r="CZ90" s="62">
        <f t="shared" si="96"/>
        <v>242.5860875239222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16.339078282311885</v>
      </c>
      <c r="DG90" s="23">
        <f>EXP(-LN(2)/25)*DG89+(1-EXP(-LN(2)/25))/(LN(2)/25)*Calculateur!DB90*Calculateur!DD90*VLOOKUP('Données projet'!$B$13,Paramètres!$A$1:$I$88,3,0)*0.475*44/12</f>
        <v>20.945703839611404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37.284782121923286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1.5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5.5</v>
      </c>
      <c r="H91" s="70">
        <f t="shared" si="56"/>
        <v>234.66666666666666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6.1</v>
      </c>
      <c r="N91" s="14">
        <f>IF('Données projet'!$A$36&gt;35,N90+M91-V90,IF(A91&lt;'Données projet'!$A$36,$K$205^A91,IF(A91='Données projet'!$A$36,'Données projet'!$B$36,N90+M91-V90)))</f>
        <v>210.10000000000014</v>
      </c>
      <c r="O91" s="14">
        <f>N91*VLOOKUP('Données projet'!$B$9,Paramètres!$A$1:$I$88,3,0)*VLOOKUP('Données projet'!$B$9,Paramètres!$A$1:$I$88,5,0)</f>
        <v>190.09848000000014</v>
      </c>
      <c r="P91" s="14">
        <f t="shared" si="87"/>
        <v>47.561724724324939</v>
      </c>
      <c r="Q91" s="22">
        <f t="shared" si="54"/>
        <v>413.92485656153281</v>
      </c>
      <c r="R91" s="62">
        <f t="shared" si="55"/>
        <v>701.36270960562433</v>
      </c>
      <c r="S91" s="62">
        <f ca="1">AVERAGE(OFFSET($R$3,0,0,'Données projet'!$E$9+1,1))-AVERAGE(OFFSET($H$3,0,0,'Données projet'!$E$9+1,1))</f>
        <v>387.16864229348823</v>
      </c>
      <c r="T91" s="62">
        <f t="shared" si="88"/>
        <v>260.88002342542893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40.911054849866915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40.911054849866915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projet'!$B$10,Paramètres!$A$1:$I$88,3,0)*VLOOKUP('Données projet'!$B$10,Paramètres!$A$1:$I$88,5,0)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287.43785304409255</v>
      </c>
      <c r="AN91" s="62">
        <f ca="1">AVERAGE(OFFSET($AM$3,0,0,'Données projet'!$E$10+1,1))-AVERAGE(OFFSET($H$3,0,0,'Données projet'!$E$10+1,1))</f>
        <v>197.84745001458262</v>
      </c>
      <c r="AO91" s="62">
        <f t="shared" si="90"/>
        <v>290.24283321060068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19.478352720425779</v>
      </c>
      <c r="AV91" s="23">
        <f>EXP(-LN(2)/25)*AV90+(1-EXP(-LN(2)/25))/(LN(2)/25)*Calculateur!AQ91*Calculateur!AS91*VLOOKUP('Données projet'!$B$10,Paramètres!$A$1:$I$88,3,0)*0.475*44/12</f>
        <v>25.188590088657168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44.666942809082947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projet'!$B$11,Paramètres!$A$1:$I$88,3,0)*VLOOKUP('Données projet'!$B$11,Paramètres!$A$1:$I$88,5,0)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377.49758296179459</v>
      </c>
      <c r="BJ91" s="62">
        <f t="shared" si="92"/>
        <v>297.9972591134441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167.81185875375073</v>
      </c>
      <c r="BQ91" s="23">
        <f>EXP(-LN(2)/25)*BQ90+(1-EXP(-LN(2)/25))/(LN(2)/25)*Calculateur!BL91*Calculateur!BN91*VLOOKUP('Données projet'!$B$11,Paramètres!$A$1:$I$88,3,0)*0.475*44/12</f>
        <v>72.182339752862603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239.99419850661332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projet'!$B$12,Paramètres!$A$1:$I$88,3,0)*VLOOKUP('Données projet'!$B$12,Paramètres!$A$1:$I$88,5,0)</f>
        <v>-1.064108801074326E-13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163.77317062597106</v>
      </c>
      <c r="CE91" s="62">
        <f t="shared" si="94"/>
        <v>122.66073843071686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63.898285785860288</v>
      </c>
      <c r="CL91" s="23">
        <f>EXP(-LN(2)/25)*CL90+(1-EXP(-LN(2)/25))/(LN(2)/25)*Calculateur!CG91*Calculateur!CI91*VLOOKUP('Données projet'!$B$12,Paramètres!$A$1:$I$88,3,0)*0.475*44/12</f>
        <v>23.976949794729585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87.875235580589873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projet'!$B$13,Paramètres!$A$1:$I$88,3,0)*VLOOKUP('Données projet'!$B$13,Paramètres!$A$1:$I$88,5,0)</f>
        <v>-6.7984728957526396E-14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167.84261986874142</v>
      </c>
      <c r="CZ91" s="62">
        <f t="shared" si="96"/>
        <v>242.5860875239222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16.018678923049453</v>
      </c>
      <c r="DG91" s="23">
        <f>EXP(-LN(2)/25)*DG90+(1-EXP(-LN(2)/25))/(LN(2)/25)*Calculateur!DB91*Calculateur!DD91*VLOOKUP('Données projet'!$B$13,Paramètres!$A$1:$I$88,3,0)*0.475*44/12</f>
        <v>20.372942466630537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36.39162138967999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1.5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5.5</v>
      </c>
      <c r="H92" s="70">
        <f t="shared" si="56"/>
        <v>234.66666666666666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6.1</v>
      </c>
      <c r="N92" s="14">
        <f>IF('Données projet'!$A$36&gt;35,N91+M92-V91,IF(A92&lt;'Données projet'!$A$36,$K$205^A92,IF(A92='Données projet'!$A$36,'Données projet'!$B$36,N91+M92-V91)))</f>
        <v>216.20000000000013</v>
      </c>
      <c r="O92" s="14">
        <f>N92*VLOOKUP('Données projet'!$B$9,Paramètres!$A$1:$I$88,3,0)*VLOOKUP('Données projet'!$B$9,Paramètres!$A$1:$I$88,5,0)</f>
        <v>195.61776000000012</v>
      </c>
      <c r="P92" s="14">
        <f t="shared" si="87"/>
        <v>48.779845723631205</v>
      </c>
      <c r="Q92" s="22">
        <f t="shared" si="54"/>
        <v>425.65916330199121</v>
      </c>
      <c r="R92" s="62">
        <f t="shared" si="55"/>
        <v>713.19928974878167</v>
      </c>
      <c r="S92" s="62">
        <f ca="1">AVERAGE(OFFSET($R$3,0,0,'Données projet'!$E$9+1,1))-AVERAGE(OFFSET($H$3,0,0,'Données projet'!$E$9+1,1))</f>
        <v>387.16864229348823</v>
      </c>
      <c r="T92" s="62">
        <f t="shared" si="88"/>
        <v>260.88002342542893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40.108814017540553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40.108814017540553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projet'!$B$10,Paramètres!$A$1:$I$88,3,0)*VLOOKUP('Données projet'!$B$10,Paramètres!$A$1:$I$88,5,0)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287.54012644679148</v>
      </c>
      <c r="AN92" s="62">
        <f ca="1">AVERAGE(OFFSET($AM$3,0,0,'Données projet'!$E$10+1,1))-AVERAGE(OFFSET($H$3,0,0,'Données projet'!$E$10+1,1))</f>
        <v>197.84745001458262</v>
      </c>
      <c r="AO92" s="62">
        <f t="shared" si="90"/>
        <v>290.24283321060068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19.096394104200275</v>
      </c>
      <c r="AV92" s="23">
        <f>EXP(-LN(2)/25)*AV91+(1-EXP(-LN(2)/25))/(LN(2)/25)*Calculateur!AQ92*Calculateur!AS92*VLOOKUP('Données projet'!$B$10,Paramètres!$A$1:$I$88,3,0)*0.475*44/12</f>
        <v>24.499806768072453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43.596200872272732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projet'!$B$11,Paramètres!$A$1:$I$88,3,0)*VLOOKUP('Données projet'!$B$11,Paramètres!$A$1:$I$88,5,0)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377.49758296179459</v>
      </c>
      <c r="BJ92" s="62">
        <f t="shared" si="92"/>
        <v>297.9972591134441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164.52117055871679</v>
      </c>
      <c r="BQ92" s="23">
        <f>EXP(-LN(2)/25)*BQ91+(1-EXP(-LN(2)/25))/(LN(2)/25)*Calculateur!BL92*Calculateur!BN92*VLOOKUP('Données projet'!$B$11,Paramètres!$A$1:$I$88,3,0)*0.475*44/12</f>
        <v>70.208509876416301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234.7296804351331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projet'!$B$12,Paramètres!$A$1:$I$88,3,0)*VLOOKUP('Données projet'!$B$12,Paramètres!$A$1:$I$88,5,0)</f>
        <v>-1.064108801074326E-13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163.77317062597106</v>
      </c>
      <c r="CE92" s="62">
        <f t="shared" si="94"/>
        <v>122.66073843071686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62.645279375705528</v>
      </c>
      <c r="CL92" s="23">
        <f>EXP(-LN(2)/25)*CL91+(1-EXP(-LN(2)/25))/(LN(2)/25)*Calculateur!CG92*Calculateur!CI92*VLOOKUP('Données projet'!$B$12,Paramètres!$A$1:$I$88,3,0)*0.475*44/12</f>
        <v>23.321298841699715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85.966578217405242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projet'!$B$13,Paramètres!$A$1:$I$88,3,0)*VLOOKUP('Données projet'!$B$13,Paramètres!$A$1:$I$88,5,0)</f>
        <v>-6.7984728957526396E-14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167.84261986874142</v>
      </c>
      <c r="CZ92" s="62">
        <f t="shared" si="96"/>
        <v>242.5860875239222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15.704562399797847</v>
      </c>
      <c r="DG92" s="23">
        <f>EXP(-LN(2)/25)*DG91+(1-EXP(-LN(2)/25))/(LN(2)/25)*Calculateur!DB92*Calculateur!DD92*VLOOKUP('Données projet'!$B$13,Paramètres!$A$1:$I$88,3,0)*0.475*44/12</f>
        <v>19.815843283514045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35.520405683311893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1.5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5.5</v>
      </c>
      <c r="H93" s="70">
        <f t="shared" si="56"/>
        <v>234.66666666666666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6.1</v>
      </c>
      <c r="N93" s="14">
        <f>IF('Données projet'!$A$36&gt;35,N92+M93-V92,IF(A93&lt;'Données projet'!$A$36,$K$205^A93,IF(A93='Données projet'!$A$36,'Données projet'!$B$36,N92+M93-V92)))</f>
        <v>222.30000000000013</v>
      </c>
      <c r="O93" s="14">
        <f>N93*VLOOKUP('Données projet'!$B$9,Paramètres!$A$1:$I$88,3,0)*VLOOKUP('Données projet'!$B$9,Paramètres!$A$1:$I$88,5,0)</f>
        <v>201.1370400000001</v>
      </c>
      <c r="P93" s="14">
        <f t="shared" si="87"/>
        <v>49.99397219474514</v>
      </c>
      <c r="Q93" s="22">
        <f t="shared" si="54"/>
        <v>437.38651290584789</v>
      </c>
      <c r="R93" s="62">
        <f t="shared" si="55"/>
        <v>725.02713854044964</v>
      </c>
      <c r="S93" s="62">
        <f ca="1">AVERAGE(OFFSET($R$3,0,0,'Données projet'!$E$9+1,1))-AVERAGE(OFFSET($H$3,0,0,'Données projet'!$E$9+1,1))</f>
        <v>387.16864229348823</v>
      </c>
      <c r="T93" s="62">
        <f t="shared" si="88"/>
        <v>260.88002342542893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39.322304638617517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39.322304638617517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projet'!$B$10,Paramètres!$A$1:$I$88,3,0)*VLOOKUP('Données projet'!$B$10,Paramètres!$A$1:$I$88,5,0)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287.64062563460277</v>
      </c>
      <c r="AN93" s="62">
        <f ca="1">AVERAGE(OFFSET($AM$3,0,0,'Données projet'!$E$10+1,1))-AVERAGE(OFFSET($H$3,0,0,'Données projet'!$E$10+1,1))</f>
        <v>197.84745001458262</v>
      </c>
      <c r="AO93" s="62">
        <f t="shared" si="90"/>
        <v>290.24283321060068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18.721925463467201</v>
      </c>
      <c r="AV93" s="23">
        <f>EXP(-LN(2)/25)*AV92+(1-EXP(-LN(2)/25))/(LN(2)/25)*Calculateur!AQ93*Calculateur!AS93*VLOOKUP('Données projet'!$B$10,Paramètres!$A$1:$I$88,3,0)*0.475*44/12</f>
        <v>23.829858263610671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42.551783727077876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projet'!$B$11,Paramètres!$A$1:$I$88,3,0)*VLOOKUP('Données projet'!$B$11,Paramètres!$A$1:$I$88,5,0)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377.49758296179459</v>
      </c>
      <c r="BJ93" s="62">
        <f t="shared" si="92"/>
        <v>297.9972591134441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161.29501075206585</v>
      </c>
      <c r="BQ93" s="23">
        <f>EXP(-LN(2)/25)*BQ92+(1-EXP(-LN(2)/25))/(LN(2)/25)*Calculateur!BL93*Calculateur!BN93*VLOOKUP('Données projet'!$B$11,Paramètres!$A$1:$I$88,3,0)*0.475*44/12</f>
        <v>68.288654481740622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229.58366523380647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projet'!$B$12,Paramètres!$A$1:$I$88,3,0)*VLOOKUP('Données projet'!$B$12,Paramètres!$A$1:$I$88,5,0)</f>
        <v>-1.064108801074326E-13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163.77317062597106</v>
      </c>
      <c r="CE93" s="62">
        <f t="shared" si="94"/>
        <v>122.66073843071686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61.416843656995454</v>
      </c>
      <c r="CL93" s="23">
        <f>EXP(-LN(2)/25)*CL92+(1-EXP(-LN(2)/25))/(LN(2)/25)*Calculateur!CG93*Calculateur!CI93*VLOOKUP('Données projet'!$B$12,Paramètres!$A$1:$I$88,3,0)*0.475*44/12</f>
        <v>22.683576698459632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84.100420355455086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projet'!$B$13,Paramètres!$A$1:$I$88,3,0)*VLOOKUP('Données projet'!$B$13,Paramètres!$A$1:$I$88,5,0)</f>
        <v>-6.7984728957526396E-14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167.84261986874142</v>
      </c>
      <c r="CZ93" s="62">
        <f t="shared" si="96"/>
        <v>242.5860875239222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15.396605509975045</v>
      </c>
      <c r="DG93" s="23">
        <f>EXP(-LN(2)/25)*DG92+(1-EXP(-LN(2)/25))/(LN(2)/25)*Calculateur!DB93*Calculateur!DD93*VLOOKUP('Données projet'!$B$13,Paramètres!$A$1:$I$88,3,0)*0.475*44/12</f>
        <v>19.273978006856446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34.670583516831492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1.5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5.5</v>
      </c>
      <c r="H94" s="70">
        <f t="shared" si="56"/>
        <v>234.66666666666666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6.1</v>
      </c>
      <c r="N94" s="14">
        <f>IF('Données projet'!$A$36&gt;35,N93+M94-V93,IF(A94&lt;'Données projet'!$A$36,$K$205^A94,IF(A94='Données projet'!$A$36,'Données projet'!$B$36,N93+M94-V93)))</f>
        <v>228.40000000000012</v>
      </c>
      <c r="O94" s="14">
        <f>N94*VLOOKUP('Données projet'!$B$9,Paramètres!$A$1:$I$88,3,0)*VLOOKUP('Données projet'!$B$9,Paramètres!$A$1:$I$88,5,0)</f>
        <v>206.65632000000011</v>
      </c>
      <c r="P94" s="14">
        <f t="shared" si="87"/>
        <v>51.20422634371343</v>
      </c>
      <c r="Q94" s="22">
        <f t="shared" si="54"/>
        <v>449.107118215301</v>
      </c>
      <c r="R94" s="62">
        <f t="shared" si="55"/>
        <v>736.84649960148784</v>
      </c>
      <c r="S94" s="62">
        <f ca="1">AVERAGE(OFFSET($R$3,0,0,'Données projet'!$E$9+1,1))-AVERAGE(OFFSET($H$3,0,0,'Données projet'!$E$9+1,1))</f>
        <v>387.16864229348823</v>
      </c>
      <c r="T94" s="62">
        <f t="shared" si="88"/>
        <v>260.88002342542893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38.551218228891813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38.551218228891813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projet'!$B$10,Paramètres!$A$1:$I$88,3,0)*VLOOKUP('Données projet'!$B$10,Paramètres!$A$1:$I$88,5,0)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287.73938138618792</v>
      </c>
      <c r="AN94" s="62">
        <f ca="1">AVERAGE(OFFSET($AM$3,0,0,'Données projet'!$E$10+1,1))-AVERAGE(OFFSET($H$3,0,0,'Données projet'!$E$10+1,1))</f>
        <v>197.84745001458262</v>
      </c>
      <c r="AO94" s="62">
        <f t="shared" si="90"/>
        <v>290.24283321060068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18.354799924375584</v>
      </c>
      <c r="AV94" s="23">
        <f>EXP(-LN(2)/25)*AV93+(1-EXP(-LN(2)/25))/(LN(2)/25)*Calculateur!AQ94*Calculateur!AS94*VLOOKUP('Données projet'!$B$10,Paramètres!$A$1:$I$88,3,0)*0.475*44/12</f>
        <v>23.178229536234454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41.533029460610038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projet'!$B$11,Paramètres!$A$1:$I$88,3,0)*VLOOKUP('Données projet'!$B$11,Paramètres!$A$1:$I$88,5,0)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377.49758296179459</v>
      </c>
      <c r="BJ94" s="62">
        <f t="shared" si="92"/>
        <v>297.9972591134441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158.13211397146014</v>
      </c>
      <c r="BQ94" s="23">
        <f>EXP(-LN(2)/25)*BQ93+(1-EXP(-LN(2)/25))/(LN(2)/25)*Calculateur!BL94*Calculateur!BN94*VLOOKUP('Données projet'!$B$11,Paramètres!$A$1:$I$88,3,0)*0.475*44/12</f>
        <v>66.421297633793159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224.5534116052533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projet'!$B$12,Paramètres!$A$1:$I$88,3,0)*VLOOKUP('Données projet'!$B$12,Paramètres!$A$1:$I$88,5,0)</f>
        <v>-1.064108801074326E-13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163.77317062597106</v>
      </c>
      <c r="CE94" s="62">
        <f t="shared" si="94"/>
        <v>122.66073843071686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60.212496813457477</v>
      </c>
      <c r="CL94" s="23">
        <f>EXP(-LN(2)/25)*CL93+(1-EXP(-LN(2)/25))/(LN(2)/25)*Calculateur!CG94*Calculateur!CI94*VLOOKUP('Données projet'!$B$12,Paramètres!$A$1:$I$88,3,0)*0.475*44/12</f>
        <v>22.063293100762799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82.275789914220269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projet'!$B$13,Paramètres!$A$1:$I$88,3,0)*VLOOKUP('Données projet'!$B$13,Paramètres!$A$1:$I$88,5,0)</f>
        <v>-6.7984728957526396E-14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167.84261986874142</v>
      </c>
      <c r="CZ94" s="62">
        <f t="shared" si="96"/>
        <v>242.5860875239222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15.09468746692651</v>
      </c>
      <c r="DG94" s="23">
        <f>EXP(-LN(2)/25)*DG93+(1-EXP(-LN(2)/25))/(LN(2)/25)*Calculateur!DB94*Calculateur!DD94*VLOOKUP('Données projet'!$B$13,Paramètres!$A$1:$I$88,3,0)*0.475*44/12</f>
        <v>18.746930064684506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33.841617531611014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1.5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5.5</v>
      </c>
      <c r="H95" s="70">
        <f t="shared" si="56"/>
        <v>234.66666666666666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6.1</v>
      </c>
      <c r="N95" s="14">
        <f>IF('Données projet'!$A$36&gt;35,N94+M95-V94,IF(A95&lt;'Données projet'!$A$36,$K$205^A95,IF(A95='Données projet'!$A$36,'Données projet'!$B$36,N94+M95-V94)))</f>
        <v>234.50000000000011</v>
      </c>
      <c r="O95" s="14">
        <f>N95*VLOOKUP('Données projet'!$B$9,Paramètres!$A$1:$I$88,3,0)*VLOOKUP('Données projet'!$B$9,Paramètres!$A$1:$I$88,5,0)</f>
        <v>212.17560000000009</v>
      </c>
      <c r="P95" s="14">
        <f t="shared" si="87"/>
        <v>52.410723477279205</v>
      </c>
      <c r="Q95" s="22">
        <f t="shared" si="54"/>
        <v>460.82118005626143</v>
      </c>
      <c r="R95" s="62">
        <f t="shared" si="55"/>
        <v>748.65760400252827</v>
      </c>
      <c r="S95" s="62">
        <f ca="1">AVERAGE(OFFSET($R$3,0,0,'Données projet'!$E$9+1,1))-AVERAGE(OFFSET($H$3,0,0,'Données projet'!$E$9+1,1))</f>
        <v>387.16864229348823</v>
      </c>
      <c r="T95" s="62">
        <f t="shared" si="88"/>
        <v>260.88002342542893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37.795252353344559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37.795252353344559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projet'!$B$10,Paramètres!$A$1:$I$88,3,0)*VLOOKUP('Données projet'!$B$10,Paramètres!$A$1:$I$88,5,0)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287.83642394626793</v>
      </c>
      <c r="AN95" s="62">
        <f ca="1">AVERAGE(OFFSET($AM$3,0,0,'Données projet'!$E$10+1,1))-AVERAGE(OFFSET($H$3,0,0,'Données projet'!$E$10+1,1))</f>
        <v>197.84745001458262</v>
      </c>
      <c r="AO95" s="62">
        <f t="shared" si="90"/>
        <v>290.24283321060068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17.994873493181085</v>
      </c>
      <c r="AV95" s="23">
        <f>EXP(-LN(2)/25)*AV94+(1-EXP(-LN(2)/25))/(LN(2)/25)*Calculateur!AQ95*Calculateur!AS95*VLOOKUP('Données projet'!$B$10,Paramètres!$A$1:$I$88,3,0)*0.475*44/12</f>
        <v>22.544419630676007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40.539293123857092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projet'!$B$11,Paramètres!$A$1:$I$88,3,0)*VLOOKUP('Données projet'!$B$11,Paramètres!$A$1:$I$88,5,0)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377.49758296179459</v>
      </c>
      <c r="BJ95" s="62">
        <f t="shared" si="92"/>
        <v>297.9972591134441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155.03123966754558</v>
      </c>
      <c r="BQ95" s="23">
        <f>EXP(-LN(2)/25)*BQ94+(1-EXP(-LN(2)/25))/(LN(2)/25)*Calculateur!BL95*Calculateur!BN95*VLOOKUP('Données projet'!$B$11,Paramètres!$A$1:$I$88,3,0)*0.475*44/12</f>
        <v>64.605003757052856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219.63624342459843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projet'!$B$12,Paramètres!$A$1:$I$88,3,0)*VLOOKUP('Données projet'!$B$12,Paramètres!$A$1:$I$88,5,0)</f>
        <v>-1.064108801074326E-13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163.77317062597106</v>
      </c>
      <c r="CE95" s="62">
        <f t="shared" si="94"/>
        <v>122.66073843071686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59.031766476942238</v>
      </c>
      <c r="CL95" s="23">
        <f>EXP(-LN(2)/25)*CL94+(1-EXP(-LN(2)/25))/(LN(2)/25)*Calculateur!CG95*Calculateur!CI95*VLOOKUP('Données projet'!$B$12,Paramètres!$A$1:$I$88,3,0)*0.475*44/12</f>
        <v>21.459971190664284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80.491737667606515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projet'!$B$13,Paramètres!$A$1:$I$88,3,0)*VLOOKUP('Données projet'!$B$13,Paramètres!$A$1:$I$88,5,0)</f>
        <v>-6.7984728957526396E-14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167.84261986874142</v>
      </c>
      <c r="CZ95" s="62">
        <f t="shared" si="96"/>
        <v>242.5860875239222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14.798689852550336</v>
      </c>
      <c r="DG95" s="23">
        <f>EXP(-LN(2)/25)*DG94+(1-EXP(-LN(2)/25))/(LN(2)/25)*Calculateur!DB95*Calculateur!DD95*VLOOKUP('Données projet'!$B$13,Paramètres!$A$1:$I$88,3,0)*0.475*44/12</f>
        <v>18.234294276207503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33.032984128757839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1.5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5.5</v>
      </c>
      <c r="H96" s="70">
        <f t="shared" si="56"/>
        <v>234.66666666666666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6.1</v>
      </c>
      <c r="N96" s="14">
        <f>IF('Données projet'!$A$36&gt;35,N95+M96-V95,IF(A96&lt;'Données projet'!$A$36,$K$205^A96,IF(A96='Données projet'!$A$36,'Données projet'!$B$36,N95+M96-V95)))</f>
        <v>240.60000000000011</v>
      </c>
      <c r="O96" s="14">
        <f>N96*VLOOKUP('Données projet'!$B$9,Paramètres!$A$1:$I$88,3,0)*VLOOKUP('Données projet'!$B$9,Paramètres!$A$1:$I$88,5,0)</f>
        <v>217.6948800000001</v>
      </c>
      <c r="P96" s="14">
        <f t="shared" si="87"/>
        <v>53.613572561591688</v>
      </c>
      <c r="Q96" s="22">
        <f t="shared" si="54"/>
        <v>472.52888821143898</v>
      </c>
      <c r="R96" s="62">
        <f t="shared" si="55"/>
        <v>760.46067124632316</v>
      </c>
      <c r="S96" s="62">
        <f ca="1">AVERAGE(OFFSET($R$3,0,0,'Données projet'!$E$9+1,1))-AVERAGE(OFFSET($H$3,0,0,'Données projet'!$E$9+1,1))</f>
        <v>387.16864229348823</v>
      </c>
      <c r="T96" s="62">
        <f t="shared" si="88"/>
        <v>260.88002342542893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37.054110507523127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37.054110507523127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projet'!$B$10,Paramètres!$A$1:$I$88,3,0)*VLOOKUP('Données projet'!$B$10,Paramètres!$A$1:$I$88,5,0)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287.93178303488526</v>
      </c>
      <c r="AN96" s="62">
        <f ca="1">AVERAGE(OFFSET($AM$3,0,0,'Données projet'!$E$10+1,1))-AVERAGE(OFFSET($H$3,0,0,'Données projet'!$E$10+1,1))</f>
        <v>197.84745001458262</v>
      </c>
      <c r="AO96" s="62">
        <f t="shared" si="90"/>
        <v>290.24283321060068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17.642004999768865</v>
      </c>
      <c r="AV96" s="23">
        <f>EXP(-LN(2)/25)*AV95+(1-EXP(-LN(2)/25))/(LN(2)/25)*Calculateur!AQ96*Calculateur!AS96*VLOOKUP('Données projet'!$B$10,Paramètres!$A$1:$I$88,3,0)*0.475*44/12</f>
        <v>21.927941290315669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39.56994629008453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projet'!$B$11,Paramètres!$A$1:$I$88,3,0)*VLOOKUP('Données projet'!$B$11,Paramètres!$A$1:$I$88,5,0)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377.49758296179459</v>
      </c>
      <c r="BJ96" s="62">
        <f t="shared" si="92"/>
        <v>297.9972591134441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151.9911716173842</v>
      </c>
      <c r="BQ96" s="23">
        <f>EXP(-LN(2)/25)*BQ95+(1-EXP(-LN(2)/25))/(LN(2)/25)*Calculateur!BL96*Calculateur!BN96*VLOOKUP('Données projet'!$B$11,Paramètres!$A$1:$I$88,3,0)*0.475*44/12</f>
        <v>62.838376531886752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214.82954814927095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projet'!$B$12,Paramètres!$A$1:$I$88,3,0)*VLOOKUP('Données projet'!$B$12,Paramètres!$A$1:$I$88,5,0)</f>
        <v>-1.064108801074326E-13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163.77317062597106</v>
      </c>
      <c r="CE96" s="62">
        <f t="shared" si="94"/>
        <v>122.66073843071686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57.874189542151669</v>
      </c>
      <c r="CL96" s="23">
        <f>EXP(-LN(2)/25)*CL95+(1-EXP(-LN(2)/25))/(LN(2)/25)*Calculateur!CG96*Calculateur!CI96*VLOOKUP('Données projet'!$B$12,Paramètres!$A$1:$I$88,3,0)*0.475*44/12</f>
        <v>20.87314714992473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78.747336692076402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projet'!$B$13,Paramètres!$A$1:$I$88,3,0)*VLOOKUP('Données projet'!$B$13,Paramètres!$A$1:$I$88,5,0)</f>
        <v>-6.7984728957526396E-14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167.84261986874142</v>
      </c>
      <c r="CZ96" s="62">
        <f t="shared" si="96"/>
        <v>242.5860875239222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14.50849657085136</v>
      </c>
      <c r="DG96" s="23">
        <f>EXP(-LN(2)/25)*DG95+(1-EXP(-LN(2)/25))/(LN(2)/25)*Calculateur!DB96*Calculateur!DD96*VLOOKUP('Données projet'!$B$13,Paramètres!$A$1:$I$88,3,0)*0.475*44/12</f>
        <v>17.735676540324746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32.24417311117611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1.5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5.5</v>
      </c>
      <c r="H97" s="70">
        <f t="shared" si="56"/>
        <v>234.66666666666666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6.1</v>
      </c>
      <c r="N97" s="14">
        <f>IF('Données projet'!$A$36&gt;35,N96+M97-V96,IF(A97&lt;'Données projet'!$A$36,$K$205^A97,IF(A97='Données projet'!$A$36,'Données projet'!$B$36,N96+M97-V96)))</f>
        <v>246.7000000000001</v>
      </c>
      <c r="O97" s="14">
        <f>N97*VLOOKUP('Données projet'!$B$9,Paramètres!$A$1:$I$88,3,0)*VLOOKUP('Données projet'!$B$9,Paramètres!$A$1:$I$88,5,0)</f>
        <v>223.21416000000008</v>
      </c>
      <c r="P97" s="14">
        <f t="shared" si="87"/>
        <v>54.812876722660327</v>
      </c>
      <c r="Q97" s="22">
        <f t="shared" si="54"/>
        <v>484.23042229196682</v>
      </c>
      <c r="R97" s="62">
        <f t="shared" si="55"/>
        <v>772.25591014847168</v>
      </c>
      <c r="S97" s="62">
        <f ca="1">AVERAGE(OFFSET($R$3,0,0,'Données projet'!$E$9+1,1))-AVERAGE(OFFSET($H$3,0,0,'Données projet'!$E$9+1,1))</f>
        <v>387.16864229348823</v>
      </c>
      <c r="T97" s="62">
        <f t="shared" si="88"/>
        <v>260.88002342542893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36.327502001246366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36.327502001246366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projet'!$B$10,Paramètres!$A$1:$I$88,3,0)*VLOOKUP('Données projet'!$B$10,Paramètres!$A$1:$I$88,5,0)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288.02548785650595</v>
      </c>
      <c r="AN97" s="62">
        <f ca="1">AVERAGE(OFFSET($AM$3,0,0,'Données projet'!$E$10+1,1))-AVERAGE(OFFSET($H$3,0,0,'Données projet'!$E$10+1,1))</f>
        <v>197.84745001458262</v>
      </c>
      <c r="AO97" s="62">
        <f t="shared" si="90"/>
        <v>290.24283321060068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17.296056042283929</v>
      </c>
      <c r="AV97" s="23">
        <f>EXP(-LN(2)/25)*AV96+(1-EXP(-LN(2)/25))/(LN(2)/25)*Calculateur!AQ97*Calculateur!AS97*VLOOKUP('Données projet'!$B$10,Paramètres!$A$1:$I$88,3,0)*0.475*44/12</f>
        <v>21.328320582591672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38.624376624875602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projet'!$B$11,Paramètres!$A$1:$I$88,3,0)*VLOOKUP('Données projet'!$B$11,Paramètres!$A$1:$I$88,5,0)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377.49758296179459</v>
      </c>
      <c r="BJ97" s="62">
        <f t="shared" si="92"/>
        <v>297.9972591134441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149.01071744742808</v>
      </c>
      <c r="BQ97" s="23">
        <f>EXP(-LN(2)/25)*BQ96+(1-EXP(-LN(2)/25))/(LN(2)/25)*Calculateur!BL97*Calculateur!BN97*VLOOKUP('Données projet'!$B$11,Paramètres!$A$1:$I$88,3,0)*0.475*44/12</f>
        <v>61.120057821095706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210.13077526852379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projet'!$B$12,Paramètres!$A$1:$I$88,3,0)*VLOOKUP('Données projet'!$B$12,Paramètres!$A$1:$I$88,5,0)</f>
        <v>-1.064108801074326E-13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163.77317062597106</v>
      </c>
      <c r="CE97" s="62">
        <f t="shared" si="94"/>
        <v>122.66073843071686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56.739311985000136</v>
      </c>
      <c r="CL97" s="23">
        <f>EXP(-LN(2)/25)*CL96+(1-EXP(-LN(2)/25))/(LN(2)/25)*Calculateur!CG97*Calculateur!CI97*VLOOKUP('Données projet'!$B$12,Paramètres!$A$1:$I$88,3,0)*0.475*44/12</f>
        <v>20.302369843438935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77.041681828439067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projet'!$B$13,Paramètres!$A$1:$I$88,3,0)*VLOOKUP('Données projet'!$B$13,Paramètres!$A$1:$I$88,5,0)</f>
        <v>-6.7984728957526396E-14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167.84261986874142</v>
      </c>
      <c r="CZ97" s="62">
        <f t="shared" si="96"/>
        <v>242.5860875239222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14.223993802406076</v>
      </c>
      <c r="DG97" s="23">
        <f>EXP(-LN(2)/25)*DG96+(1-EXP(-LN(2)/25))/(LN(2)/25)*Calculateur!DB97*Calculateur!DD97*VLOOKUP('Données projet'!$B$13,Paramètres!$A$1:$I$88,3,0)*0.475*44/12</f>
        <v>17.250693532650871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31.474687335056949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1.5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5.5</v>
      </c>
      <c r="H98" s="70">
        <f t="shared" si="56"/>
        <v>234.66666666666666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6.1</v>
      </c>
      <c r="N98" s="14">
        <f>IF('Données projet'!$A$36&gt;35,N97+M98-V97,IF(A98&lt;'Données projet'!$A$36,$K$205^A98,IF(A98='Données projet'!$A$36,'Données projet'!$B$36,N97+M98-V97)))</f>
        <v>252.8000000000001</v>
      </c>
      <c r="O98" s="14">
        <f>N98*VLOOKUP('Données projet'!$B$9,Paramètres!$A$1:$I$88,3,0)*VLOOKUP('Données projet'!$B$9,Paramètres!$A$1:$I$88,5,0)</f>
        <v>228.73344000000009</v>
      </c>
      <c r="P98" s="14">
        <f t="shared" si="87"/>
        <v>56.008733695918131</v>
      </c>
      <c r="Q98" s="22">
        <f t="shared" si="54"/>
        <v>495.92595252039081</v>
      </c>
      <c r="R98" s="62">
        <f t="shared" si="55"/>
        <v>784.04351962935391</v>
      </c>
      <c r="S98" s="62">
        <f ca="1">AVERAGE(OFFSET($R$3,0,0,'Données projet'!$E$9+1,1))-AVERAGE(OFFSET($H$3,0,0,'Données projet'!$E$9+1,1))</f>
        <v>387.16864229348823</v>
      </c>
      <c r="T98" s="62">
        <f t="shared" si="88"/>
        <v>260.88002342542893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35.615141844590262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35.615141844590262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projet'!$B$10,Paramètres!$A$1:$I$88,3,0)*VLOOKUP('Données projet'!$B$10,Paramètres!$A$1:$I$88,5,0)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288.11756710896418</v>
      </c>
      <c r="AN98" s="62">
        <f ca="1">AVERAGE(OFFSET($AM$3,0,0,'Données projet'!$E$10+1,1))-AVERAGE(OFFSET($H$3,0,0,'Données projet'!$E$10+1,1))</f>
        <v>197.84745001458262</v>
      </c>
      <c r="AO98" s="62">
        <f t="shared" si="90"/>
        <v>290.24283321060068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16.956890932847244</v>
      </c>
      <c r="AV98" s="23">
        <f>EXP(-LN(2)/25)*AV97+(1-EXP(-LN(2)/25))/(LN(2)/25)*Calculateur!AQ98*Calculateur!AS98*VLOOKUP('Données projet'!$B$10,Paramètres!$A$1:$I$88,3,0)*0.475*44/12</f>
        <v>20.745096534653069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37.701987467500317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projet'!$B$11,Paramètres!$A$1:$I$88,3,0)*VLOOKUP('Données projet'!$B$11,Paramètres!$A$1:$I$88,5,0)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377.49758296179459</v>
      </c>
      <c r="BJ98" s="62">
        <f t="shared" si="92"/>
        <v>297.9972591134441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146.08870816584727</v>
      </c>
      <c r="BQ98" s="23">
        <f>EXP(-LN(2)/25)*BQ97+(1-EXP(-LN(2)/25))/(LN(2)/25)*Calculateur!BL98*Calculateur!BN98*VLOOKUP('Données projet'!$B$11,Paramètres!$A$1:$I$88,3,0)*0.475*44/12</f>
        <v>59.448726625813698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205.53743479166096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projet'!$B$12,Paramètres!$A$1:$I$88,3,0)*VLOOKUP('Données projet'!$B$12,Paramètres!$A$1:$I$88,5,0)</f>
        <v>-1.064108801074326E-13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163.77317062597106</v>
      </c>
      <c r="CE98" s="62">
        <f t="shared" si="94"/>
        <v>122.66073843071686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55.626688684537378</v>
      </c>
      <c r="CL98" s="23">
        <f>EXP(-LN(2)/25)*CL97+(1-EXP(-LN(2)/25))/(LN(2)/25)*Calculateur!CG98*Calculateur!CI98*VLOOKUP('Données projet'!$B$12,Paramètres!$A$1:$I$88,3,0)*0.475*44/12</f>
        <v>19.747200472414868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75.373889156952245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projet'!$B$13,Paramètres!$A$1:$I$88,3,0)*VLOOKUP('Données projet'!$B$13,Paramètres!$A$1:$I$88,5,0)</f>
        <v>-6.7984728957526396E-14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167.84261986874142</v>
      </c>
      <c r="CZ98" s="62">
        <f t="shared" si="96"/>
        <v>242.5860875239222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13.945069959720451</v>
      </c>
      <c r="DG98" s="23">
        <f>EXP(-LN(2)/25)*DG97+(1-EXP(-LN(2)/25))/(LN(2)/25)*Calculateur!DB98*Calculateur!DD98*VLOOKUP('Données projet'!$B$13,Paramètres!$A$1:$I$88,3,0)*0.475*44/12</f>
        <v>16.778972410825986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30.724042370546435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1.5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5.5</v>
      </c>
      <c r="H99" s="70">
        <f t="shared" si="56"/>
        <v>234.66666666666666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6.1</v>
      </c>
      <c r="N99" s="14">
        <f>IF('Données projet'!$A$36&gt;35,N98+M99-V98,IF(A99&lt;'Données projet'!$A$36,$K$205^A99,IF(A99='Données projet'!$A$36,'Données projet'!$B$36,N98+M99-V98)))</f>
        <v>258.90000000000009</v>
      </c>
      <c r="O99" s="14">
        <f>N99*VLOOKUP('Données projet'!$B$9,Paramètres!$A$1:$I$88,3,0)*VLOOKUP('Données projet'!$B$9,Paramètres!$A$1:$I$88,5,0)</f>
        <v>234.25272000000007</v>
      </c>
      <c r="P99" s="14">
        <f t="shared" si="87"/>
        <v>57.20123623117135</v>
      </c>
      <c r="Q99" s="22">
        <f t="shared" ref="Q99:Q130" si="107">(O99+P99)*0.475*44/12</f>
        <v>507.61564043595689</v>
      </c>
      <c r="R99" s="62">
        <f t="shared" si="55"/>
        <v>795.82368942820642</v>
      </c>
      <c r="S99" s="62">
        <f ca="1">AVERAGE(OFFSET($R$3,0,0,'Données projet'!$E$9+1,1))-AVERAGE(OFFSET($H$3,0,0,'Données projet'!$E$9+1,1))</f>
        <v>387.16864229348823</v>
      </c>
      <c r="T99" s="62">
        <f t="shared" si="88"/>
        <v>260.88002342542893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34.916750636109398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34.916750636109398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projet'!$B$10,Paramètres!$A$1:$I$88,3,0)*VLOOKUP('Données projet'!$B$10,Paramètres!$A$1:$I$88,5,0)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288.20804899225061</v>
      </c>
      <c r="AN99" s="62">
        <f ca="1">AVERAGE(OFFSET($AM$3,0,0,'Données projet'!$E$10+1,1))-AVERAGE(OFFSET($H$3,0,0,'Données projet'!$E$10+1,1))</f>
        <v>197.84745001458262</v>
      </c>
      <c r="AO99" s="62">
        <f t="shared" si="90"/>
        <v>290.24283321060068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16.624376644336323</v>
      </c>
      <c r="AV99" s="23">
        <f>EXP(-LN(2)/25)*AV98+(1-EXP(-LN(2)/25))/(LN(2)/25)*Calculateur!AQ99*Calculateur!AS99*VLOOKUP('Données projet'!$B$10,Paramètres!$A$1:$I$88,3,0)*0.475*44/12</f>
        <v>20.177820778975768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36.802197423312094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projet'!$B$11,Paramètres!$A$1:$I$88,3,0)*VLOOKUP('Données projet'!$B$11,Paramètres!$A$1:$I$88,5,0)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377.49758296179459</v>
      </c>
      <c r="BJ99" s="62">
        <f t="shared" si="92"/>
        <v>297.9972591134441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143.22399770402856</v>
      </c>
      <c r="BQ99" s="23">
        <f>EXP(-LN(2)/25)*BQ98+(1-EXP(-LN(2)/25))/(LN(2)/25)*Calculateur!BL99*Calculateur!BN99*VLOOKUP('Données projet'!$B$11,Paramètres!$A$1:$I$88,3,0)*0.475*44/12</f>
        <v>57.823098069958164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201.04709577398671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projet'!$B$12,Paramètres!$A$1:$I$88,3,0)*VLOOKUP('Données projet'!$B$12,Paramètres!$A$1:$I$88,5,0)</f>
        <v>-1.064108801074326E-13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163.77317062597106</v>
      </c>
      <c r="CE99" s="62">
        <f t="shared" si="94"/>
        <v>122.66073843071686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54.535883248363497</v>
      </c>
      <c r="CL99" s="23">
        <f>EXP(-LN(2)/25)*CL98+(1-EXP(-LN(2)/25))/(LN(2)/25)*Calculateur!CG99*Calculateur!CI99*VLOOKUP('Données projet'!$B$12,Paramètres!$A$1:$I$88,3,0)*0.475*44/12</f>
        <v>19.207212237036543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73.743095485400033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projet'!$B$13,Paramètres!$A$1:$I$88,3,0)*VLOOKUP('Données projet'!$B$13,Paramètres!$A$1:$I$88,5,0)</f>
        <v>-6.7984728957526396E-14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167.84261986874142</v>
      </c>
      <c r="CZ99" s="62">
        <f t="shared" si="96"/>
        <v>242.5860875239222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13.671615643463145</v>
      </c>
      <c r="DG99" s="23">
        <f>EXP(-LN(2)/25)*DG98+(1-EXP(-LN(2)/25))/(LN(2)/25)*Calculateur!DB99*Calculateur!DD99*VLOOKUP('Données projet'!$B$13,Paramètres!$A$1:$I$88,3,0)*0.475*44/12</f>
        <v>16.320150527884138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29.991766171347283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1.5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5.5</v>
      </c>
      <c r="H100" s="70">
        <f t="shared" si="56"/>
        <v>234.66666666666666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265</v>
      </c>
      <c r="L100" s="13">
        <f>VLOOKUP(A100,'Données projet'!$A$35:$I$55,9,0)</f>
        <v>6.1</v>
      </c>
      <c r="M100" s="13">
        <f t="array" ref="M100">INDEX(L:L,MIN(IF(ISNUMBER(L100:L296),ROW(L100:L296),"")))</f>
        <v>6.1</v>
      </c>
      <c r="N100" s="14">
        <f>IF('Données projet'!$A$36&gt;35,N99+M100-V99,IF(A100&lt;'Données projet'!$A$36,$K$205^A100,IF(A100='Données projet'!$A$36,'Données projet'!$B$36,N99+M100-V99)))</f>
        <v>265.00000000000011</v>
      </c>
      <c r="O100" s="14">
        <f>N100*VLOOKUP('Données projet'!$B$9,Paramètres!$A$1:$I$88,3,0)*VLOOKUP('Données projet'!$B$9,Paramètres!$A$1:$I$88,5,0)</f>
        <v>239.77200000000008</v>
      </c>
      <c r="P100" s="14">
        <f t="shared" si="87"/>
        <v>58.390472458309681</v>
      </c>
      <c r="Q100" s="22">
        <f t="shared" si="107"/>
        <v>519.29963953155618</v>
      </c>
      <c r="R100" s="62">
        <f t="shared" si="55"/>
        <v>807.5966007487043</v>
      </c>
      <c r="S100" s="62">
        <f ca="1">AVERAGE(OFFSET($R$3,0,0,'Données projet'!$E$9+1,1))-AVERAGE(OFFSET($H$3,0,0,'Données projet'!$E$9+1,1))</f>
        <v>387.16864229348823</v>
      </c>
      <c r="T100" s="62">
        <f t="shared" si="88"/>
        <v>260.88002342542893</v>
      </c>
      <c r="U100" s="16">
        <f>IF(ISNA(VLOOKUP(A100,'Données projet'!$A$35:$I$55,3,0)),0,VLOOKUP(A100,'Données projet'!$A$35:$I$55,3,0))</f>
        <v>9</v>
      </c>
      <c r="V100" s="16">
        <f>IF(ISNA(VLOOKUP(A100,'Données projet'!$A$35:$I$55,4,0)),0,VLOOKUP(A100,'Données projet'!$A$35:$I$55,4,0))</f>
        <v>42</v>
      </c>
      <c r="W100" s="17">
        <f>IF(ISNA(VLOOKUP(A100,'Données projet'!$A$35:$I$55,5,0)),0%,VLOOKUP(A100,'Données projet'!$A$35:$I$55,5,0)*VLOOKUP('Données projet'!$B$9,Paramètres!$A$1:$I$88,7,0))</f>
        <v>0.25800000000000001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45.070542392363976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45.070542392363976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projet'!$B$10,Paramètres!$A$1:$I$88,3,0)*VLOOKUP('Données projet'!$B$10,Paramètres!$A$1:$I$88,5,0)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288.29696121714926</v>
      </c>
      <c r="AN100" s="62">
        <f ca="1">AVERAGE(OFFSET($AM$3,0,0,'Données projet'!$E$10+1,1))-AVERAGE(OFFSET($H$3,0,0,'Données projet'!$E$10+1,1))</f>
        <v>197.84745001458262</v>
      </c>
      <c r="AO100" s="62">
        <f t="shared" si="90"/>
        <v>290.24283321060068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16.29838275820941</v>
      </c>
      <c r="AV100" s="23">
        <f>EXP(-LN(2)/25)*AV99+(1-EXP(-LN(2)/25))/(LN(2)/25)*Calculateur!AQ100*Calculateur!AS100*VLOOKUP('Données projet'!$B$10,Paramètres!$A$1:$I$88,3,0)*0.475*44/12</f>
        <v>19.626057208669199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35.924439966878609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projet'!$B$11,Paramètres!$A$1:$I$88,3,0)*VLOOKUP('Données projet'!$B$11,Paramètres!$A$1:$I$88,5,0)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377.49758296179459</v>
      </c>
      <c r="BJ100" s="62">
        <f t="shared" si="92"/>
        <v>297.9972591134441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140.41546246706528</v>
      </c>
      <c r="BQ100" s="23">
        <f>EXP(-LN(2)/25)*BQ99+(1-EXP(-LN(2)/25))/(LN(2)/25)*Calculateur!BL100*Calculateur!BN100*VLOOKUP('Données projet'!$B$11,Paramètres!$A$1:$I$88,3,0)*0.475*44/12</f>
        <v>56.241922412450585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196.65738487951586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projet'!$B$12,Paramètres!$A$1:$I$88,3,0)*VLOOKUP('Données projet'!$B$12,Paramètres!$A$1:$I$88,5,0)</f>
        <v>-1.064108801074326E-13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163.77317062597106</v>
      </c>
      <c r="CE100" s="62">
        <f t="shared" si="94"/>
        <v>122.66073843071686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53.466467841467363</v>
      </c>
      <c r="CL100" s="23">
        <f>EXP(-LN(2)/25)*CL99+(1-EXP(-LN(2)/25))/(LN(2)/25)*Calculateur!CG100*Calculateur!CI100*VLOOKUP('Données projet'!$B$12,Paramètres!$A$1:$I$88,3,0)*0.475*44/12</f>
        <v>18.681990008351388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72.148457849818755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projet'!$B$13,Paramètres!$A$1:$I$88,3,0)*VLOOKUP('Données projet'!$B$13,Paramètres!$A$1:$I$88,5,0)</f>
        <v>-6.7984728957526396E-14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167.84261986874142</v>
      </c>
      <c r="CZ100" s="62">
        <f t="shared" si="96"/>
        <v>242.5860875239222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13.403523599556982</v>
      </c>
      <c r="DG100" s="23">
        <f>EXP(-LN(2)/25)*DG99+(1-EXP(-LN(2)/25))/(LN(2)/25)*Calculateur!DB100*Calculateur!DD100*VLOOKUP('Données projet'!$B$13,Paramètres!$A$1:$I$88,3,0)*0.475*44/12</f>
        <v>15.87387515345973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29.277398753016712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1.5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5.5</v>
      </c>
      <c r="H101" s="70">
        <f t="shared" si="56"/>
        <v>234.66666666666666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6.4</v>
      </c>
      <c r="N101" s="14">
        <f>IF('Données projet'!$A$36&gt;35,N100+M101-V100,IF(A101&lt;'Données projet'!$A$36,$K$205^A101,IF(A101='Données projet'!$A$36,'Données projet'!$B$36,N100+M101-V100)))</f>
        <v>229.40000000000009</v>
      </c>
      <c r="O101" s="14">
        <f>N101*VLOOKUP('Données projet'!$B$9,Paramètres!$A$1:$I$88,3,0)*VLOOKUP('Données projet'!$B$9,Paramètres!$A$1:$I$88,5,0)</f>
        <v>207.56112000000007</v>
      </c>
      <c r="P101" s="14">
        <f t="shared" si="87"/>
        <v>51.40226725537714</v>
      </c>
      <c r="Q101" s="22">
        <f t="shared" si="107"/>
        <v>451.02789946978191</v>
      </c>
      <c r="R101" s="62">
        <f t="shared" si="55"/>
        <v>739.41223048350457</v>
      </c>
      <c r="S101" s="62">
        <f ca="1">AVERAGE(OFFSET($R$3,0,0,'Données projet'!$E$9+1,1))-AVERAGE(OFFSET($H$3,0,0,'Données projet'!$E$9+1,1))</f>
        <v>387.16864229348823</v>
      </c>
      <c r="T101" s="62">
        <f t="shared" si="88"/>
        <v>260.88002342542893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44.186736546366134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44.186736546366134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projet'!$B$10,Paramètres!$A$1:$I$88,3,0)*VLOOKUP('Données projet'!$B$10,Paramètres!$A$1:$I$88,5,0)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288.38433101372379</v>
      </c>
      <c r="AN101" s="62">
        <f ca="1">AVERAGE(OFFSET($AM$3,0,0,'Données projet'!$E$10+1,1))-AVERAGE(OFFSET($H$3,0,0,'Données projet'!$E$10+1,1))</f>
        <v>197.84745001458262</v>
      </c>
      <c r="AO101" s="62">
        <f t="shared" si="90"/>
        <v>290.24283321060068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15.978781413352811</v>
      </c>
      <c r="AV101" s="23">
        <f>EXP(-LN(2)/25)*AV100+(1-EXP(-LN(2)/25))/(LN(2)/25)*Calculateur!AQ101*Calculateur!AS101*VLOOKUP('Données projet'!$B$10,Paramètres!$A$1:$I$88,3,0)*0.475*44/12</f>
        <v>19.089381642208647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35.068163055561456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projet'!$B$11,Paramètres!$A$1:$I$88,3,0)*VLOOKUP('Données projet'!$B$11,Paramètres!$A$1:$I$88,5,0)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377.49758296179459</v>
      </c>
      <c r="BJ101" s="62">
        <f t="shared" si="92"/>
        <v>297.9972591134441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137.6620008930615</v>
      </c>
      <c r="BQ101" s="23">
        <f>EXP(-LN(2)/25)*BQ100+(1-EXP(-LN(2)/25))/(LN(2)/25)*Calculateur!BL101*Calculateur!BN101*VLOOKUP('Données projet'!$B$11,Paramètres!$A$1:$I$88,3,0)*0.475*44/12</f>
        <v>54.703984086447967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192.36598497950948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projet'!$B$12,Paramètres!$A$1:$I$88,3,0)*VLOOKUP('Données projet'!$B$12,Paramètres!$A$1:$I$88,5,0)</f>
        <v>-1.064108801074326E-13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163.77317062597106</v>
      </c>
      <c r="CE101" s="62">
        <f t="shared" si="94"/>
        <v>122.66073843071686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52.418023018421472</v>
      </c>
      <c r="CL101" s="23">
        <f>EXP(-LN(2)/25)*CL100+(1-EXP(-LN(2)/25))/(LN(2)/25)*Calculateur!CG101*Calculateur!CI101*VLOOKUP('Données projet'!$B$12,Paramètres!$A$1:$I$88,3,0)*0.475*44/12</f>
        <v>18.171130009129865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70.589153027551333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projet'!$B$13,Paramètres!$A$1:$I$88,3,0)*VLOOKUP('Données projet'!$B$13,Paramètres!$A$1:$I$88,5,0)</f>
        <v>-6.7984728957526396E-14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167.84261986874142</v>
      </c>
      <c r="CZ101" s="62">
        <f t="shared" si="96"/>
        <v>242.5860875239222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13.140688677111816</v>
      </c>
      <c r="DG101" s="23">
        <f>EXP(-LN(2)/25)*DG100+(1-EXP(-LN(2)/25))/(LN(2)/25)*Calculateur!DB101*Calculateur!DD101*VLOOKUP('Données projet'!$B$13,Paramètres!$A$1:$I$88,3,0)*0.475*44/12</f>
        <v>15.43980320261756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28.580491879729376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1.5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5.5</v>
      </c>
      <c r="H102" s="70">
        <f t="shared" si="56"/>
        <v>234.66666666666666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6.4</v>
      </c>
      <c r="N102" s="14">
        <f>IF('Données projet'!$A$36&gt;35,N101+M102-V101,IF(A102&lt;'Données projet'!$A$36,$K$205^A102,IF(A102='Données projet'!$A$36,'Données projet'!$B$36,N101+M102-V101)))</f>
        <v>235.8000000000001</v>
      </c>
      <c r="O102" s="14">
        <f>N102*VLOOKUP('Données projet'!$B$9,Paramètres!$A$1:$I$88,3,0)*VLOOKUP('Données projet'!$B$9,Paramètres!$A$1:$I$88,5,0)</f>
        <v>213.35184000000007</v>
      </c>
      <c r="P102" s="14">
        <f t="shared" si="87"/>
        <v>52.667370665417188</v>
      </c>
      <c r="Q102" s="22">
        <f t="shared" si="107"/>
        <v>463.31679190893493</v>
      </c>
      <c r="R102" s="62">
        <f t="shared" si="55"/>
        <v>751.78697704859133</v>
      </c>
      <c r="S102" s="62">
        <f ca="1">AVERAGE(OFFSET($R$3,0,0,'Données projet'!$E$9+1,1))-AVERAGE(OFFSET($H$3,0,0,'Données projet'!$E$9+1,1))</f>
        <v>387.16864229348823</v>
      </c>
      <c r="T102" s="62">
        <f t="shared" si="88"/>
        <v>260.88002342542893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43.320261593939975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43.320261593939975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projet'!$B$10,Paramètres!$A$1:$I$88,3,0)*VLOOKUP('Données projet'!$B$10,Paramètres!$A$1:$I$88,5,0)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288.47018513965742</v>
      </c>
      <c r="AN102" s="62">
        <f ca="1">AVERAGE(OFFSET($AM$3,0,0,'Données projet'!$E$10+1,1))-AVERAGE(OFFSET($H$3,0,0,'Données projet'!$E$10+1,1))</f>
        <v>197.84745001458262</v>
      </c>
      <c r="AO102" s="62">
        <f t="shared" si="90"/>
        <v>290.24283321060068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15.665447255931278</v>
      </c>
      <c r="AV102" s="23">
        <f>EXP(-LN(2)/25)*AV101+(1-EXP(-LN(2)/25))/(LN(2)/25)*Calculateur!AQ102*Calculateur!AS102*VLOOKUP('Données projet'!$B$10,Paramètres!$A$1:$I$88,3,0)*0.475*44/12</f>
        <v>18.5673814973355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34.23282875326678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projet'!$B$11,Paramètres!$A$1:$I$88,3,0)*VLOOKUP('Données projet'!$B$11,Paramètres!$A$1:$I$88,5,0)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377.49758296179459</v>
      </c>
      <c r="BJ102" s="62">
        <f t="shared" si="92"/>
        <v>297.9972591134441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134.9625330210782</v>
      </c>
      <c r="BQ102" s="23">
        <f>EXP(-LN(2)/25)*BQ101+(1-EXP(-LN(2)/25))/(LN(2)/25)*Calculateur!BL102*Calculateur!BN102*VLOOKUP('Données projet'!$B$11,Paramètres!$A$1:$I$88,3,0)*0.475*44/12</f>
        <v>53.208100764846549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188.17063378592474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projet'!$B$12,Paramètres!$A$1:$I$88,3,0)*VLOOKUP('Données projet'!$B$12,Paramètres!$A$1:$I$88,5,0)</f>
        <v>-1.064108801074326E-13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163.77317062597106</v>
      </c>
      <c r="CE102" s="62">
        <f t="shared" si="94"/>
        <v>122.66073843071686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51.390137558867309</v>
      </c>
      <c r="CL102" s="23">
        <f>EXP(-LN(2)/25)*CL101+(1-EXP(-LN(2)/25))/(LN(2)/25)*Calculateur!CG102*Calculateur!CI102*VLOOKUP('Données projet'!$B$12,Paramètres!$A$1:$I$88,3,0)*0.475*44/12</f>
        <v>17.674239503452011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69.064377062319323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projet'!$B$13,Paramètres!$A$1:$I$88,3,0)*VLOOKUP('Données projet'!$B$13,Paramètres!$A$1:$I$88,5,0)</f>
        <v>-6.7984728957526396E-14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167.84261986874142</v>
      </c>
      <c r="CZ102" s="62">
        <f t="shared" si="96"/>
        <v>242.5860875239222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12.883007787182327</v>
      </c>
      <c r="DG102" s="23">
        <f>EXP(-LN(2)/25)*DG101+(1-EXP(-LN(2)/25))/(LN(2)/25)*Calculateur!DB102*Calculateur!DD102*VLOOKUP('Données projet'!$B$13,Paramètres!$A$1:$I$88,3,0)*0.475*44/12</f>
        <v>15.01760097209802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27.900608759280345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1.5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5.5</v>
      </c>
      <c r="H103" s="70">
        <f t="shared" si="56"/>
        <v>234.66666666666666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6.4</v>
      </c>
      <c r="N103" s="14">
        <f>IF('Données projet'!$A$36&gt;35,N102+M103-V102,IF(A103&lt;'Données projet'!$A$36,$K$205^A103,IF(A103='Données projet'!$A$36,'Données projet'!$B$36,N102+M103-V102)))</f>
        <v>242.2000000000001</v>
      </c>
      <c r="O103" s="14">
        <f>N103*VLOOKUP('Données projet'!$B$9,Paramètres!$A$1:$I$88,3,0)*VLOOKUP('Données projet'!$B$9,Paramètres!$A$1:$I$88,5,0)</f>
        <v>219.14256000000009</v>
      </c>
      <c r="P103" s="14">
        <f t="shared" si="87"/>
        <v>53.928483039139756</v>
      </c>
      <c r="Q103" s="22">
        <f t="shared" si="107"/>
        <v>475.59873329316855</v>
      </c>
      <c r="R103" s="62">
        <f t="shared" si="55"/>
        <v>764.1532831816146</v>
      </c>
      <c r="S103" s="62">
        <f ca="1">AVERAGE(OFFSET($R$3,0,0,'Données projet'!$E$9+1,1))-AVERAGE(OFFSET($H$3,0,0,'Données projet'!$E$9+1,1))</f>
        <v>387.16864229348823</v>
      </c>
      <c r="T103" s="62">
        <f t="shared" si="88"/>
        <v>260.88002342542893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42.470777686833351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42.470777686833351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projet'!$B$10,Paramètres!$A$1:$I$88,3,0)*VLOOKUP('Données projet'!$B$10,Paramètres!$A$1:$I$88,5,0)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288.55454988844713</v>
      </c>
      <c r="AN103" s="62">
        <f ca="1">AVERAGE(OFFSET($AM$3,0,0,'Données projet'!$E$10+1,1))-AVERAGE(OFFSET($H$3,0,0,'Données projet'!$E$10+1,1))</f>
        <v>197.84745001458262</v>
      </c>
      <c r="AO103" s="62">
        <f t="shared" si="90"/>
        <v>290.24283321060068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15.358257390221816</v>
      </c>
      <c r="AV103" s="23">
        <f>EXP(-LN(2)/25)*AV102+(1-EXP(-LN(2)/25))/(LN(2)/25)*Calculateur!AQ103*Calculateur!AS103*VLOOKUP('Données projet'!$B$10,Paramètres!$A$1:$I$88,3,0)*0.475*44/12</f>
        <v>18.059655473874706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33.417912864096522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projet'!$B$11,Paramètres!$A$1:$I$88,3,0)*VLOOKUP('Données projet'!$B$11,Paramètres!$A$1:$I$88,5,0)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377.49758296179459</v>
      </c>
      <c r="BJ103" s="62">
        <f t="shared" si="92"/>
        <v>297.9972591134441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132.31600006755167</v>
      </c>
      <c r="BQ103" s="23">
        <f>EXP(-LN(2)/25)*BQ102+(1-EXP(-LN(2)/25))/(LN(2)/25)*Calculateur!BL103*Calculateur!BN103*VLOOKUP('Données projet'!$B$11,Paramètres!$A$1:$I$88,3,0)*0.475*44/12</f>
        <v>51.753122451339408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184.06912251889108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projet'!$B$12,Paramètres!$A$1:$I$88,3,0)*VLOOKUP('Données projet'!$B$12,Paramètres!$A$1:$I$88,5,0)</f>
        <v>-1.064108801074326E-13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163.77317062597106</v>
      </c>
      <c r="CE103" s="62">
        <f t="shared" si="94"/>
        <v>122.66073843071686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50.382408306226779</v>
      </c>
      <c r="CL103" s="23">
        <f>EXP(-LN(2)/25)*CL102+(1-EXP(-LN(2)/25))/(LN(2)/25)*Calculateur!CG103*Calculateur!CI103*VLOOKUP('Données projet'!$B$12,Paramètres!$A$1:$I$88,3,0)*0.475*44/12</f>
        <v>17.190936494782257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67.573344801009029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projet'!$B$13,Paramètres!$A$1:$I$88,3,0)*VLOOKUP('Données projet'!$B$13,Paramètres!$A$1:$I$88,5,0)</f>
        <v>-6.7984728957526396E-14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167.84261986874142</v>
      </c>
      <c r="CZ103" s="62">
        <f t="shared" si="96"/>
        <v>242.5860875239222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12.630379862334532</v>
      </c>
      <c r="DG103" s="23">
        <f>EXP(-LN(2)/25)*DG102+(1-EXP(-LN(2)/25))/(LN(2)/25)*Calculateur!DB103*Calculateur!DD103*VLOOKUP('Données projet'!$B$13,Paramètres!$A$1:$I$88,3,0)*0.475*44/12</f>
        <v>14.606943883774687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27.237323746109219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1.5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5.5</v>
      </c>
      <c r="H104" s="70">
        <f t="shared" si="56"/>
        <v>234.66666666666666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6.4</v>
      </c>
      <c r="N104" s="14">
        <f>IF('Données projet'!$A$36&gt;35,N103+M104-V103,IF(A104&lt;'Données projet'!$A$36,$K$205^A104,IF(A104='Données projet'!$A$36,'Données projet'!$B$36,N103+M104-V103)))</f>
        <v>248.60000000000011</v>
      </c>
      <c r="O104" s="14">
        <f>N104*VLOOKUP('Données projet'!$B$9,Paramètres!$A$1:$I$88,3,0)*VLOOKUP('Données projet'!$B$9,Paramètres!$A$1:$I$88,5,0)</f>
        <v>224.93328000000008</v>
      </c>
      <c r="P104" s="14">
        <f t="shared" si="87"/>
        <v>55.185721959924301</v>
      </c>
      <c r="Q104" s="22">
        <f t="shared" si="107"/>
        <v>487.87392841353494</v>
      </c>
      <c r="R104" s="62">
        <f t="shared" si="55"/>
        <v>776.51137951099054</v>
      </c>
      <c r="S104" s="62">
        <f ca="1">AVERAGE(OFFSET($R$3,0,0,'Données projet'!$E$9+1,1))-AVERAGE(OFFSET($H$3,0,0,'Données projet'!$E$9+1,1))</f>
        <v>387.16864229348823</v>
      </c>
      <c r="T104" s="62">
        <f t="shared" si="88"/>
        <v>260.88002342542893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41.637951641011071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41.637951641011071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projet'!$B$10,Paramètres!$A$1:$I$88,3,0)*VLOOKUP('Données projet'!$B$10,Paramètres!$A$1:$I$88,5,0)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288.63745109745673</v>
      </c>
      <c r="AN104" s="62">
        <f ca="1">AVERAGE(OFFSET($AM$3,0,0,'Données projet'!$E$10+1,1))-AVERAGE(OFFSET($H$3,0,0,'Données projet'!$E$10+1,1))</f>
        <v>197.84745001458262</v>
      </c>
      <c r="AO104" s="62">
        <f t="shared" si="90"/>
        <v>290.24283321060068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15.057091330411598</v>
      </c>
      <c r="AV104" s="23">
        <f>EXP(-LN(2)/25)*AV103+(1-EXP(-LN(2)/25))/(LN(2)/25)*Calculateur!AQ104*Calculateur!AS104*VLOOKUP('Données projet'!$B$10,Paramètres!$A$1:$I$88,3,0)*0.475*44/12</f>
        <v>17.565813245225598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32.622904575637193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projet'!$B$11,Paramètres!$A$1:$I$88,3,0)*VLOOKUP('Données projet'!$B$11,Paramètres!$A$1:$I$88,5,0)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377.49758296179459</v>
      </c>
      <c r="BJ104" s="62">
        <f t="shared" si="92"/>
        <v>297.9972591134441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129.7213640110181</v>
      </c>
      <c r="BQ104" s="23">
        <f>EXP(-LN(2)/25)*BQ103+(1-EXP(-LN(2)/25))/(LN(2)/25)*Calculateur!BL104*Calculateur!BN104*VLOOKUP('Données projet'!$B$11,Paramètres!$A$1:$I$88,3,0)*0.475*44/12</f>
        <v>50.337930596329109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180.0592946073472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projet'!$B$12,Paramètres!$A$1:$I$88,3,0)*VLOOKUP('Données projet'!$B$12,Paramètres!$A$1:$I$88,5,0)</f>
        <v>-1.064108801074326E-13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163.77317062597106</v>
      </c>
      <c r="CE104" s="62">
        <f t="shared" si="94"/>
        <v>122.66073843071686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49.394440009576378</v>
      </c>
      <c r="CL104" s="23">
        <f>EXP(-LN(2)/25)*CL103+(1-EXP(-LN(2)/25))/(LN(2)/25)*Calculateur!CG104*Calculateur!CI104*VLOOKUP('Données projet'!$B$12,Paramètres!$A$1:$I$88,3,0)*0.475*44/12</f>
        <v>16.720849432300376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66.115289441876754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projet'!$B$13,Paramètres!$A$1:$I$88,3,0)*VLOOKUP('Données projet'!$B$13,Paramètres!$A$1:$I$88,5,0)</f>
        <v>-6.7984728957526396E-14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167.84261986874142</v>
      </c>
      <c r="CZ104" s="62">
        <f t="shared" si="96"/>
        <v>242.5860875239222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12.382705817005183</v>
      </c>
      <c r="DG104" s="23">
        <f>EXP(-LN(2)/25)*DG103+(1-EXP(-LN(2)/25))/(LN(2)/25)*Calculateur!DB104*Calculateur!DD104*VLOOKUP('Données projet'!$B$13,Paramètres!$A$1:$I$88,3,0)*0.475*44/12</f>
        <v>14.207516235127073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26.590222052132255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1.5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5.5</v>
      </c>
      <c r="H105" s="70">
        <f t="shared" si="56"/>
        <v>234.66666666666666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6.4</v>
      </c>
      <c r="N105" s="14">
        <f>IF('Données projet'!$A$36&gt;35,N104+M105-V104,IF(A105&lt;'Données projet'!$A$36,$K$205^A105,IF(A105='Données projet'!$A$36,'Données projet'!$B$36,N104+M105-V104)))</f>
        <v>255.00000000000011</v>
      </c>
      <c r="O105" s="14">
        <f>N105*VLOOKUP('Données projet'!$B$9,Paramètres!$A$1:$I$88,3,0)*VLOOKUP('Données projet'!$B$9,Paramètres!$A$1:$I$88,5,0)</f>
        <v>230.7240000000001</v>
      </c>
      <c r="P105" s="14">
        <f t="shared" si="87"/>
        <v>56.439198612082095</v>
      </c>
      <c r="Q105" s="22">
        <f t="shared" si="107"/>
        <v>500.14257091604304</v>
      </c>
      <c r="R105" s="62">
        <f t="shared" si="55"/>
        <v>788.86148507187124</v>
      </c>
      <c r="S105" s="62">
        <f ca="1">AVERAGE(OFFSET($R$3,0,0,'Données projet'!$E$9+1,1))-AVERAGE(OFFSET($H$3,0,0,'Données projet'!$E$9+1,1))</f>
        <v>387.16864229348823</v>
      </c>
      <c r="T105" s="62">
        <f t="shared" si="88"/>
        <v>260.88002342542893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40.821456805973632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40.821456805973632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projet'!$B$10,Paramètres!$A$1:$I$88,3,0)*VLOOKUP('Données projet'!$B$10,Paramètres!$A$1:$I$88,5,0)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288.71891415582928</v>
      </c>
      <c r="AN105" s="62">
        <f ca="1">AVERAGE(OFFSET($AM$3,0,0,'Données projet'!$E$10+1,1))-AVERAGE(OFFSET($H$3,0,0,'Données projet'!$E$10+1,1))</f>
        <v>197.84745001458262</v>
      </c>
      <c r="AO105" s="62">
        <f t="shared" si="90"/>
        <v>290.24283321060068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14.761830953341102</v>
      </c>
      <c r="AV105" s="23">
        <f>EXP(-LN(2)/25)*AV104+(1-EXP(-LN(2)/25))/(LN(2)/25)*Calculateur!AQ105*Calculateur!AS105*VLOOKUP('Données projet'!$B$10,Paramètres!$A$1:$I$88,3,0)*0.475*44/12</f>
        <v>17.085475158288933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31.847306111630033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projet'!$B$11,Paramètres!$A$1:$I$88,3,0)*VLOOKUP('Données projet'!$B$11,Paramètres!$A$1:$I$88,5,0)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377.49758296179459</v>
      </c>
      <c r="BJ105" s="62">
        <f t="shared" si="92"/>
        <v>297.9972591134441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127.17760718498141</v>
      </c>
      <c r="BQ105" s="23">
        <f>EXP(-LN(2)/25)*BQ104+(1-EXP(-LN(2)/25))/(LN(2)/25)*Calculateur!BL105*Calculateur!BN105*VLOOKUP('Données projet'!$B$11,Paramètres!$A$1:$I$88,3,0)*0.475*44/12</f>
        <v>48.961437237015765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176.13904442199717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projet'!$B$12,Paramètres!$A$1:$I$88,3,0)*VLOOKUP('Données projet'!$B$12,Paramètres!$A$1:$I$88,5,0)</f>
        <v>-1.064108801074326E-13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163.77317062597106</v>
      </c>
      <c r="CE105" s="62">
        <f t="shared" si="94"/>
        <v>122.66073843071686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48.425845168622132</v>
      </c>
      <c r="CL105" s="23">
        <f>EXP(-LN(2)/25)*CL104+(1-EXP(-LN(2)/25))/(LN(2)/25)*Calculateur!CG105*Calculateur!CI105*VLOOKUP('Données projet'!$B$12,Paramètres!$A$1:$I$88,3,0)*0.475*44/12</f>
        <v>16.263616925262866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64.689462093884998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projet'!$B$13,Paramètres!$A$1:$I$88,3,0)*VLOOKUP('Données projet'!$B$13,Paramètres!$A$1:$I$88,5,0)</f>
        <v>-6.7984728957526396E-14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167.84261986874142</v>
      </c>
      <c r="CZ105" s="62">
        <f t="shared" si="96"/>
        <v>242.5860875239222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12.139888508638492</v>
      </c>
      <c r="DG105" s="23">
        <f>EXP(-LN(2)/25)*DG104+(1-EXP(-LN(2)/25))/(LN(2)/25)*Calculateur!DB105*Calculateur!DD105*VLOOKUP('Données projet'!$B$13,Paramètres!$A$1:$I$88,3,0)*0.475*44/12</f>
        <v>13.819010956536717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25.958899465175207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1.5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5.5</v>
      </c>
      <c r="H106" s="70">
        <f t="shared" si="56"/>
        <v>234.66666666666666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6.4</v>
      </c>
      <c r="N106" s="14">
        <f>IF('Données projet'!$A$36&gt;35,N105+M106-V105,IF(A106&lt;'Données projet'!$A$36,$K$205^A106,IF(A106='Données projet'!$A$36,'Données projet'!$B$36,N105+M106-V105)))</f>
        <v>261.40000000000009</v>
      </c>
      <c r="O106" s="14">
        <f>N106*VLOOKUP('Données projet'!$B$9,Paramètres!$A$1:$I$88,3,0)*VLOOKUP('Données projet'!$B$9,Paramètres!$A$1:$I$88,5,0)</f>
        <v>236.5147200000001</v>
      </c>
      <c r="P106" s="14">
        <f t="shared" si="87"/>
        <v>57.689018280843769</v>
      </c>
      <c r="Q106" s="22">
        <f t="shared" si="107"/>
        <v>512.40484417246978</v>
      </c>
      <c r="R106" s="62">
        <f t="shared" si="55"/>
        <v>801.203808184732</v>
      </c>
      <c r="S106" s="62">
        <f ca="1">AVERAGE(OFFSET($R$3,0,0,'Données projet'!$E$9+1,1))-AVERAGE(OFFSET($H$3,0,0,'Données projet'!$E$9+1,1))</f>
        <v>387.16864229348823</v>
      </c>
      <c r="T106" s="62">
        <f t="shared" si="88"/>
        <v>260.88002342542893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40.020972936638607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40.020972936638607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projet'!$B$10,Paramètres!$A$1:$I$88,3,0)*VLOOKUP('Données projet'!$B$10,Paramètres!$A$1:$I$88,5,0)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288.79896401226324</v>
      </c>
      <c r="AN106" s="62">
        <f ca="1">AVERAGE(OFFSET($AM$3,0,0,'Données projet'!$E$10+1,1))-AVERAGE(OFFSET($H$3,0,0,'Données projet'!$E$10+1,1))</f>
        <v>197.84745001458262</v>
      </c>
      <c r="AO106" s="62">
        <f t="shared" si="90"/>
        <v>290.24283321060068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14.472360452173911</v>
      </c>
      <c r="AV106" s="23">
        <f>EXP(-LN(2)/25)*AV105+(1-EXP(-LN(2)/25))/(LN(2)/25)*Calculateur!AQ106*Calculateur!AS106*VLOOKUP('Données projet'!$B$10,Paramètres!$A$1:$I$88,3,0)*0.475*44/12</f>
        <v>16.618271941599431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31.09063239377334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projet'!$B$11,Paramètres!$A$1:$I$88,3,0)*VLOOKUP('Données projet'!$B$11,Paramètres!$A$1:$I$88,5,0)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377.49758296179459</v>
      </c>
      <c r="BJ106" s="62">
        <f t="shared" si="92"/>
        <v>297.9972591134441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124.68373187876485</v>
      </c>
      <c r="BQ106" s="23">
        <f>EXP(-LN(2)/25)*BQ105+(1-EXP(-LN(2)/25))/(LN(2)/25)*Calculateur!BL106*Calculateur!BN106*VLOOKUP('Données projet'!$B$11,Paramètres!$A$1:$I$88,3,0)*0.475*44/12</f>
        <v>47.622584160999487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172.30631603976434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projet'!$B$12,Paramètres!$A$1:$I$88,3,0)*VLOOKUP('Données projet'!$B$12,Paramètres!$A$1:$I$88,5,0)</f>
        <v>-1.064108801074326E-13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163.77317062597106</v>
      </c>
      <c r="CE106" s="62">
        <f t="shared" si="94"/>
        <v>122.66073843071686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47.476243881714481</v>
      </c>
      <c r="CL106" s="23">
        <f>EXP(-LN(2)/25)*CL105+(1-EXP(-LN(2)/25))/(LN(2)/25)*Calculateur!CG106*Calculateur!CI106*VLOOKUP('Données projet'!$B$12,Paramètres!$A$1:$I$88,3,0)*0.475*44/12</f>
        <v>15.818887465175109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63.29513134688959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projet'!$B$13,Paramètres!$A$1:$I$88,3,0)*VLOOKUP('Données projet'!$B$13,Paramètres!$A$1:$I$88,5,0)</f>
        <v>-6.7984728957526396E-14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167.84261986874142</v>
      </c>
      <c r="CZ106" s="62">
        <f t="shared" si="96"/>
        <v>242.5860875239222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11.901832699584938</v>
      </c>
      <c r="DG106" s="23">
        <f>EXP(-LN(2)/25)*DG105+(1-EXP(-LN(2)/25))/(LN(2)/25)*Calculateur!DB106*Calculateur!DD106*VLOOKUP('Données projet'!$B$13,Paramètres!$A$1:$I$88,3,0)*0.475*44/12</f>
        <v>13.441129375220019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25.342962074804959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1.5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5.5</v>
      </c>
      <c r="H107" s="70">
        <f t="shared" si="56"/>
        <v>234.66666666666666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6.4</v>
      </c>
      <c r="N107" s="14">
        <f>IF('Données projet'!$A$36&gt;35,N106+M107-V106,IF(A107&lt;'Données projet'!$A$36,$K$205^A107,IF(A107='Données projet'!$A$36,'Données projet'!$B$36,N106+M107-V106)))</f>
        <v>267.80000000000007</v>
      </c>
      <c r="O107" s="14">
        <f>N107*VLOOKUP('Données projet'!$B$9,Paramètres!$A$1:$I$88,3,0)*VLOOKUP('Données projet'!$B$9,Paramètres!$A$1:$I$88,5,0)</f>
        <v>242.30544000000006</v>
      </c>
      <c r="P107" s="14">
        <f t="shared" si="87"/>
        <v>58.935280802002701</v>
      </c>
      <c r="Q107" s="22">
        <f t="shared" si="107"/>
        <v>524.6609220634881</v>
      </c>
      <c r="R107" s="62">
        <f t="shared" si="55"/>
        <v>813.53854724613973</v>
      </c>
      <c r="S107" s="62">
        <f ca="1">AVERAGE(OFFSET($R$3,0,0,'Données projet'!$E$9+1,1))-AVERAGE(OFFSET($H$3,0,0,'Données projet'!$E$9+1,1))</f>
        <v>387.16864229348823</v>
      </c>
      <c r="T107" s="62">
        <f t="shared" si="88"/>
        <v>260.88002342542893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39.236186067734288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39.236186067734288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projet'!$B$10,Paramètres!$A$1:$I$88,3,0)*VLOOKUP('Données projet'!$B$10,Paramètres!$A$1:$I$88,5,0)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288.87762518265271</v>
      </c>
      <c r="AN107" s="62">
        <f ca="1">AVERAGE(OFFSET($AM$3,0,0,'Données projet'!$E$10+1,1))-AVERAGE(OFFSET($H$3,0,0,'Données projet'!$E$10+1,1))</f>
        <v>197.84745001458262</v>
      </c>
      <c r="AO107" s="62">
        <f t="shared" si="90"/>
        <v>290.24283321060068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14.188566290975036</v>
      </c>
      <c r="AV107" s="23">
        <f>EXP(-LN(2)/25)*AV106+(1-EXP(-LN(2)/25))/(LN(2)/25)*Calculateur!AQ107*Calculateur!AS107*VLOOKUP('Données projet'!$B$10,Paramètres!$A$1:$I$88,3,0)*0.475*44/12</f>
        <v>16.163844421439457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30.352410712414493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projet'!$B$11,Paramètres!$A$1:$I$88,3,0)*VLOOKUP('Données projet'!$B$11,Paramètres!$A$1:$I$88,5,0)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377.49758296179459</v>
      </c>
      <c r="BJ107" s="62">
        <f t="shared" si="92"/>
        <v>297.9972591134441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122.23875994618945</v>
      </c>
      <c r="BQ107" s="23">
        <f>EXP(-LN(2)/25)*BQ106+(1-EXP(-LN(2)/25))/(LN(2)/25)*Calculateur!BL107*Calculateur!BN107*VLOOKUP('Données projet'!$B$11,Paramètres!$A$1:$I$88,3,0)*0.475*44/12</f>
        <v>46.320342092754096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168.55910203894354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projet'!$B$12,Paramètres!$A$1:$I$88,3,0)*VLOOKUP('Données projet'!$B$12,Paramètres!$A$1:$I$88,5,0)</f>
        <v>-1.064108801074326E-13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163.77317062597106</v>
      </c>
      <c r="CE107" s="62">
        <f t="shared" si="94"/>
        <v>122.66073843071686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46.545263696843499</v>
      </c>
      <c r="CL107" s="23">
        <f>EXP(-LN(2)/25)*CL106+(1-EXP(-LN(2)/25))/(LN(2)/25)*Calculateur!CG107*Calculateur!CI107*VLOOKUP('Données projet'!$B$12,Paramètres!$A$1:$I$88,3,0)*0.475*44/12</f>
        <v>15.386319155560759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61.931582852404262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projet'!$B$13,Paramètres!$A$1:$I$88,3,0)*VLOOKUP('Données projet'!$B$13,Paramètres!$A$1:$I$88,5,0)</f>
        <v>-6.7984728957526396E-14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167.84261986874142</v>
      </c>
      <c r="CZ107" s="62">
        <f t="shared" si="96"/>
        <v>242.5860875239222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11.668445019747217</v>
      </c>
      <c r="DG107" s="23">
        <f>EXP(-LN(2)/25)*DG106+(1-EXP(-LN(2)/25))/(LN(2)/25)*Calculateur!DB107*Calculateur!DD107*VLOOKUP('Données projet'!$B$13,Paramètres!$A$1:$I$88,3,0)*0.475*44/12</f>
        <v>13.073580985616353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24.74202600536357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1.5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5.5</v>
      </c>
      <c r="H108" s="70">
        <f t="shared" si="56"/>
        <v>234.66666666666666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6.4</v>
      </c>
      <c r="N108" s="14">
        <f>IF('Données projet'!$A$36&gt;35,N107+M108-V107,IF(A108&lt;'Données projet'!$A$36,$K$205^A108,IF(A108='Données projet'!$A$36,'Données projet'!$B$36,N107+M108-V107)))</f>
        <v>274.20000000000005</v>
      </c>
      <c r="O108" s="14">
        <f>N108*VLOOKUP('Données projet'!$B$9,Paramètres!$A$1:$I$88,3,0)*VLOOKUP('Données projet'!$B$9,Paramètres!$A$1:$I$88,5,0)</f>
        <v>248.09616</v>
      </c>
      <c r="P108" s="14">
        <f t="shared" si="87"/>
        <v>60.178080967364686</v>
      </c>
      <c r="Q108" s="22">
        <f t="shared" si="107"/>
        <v>536.91096968482668</v>
      </c>
      <c r="R108" s="62">
        <f t="shared" si="55"/>
        <v>825.86589144242157</v>
      </c>
      <c r="S108" s="62">
        <f ca="1">AVERAGE(OFFSET($R$3,0,0,'Données projet'!$E$9+1,1))-AVERAGE(OFFSET($H$3,0,0,'Données projet'!$E$9+1,1))</f>
        <v>387.16864229348823</v>
      </c>
      <c r="T108" s="62">
        <f t="shared" si="88"/>
        <v>260.88002342542893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38.466788390656461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38.466788390656461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projet'!$B$10,Paramètres!$A$1:$I$88,3,0)*VLOOKUP('Données projet'!$B$10,Paramètres!$A$1:$I$88,5,0)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288.95492175759591</v>
      </c>
      <c r="AN108" s="62">
        <f ca="1">AVERAGE(OFFSET($AM$3,0,0,'Données projet'!$E$10+1,1))-AVERAGE(OFFSET($H$3,0,0,'Données projet'!$E$10+1,1))</f>
        <v>197.84745001458262</v>
      </c>
      <c r="AO108" s="62">
        <f t="shared" si="90"/>
        <v>290.24283321060068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13.910337160179925</v>
      </c>
      <c r="AV108" s="23">
        <f>EXP(-LN(2)/25)*AV107+(1-EXP(-LN(2)/25))/(LN(2)/25)*Calculateur!AQ108*Calculateur!AS108*VLOOKUP('Données projet'!$B$10,Paramètres!$A$1:$I$88,3,0)*0.475*44/12</f>
        <v>15.72184324571556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29.632180405895483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projet'!$B$11,Paramètres!$A$1:$I$88,3,0)*VLOOKUP('Données projet'!$B$11,Paramètres!$A$1:$I$88,5,0)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377.49758296179459</v>
      </c>
      <c r="BJ108" s="62">
        <f t="shared" si="92"/>
        <v>297.9972591134441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119.84173242192622</v>
      </c>
      <c r="BQ108" s="23">
        <f>EXP(-LN(2)/25)*BQ107+(1-EXP(-LN(2)/25))/(LN(2)/25)*Calculateur!BL108*Calculateur!BN108*VLOOKUP('Données projet'!$B$11,Paramètres!$A$1:$I$88,3,0)*0.475*44/12</f>
        <v>45.05370990234681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164.89544232427303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projet'!$B$12,Paramètres!$A$1:$I$88,3,0)*VLOOKUP('Données projet'!$B$12,Paramètres!$A$1:$I$88,5,0)</f>
        <v>-1.064108801074326E-13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163.77317062597106</v>
      </c>
      <c r="CE108" s="62">
        <f t="shared" si="94"/>
        <v>122.66073843071686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45.632539465555993</v>
      </c>
      <c r="CL108" s="23">
        <f>EXP(-LN(2)/25)*CL107+(1-EXP(-LN(2)/25))/(LN(2)/25)*Calculateur!CG108*Calculateur!CI108*VLOOKUP('Données projet'!$B$12,Paramètres!$A$1:$I$88,3,0)*0.475*44/12</f>
        <v>14.965579449120591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60.598118914676583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projet'!$B$13,Paramètres!$A$1:$I$88,3,0)*VLOOKUP('Données projet'!$B$13,Paramètres!$A$1:$I$88,5,0)</f>
        <v>-6.7984728957526396E-14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167.84261986874142</v>
      </c>
      <c r="CZ108" s="62">
        <f t="shared" si="96"/>
        <v>242.5860875239222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11.439633929958687</v>
      </c>
      <c r="DG108" s="23">
        <f>EXP(-LN(2)/25)*DG107+(1-EXP(-LN(2)/25))/(LN(2)/25)*Calculateur!DB108*Calculateur!DD108*VLOOKUP('Données projet'!$B$13,Paramètres!$A$1:$I$88,3,0)*0.475*44/12</f>
        <v>12.716083226054929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24.155717156013615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1.5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5.5</v>
      </c>
      <c r="H109" s="70">
        <f t="shared" si="56"/>
        <v>234.66666666666666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6.4</v>
      </c>
      <c r="N109" s="14">
        <f>IF('Données projet'!$A$36&gt;35,N108+M109-V108,IF(A109&lt;'Données projet'!$A$36,$K$205^A109,IF(A109='Données projet'!$A$36,'Données projet'!$B$36,N108+M109-V108)))</f>
        <v>280.60000000000002</v>
      </c>
      <c r="O109" s="14">
        <f>N109*VLOOKUP('Données projet'!$B$9,Paramètres!$A$1:$I$88,3,0)*VLOOKUP('Données projet'!$B$9,Paramètres!$A$1:$I$88,5,0)</f>
        <v>253.88687999999999</v>
      </c>
      <c r="P109" s="14">
        <f t="shared" si="87"/>
        <v>61.417508891276974</v>
      </c>
      <c r="Q109" s="22">
        <f t="shared" si="107"/>
        <v>549.15514398564073</v>
      </c>
      <c r="R109" s="62">
        <f t="shared" si="55"/>
        <v>838.18602139541281</v>
      </c>
      <c r="S109" s="62">
        <f ca="1">AVERAGE(OFFSET($R$3,0,0,'Données projet'!$E$9+1,1))-AVERAGE(OFFSET($H$3,0,0,'Données projet'!$E$9+1,1))</f>
        <v>387.16864229348823</v>
      </c>
      <c r="T109" s="62">
        <f t="shared" si="88"/>
        <v>260.88002342542893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37.712478132739882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37.712478132739882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projet'!$B$10,Paramètres!$A$1:$I$88,3,0)*VLOOKUP('Données projet'!$B$10,Paramètres!$A$1:$I$88,5,0)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289.03087740977315</v>
      </c>
      <c r="AN109" s="62">
        <f ca="1">AVERAGE(OFFSET($AM$3,0,0,'Données projet'!$E$10+1,1))-AVERAGE(OFFSET($H$3,0,0,'Données projet'!$E$10+1,1))</f>
        <v>197.84745001458262</v>
      </c>
      <c r="AO109" s="62">
        <f t="shared" si="90"/>
        <v>290.24283321060068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13.637563932936692</v>
      </c>
      <c r="AV109" s="23">
        <f>EXP(-LN(2)/25)*AV108+(1-EXP(-LN(2)/25))/(LN(2)/25)*Calculateur!AQ109*Calculateur!AS109*VLOOKUP('Données projet'!$B$10,Paramètres!$A$1:$I$88,3,0)*0.475*44/12</f>
        <v>15.291928615385665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28.929492548322358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projet'!$B$11,Paramètres!$A$1:$I$88,3,0)*VLOOKUP('Données projet'!$B$11,Paramètres!$A$1:$I$88,5,0)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377.49758296179459</v>
      </c>
      <c r="BJ109" s="62">
        <f t="shared" si="92"/>
        <v>297.9972591134441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117.49170914537137</v>
      </c>
      <c r="BQ109" s="23">
        <f>EXP(-LN(2)/25)*BQ108+(1-EXP(-LN(2)/25))/(LN(2)/25)*Calculateur!BL109*Calculateur!BN109*VLOOKUP('Données projet'!$B$11,Paramètres!$A$1:$I$88,3,0)*0.475*44/12</f>
        <v>43.821713835795506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161.31342298116687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projet'!$B$12,Paramètres!$A$1:$I$88,3,0)*VLOOKUP('Données projet'!$B$12,Paramètres!$A$1:$I$88,5,0)</f>
        <v>-1.064108801074326E-13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163.77317062597106</v>
      </c>
      <c r="CE109" s="62">
        <f t="shared" si="94"/>
        <v>122.66073843071686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44.737713199737222</v>
      </c>
      <c r="CL109" s="23">
        <f>EXP(-LN(2)/25)*CL108+(1-EXP(-LN(2)/25))/(LN(2)/25)*Calculateur!CG109*Calculateur!CI109*VLOOKUP('Données projet'!$B$12,Paramètres!$A$1:$I$88,3,0)*0.475*44/12</f>
        <v>14.556344892078769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59.294058091815991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projet'!$B$13,Paramètres!$A$1:$I$88,3,0)*VLOOKUP('Données projet'!$B$13,Paramètres!$A$1:$I$88,5,0)</f>
        <v>-6.7984728957526396E-14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167.84261986874142</v>
      </c>
      <c r="CZ109" s="62">
        <f t="shared" si="96"/>
        <v>242.5860875239222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11.215309686079925</v>
      </c>
      <c r="DG109" s="23">
        <f>EXP(-LN(2)/25)*DG108+(1-EXP(-LN(2)/25))/(LN(2)/25)*Calculateur!DB109*Calculateur!DD109*VLOOKUP('Données projet'!$B$13,Paramètres!$A$1:$I$88,3,0)*0.475*44/12</f>
        <v>12.368361261528703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23.583670947608628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1.5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5.5</v>
      </c>
      <c r="H110" s="70">
        <f t="shared" si="56"/>
        <v>234.66666666666666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>
        <f>VLOOKUP(A110,'Données projet'!$A$35:$I$55,2,0)</f>
        <v>287</v>
      </c>
      <c r="L110" s="13">
        <f>VLOOKUP(A110,'Données projet'!$A$35:$I$55,9,0)</f>
        <v>6.4</v>
      </c>
      <c r="M110" s="13">
        <f t="array" ref="M110">INDEX(L:L,MIN(IF(ISNUMBER(L110:L306),ROW(L110:L306),"")))</f>
        <v>6.4</v>
      </c>
      <c r="N110" s="14">
        <f>IF('Données projet'!$A$36&gt;35,N109+M110-V109,IF(A110&lt;'Données projet'!$A$36,$K$205^A110,IF(A110='Données projet'!$A$36,'Données projet'!$B$36,N109+M110-V109)))</f>
        <v>287</v>
      </c>
      <c r="O110" s="14">
        <f>N110*VLOOKUP('Données projet'!$B$9,Paramètres!$A$1:$I$88,3,0)*VLOOKUP('Données projet'!$B$9,Paramètres!$A$1:$I$88,5,0)</f>
        <v>259.67759999999998</v>
      </c>
      <c r="P110" s="14">
        <f t="shared" si="87"/>
        <v>62.653650342775357</v>
      </c>
      <c r="Q110" s="22">
        <f t="shared" si="107"/>
        <v>561.39359434700032</v>
      </c>
      <c r="R110" s="62">
        <f t="shared" si="55"/>
        <v>850.49910974819568</v>
      </c>
      <c r="S110" s="62">
        <f ca="1">AVERAGE(OFFSET($R$3,0,0,'Données projet'!$E$9+1,1))-AVERAGE(OFFSET($H$3,0,0,'Données projet'!$E$9+1,1))</f>
        <v>387.16864229348823</v>
      </c>
      <c r="T110" s="62">
        <f t="shared" si="88"/>
        <v>260.88002342542893</v>
      </c>
      <c r="U110" s="16">
        <f>IF(ISNA(VLOOKUP(A110,'Données projet'!$A$35:$I$55,3,0)),0,VLOOKUP(A110,'Données projet'!$A$35:$I$55,3,0))</f>
        <v>10</v>
      </c>
      <c r="V110" s="16">
        <f>IF(ISNA(VLOOKUP(A110,'Données projet'!$A$35:$I$55,4,0)),0,VLOOKUP(A110,'Données projet'!$A$35:$I$55,4,0))</f>
        <v>46</v>
      </c>
      <c r="W110" s="17">
        <f>IF(ISNA(VLOOKUP(A110,'Données projet'!$A$35:$I$55,5,0)),0%,VLOOKUP(A110,'Données projet'!$A$35:$I$55,5,0)*VLOOKUP('Données projet'!$B$9,Paramètres!$A$1:$I$88,7,0))</f>
        <v>0.25800000000000001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48.843684324593191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48.843684324593191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projet'!$B$10,Paramètres!$A$1:$I$88,3,0)*VLOOKUP('Données projet'!$B$10,Paramètres!$A$1:$I$88,5,0)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289.1055154011965</v>
      </c>
      <c r="AN110" s="62">
        <f ca="1">AVERAGE(OFFSET($AM$3,0,0,'Données projet'!$E$10+1,1))-AVERAGE(OFFSET($H$3,0,0,'Données projet'!$E$10+1,1))</f>
        <v>197.84745001458262</v>
      </c>
      <c r="AO110" s="62">
        <f t="shared" si="90"/>
        <v>290.24283321060068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13.370139622304459</v>
      </c>
      <c r="AV110" s="23">
        <f>EXP(-LN(2)/25)*AV109+(1-EXP(-LN(2)/25))/(LN(2)/25)*Calculateur!AQ110*Calculateur!AS110*VLOOKUP('Données projet'!$B$10,Paramètres!$A$1:$I$88,3,0)*0.475*44/12</f>
        <v>14.873770023230367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28.243909645534828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projet'!$B$11,Paramètres!$A$1:$I$88,3,0)*VLOOKUP('Données projet'!$B$11,Paramètres!$A$1:$I$88,5,0)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377.49758296179459</v>
      </c>
      <c r="BJ110" s="62">
        <f t="shared" si="92"/>
        <v>297.9972591134441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115.18776839189709</v>
      </c>
      <c r="BQ110" s="23">
        <f>EXP(-LN(2)/25)*BQ109+(1-EXP(-LN(2)/25))/(LN(2)/25)*Calculateur!BL110*Calculateur!BN110*VLOOKUP('Données projet'!$B$11,Paramètres!$A$1:$I$88,3,0)*0.475*44/12</f>
        <v>42.623406766471902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157.811175158369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projet'!$B$12,Paramètres!$A$1:$I$88,3,0)*VLOOKUP('Données projet'!$B$12,Paramètres!$A$1:$I$88,5,0)</f>
        <v>-1.064108801074326E-13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163.77317062597106</v>
      </c>
      <c r="CE110" s="62">
        <f t="shared" si="94"/>
        <v>122.66073843071686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43.86043393120103</v>
      </c>
      <c r="CL110" s="23">
        <f>EXP(-LN(2)/25)*CL109+(1-EXP(-LN(2)/25))/(LN(2)/25)*Calculateur!CG110*Calculateur!CI110*VLOOKUP('Données projet'!$B$12,Paramètres!$A$1:$I$88,3,0)*0.475*44/12</f>
        <v>14.158300875519966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58.018734806721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projet'!$B$13,Paramètres!$A$1:$I$88,3,0)*VLOOKUP('Données projet'!$B$13,Paramètres!$A$1:$I$88,5,0)</f>
        <v>-6.7984728957526396E-14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167.84261986874142</v>
      </c>
      <c r="CZ110" s="62">
        <f t="shared" si="96"/>
        <v>242.5860875239222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10.995384303799346</v>
      </c>
      <c r="DG110" s="23">
        <f>EXP(-LN(2)/25)*DG109+(1-EXP(-LN(2)/25))/(LN(2)/25)*Calculateur!DB110*Calculateur!DD110*VLOOKUP('Données projet'!$B$13,Paramètres!$A$1:$I$88,3,0)*0.475*44/12</f>
        <v>12.03014777240835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23.025532076207696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1.5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5.5</v>
      </c>
      <c r="H111" s="70">
        <f t="shared" si="56"/>
        <v>234.66666666666666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6.8</v>
      </c>
      <c r="N111" s="14">
        <f>IF('Données projet'!$A$36&gt;35,N110+M111-V110,IF(A111&lt;'Données projet'!$A$36,$K$205^A111,IF(A111='Données projet'!$A$36,'Données projet'!$B$36,N110+M111-V110)))</f>
        <v>247.8</v>
      </c>
      <c r="O111" s="14">
        <f>N111*VLOOKUP('Données projet'!$B$9,Paramètres!$A$1:$I$88,3,0)*VLOOKUP('Données projet'!$B$9,Paramètres!$A$1:$I$88,5,0)</f>
        <v>224.20944</v>
      </c>
      <c r="P111" s="14">
        <f t="shared" si="87"/>
        <v>55.028775065392367</v>
      </c>
      <c r="Q111" s="22">
        <f t="shared" si="107"/>
        <v>486.3398912388916</v>
      </c>
      <c r="R111" s="62">
        <f t="shared" si="55"/>
        <v>775.51874982922482</v>
      </c>
      <c r="S111" s="62">
        <f ca="1">AVERAGE(OFFSET($R$3,0,0,'Données projet'!$E$9+1,1))-AVERAGE(OFFSET($H$3,0,0,'Données projet'!$E$9+1,1))</f>
        <v>387.16864229348823</v>
      </c>
      <c r="T111" s="62">
        <f t="shared" si="88"/>
        <v>260.88002342542893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47.885889466693669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47.885889466693669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projet'!$B$10,Paramètres!$A$1:$I$88,3,0)*VLOOKUP('Données projet'!$B$10,Paramètres!$A$1:$I$88,5,0)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289.17885859033424</v>
      </c>
      <c r="AN111" s="62">
        <f ca="1">AVERAGE(OFFSET($AM$3,0,0,'Données projet'!$E$10+1,1))-AVERAGE(OFFSET($H$3,0,0,'Données projet'!$E$10+1,1))</f>
        <v>197.84745001458262</v>
      </c>
      <c r="AO111" s="62">
        <f t="shared" si="90"/>
        <v>290.24283321060068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13.107959339291</v>
      </c>
      <c r="AV111" s="23">
        <f>EXP(-LN(2)/25)*AV110+(1-EXP(-LN(2)/25))/(LN(2)/25)*Calculateur!AQ111*Calculateur!AS111*VLOOKUP('Données projet'!$B$10,Paramètres!$A$1:$I$88,3,0)*0.475*44/12</f>
        <v>14.467045999767562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27.575005339058563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projet'!$B$11,Paramètres!$A$1:$I$88,3,0)*VLOOKUP('Données projet'!$B$11,Paramètres!$A$1:$I$88,5,0)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377.49758296179459</v>
      </c>
      <c r="BJ111" s="62">
        <f t="shared" si="92"/>
        <v>297.9972591134441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112.92900651133336</v>
      </c>
      <c r="BQ111" s="23">
        <f>EXP(-LN(2)/25)*BQ110+(1-EXP(-LN(2)/25))/(LN(2)/25)*Calculateur!BL111*Calculateur!BN111*VLOOKUP('Données projet'!$B$11,Paramètres!$A$1:$I$88,3,0)*0.475*44/12</f>
        <v>41.457867466975181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154.38687397830853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projet'!$B$12,Paramètres!$A$1:$I$88,3,0)*VLOOKUP('Données projet'!$B$12,Paramètres!$A$1:$I$88,5,0)</f>
        <v>-1.064108801074326E-13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163.77317062597106</v>
      </c>
      <c r="CE111" s="62">
        <f t="shared" si="94"/>
        <v>122.66073843071686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43.000357574033316</v>
      </c>
      <c r="CL111" s="23">
        <f>EXP(-LN(2)/25)*CL110+(1-EXP(-LN(2)/25))/(LN(2)/25)*Calculateur!CG111*Calculateur!CI111*VLOOKUP('Données projet'!$B$12,Paramètres!$A$1:$I$88,3,0)*0.475*44/12</f>
        <v>13.771141393526189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56.771498967559509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projet'!$B$13,Paramètres!$A$1:$I$88,3,0)*VLOOKUP('Données projet'!$B$13,Paramètres!$A$1:$I$88,5,0)</f>
        <v>-6.7984728957526396E-14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167.84261986874142</v>
      </c>
      <c r="CZ111" s="62">
        <f t="shared" si="96"/>
        <v>242.5860875239222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10.779771524124053</v>
      </c>
      <c r="DG111" s="23">
        <f>EXP(-LN(2)/25)*DG110+(1-EXP(-LN(2)/25))/(LN(2)/25)*Calculateur!DB111*Calculateur!DD111*VLOOKUP('Données projet'!$B$13,Paramètres!$A$1:$I$88,3,0)*0.475*44/12</f>
        <v>11.701182748933867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22.480954273057918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1.5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5.5</v>
      </c>
      <c r="H112" s="70">
        <f t="shared" si="56"/>
        <v>234.66666666666666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6.8</v>
      </c>
      <c r="N112" s="14">
        <f>IF('Données projet'!$A$36&gt;35,N111+M112-V111,IF(A112&lt;'Données projet'!$A$36,$K$205^A112,IF(A112='Données projet'!$A$36,'Données projet'!$B$36,N111+M112-V111)))</f>
        <v>254.60000000000002</v>
      </c>
      <c r="O112" s="14">
        <f>N112*VLOOKUP('Données projet'!$B$9,Paramètres!$A$1:$I$88,3,0)*VLOOKUP('Données projet'!$B$9,Paramètres!$A$1:$I$88,5,0)</f>
        <v>230.36208000000002</v>
      </c>
      <c r="P112" s="14">
        <f t="shared" si="87"/>
        <v>56.360964523671818</v>
      </c>
      <c r="Q112" s="22">
        <f t="shared" si="107"/>
        <v>499.37596921206176</v>
      </c>
      <c r="R112" s="62">
        <f t="shared" si="55"/>
        <v>788.62689865117181</v>
      </c>
      <c r="S112" s="62">
        <f ca="1">AVERAGE(OFFSET($R$3,0,0,'Données projet'!$E$9+1,1))-AVERAGE(OFFSET($H$3,0,0,'Données projet'!$E$9+1,1))</f>
        <v>387.16864229348823</v>
      </c>
      <c r="T112" s="62">
        <f t="shared" si="88"/>
        <v>260.88002342542893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46.946876381760376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46.946876381760376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projet'!$B$10,Paramètres!$A$1:$I$88,3,0)*VLOOKUP('Données projet'!$B$10,Paramètres!$A$1:$I$88,5,0)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289.25092943911119</v>
      </c>
      <c r="AN112" s="62">
        <f ca="1">AVERAGE(OFFSET($AM$3,0,0,'Données projet'!$E$10+1,1))-AVERAGE(OFFSET($H$3,0,0,'Données projet'!$E$10+1,1))</f>
        <v>197.84745001458262</v>
      </c>
      <c r="AO112" s="62">
        <f t="shared" si="90"/>
        <v>290.24283321060068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12.850920251713253</v>
      </c>
      <c r="AV112" s="23">
        <f>EXP(-LN(2)/25)*AV111+(1-EXP(-LN(2)/25))/(LN(2)/25)*Calculateur!AQ112*Calculateur!AS112*VLOOKUP('Données projet'!$B$10,Paramètres!$A$1:$I$88,3,0)*0.475*44/12</f>
        <v>14.071443866115034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26.922364117828288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projet'!$B$11,Paramètres!$A$1:$I$88,3,0)*VLOOKUP('Données projet'!$B$11,Paramètres!$A$1:$I$88,5,0)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377.49758296179459</v>
      </c>
      <c r="BJ112" s="62">
        <f t="shared" si="92"/>
        <v>297.9972591134441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110.71453757353875</v>
      </c>
      <c r="BQ112" s="23">
        <f>EXP(-LN(2)/25)*BQ111+(1-EXP(-LN(2)/25))/(LN(2)/25)*Calculateur!BL112*Calculateur!BN112*VLOOKUP('Données projet'!$B$11,Paramètres!$A$1:$I$88,3,0)*0.475*44/12</f>
        <v>40.324199900916248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151.03873747445499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projet'!$B$12,Paramètres!$A$1:$I$88,3,0)*VLOOKUP('Données projet'!$B$12,Paramètres!$A$1:$I$88,5,0)</f>
        <v>-1.064108801074326E-13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163.77317062597106</v>
      </c>
      <c r="CE112" s="62">
        <f t="shared" si="94"/>
        <v>122.66073843071686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42.157146789634879</v>
      </c>
      <c r="CL112" s="23">
        <f>EXP(-LN(2)/25)*CL111+(1-EXP(-LN(2)/25))/(LN(2)/25)*Calculateur!CG112*Calculateur!CI112*VLOOKUP('Données projet'!$B$12,Paramètres!$A$1:$I$88,3,0)*0.475*44/12</f>
        <v>13.394568807927364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55.551715597562243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projet'!$B$13,Paramètres!$A$1:$I$88,3,0)*VLOOKUP('Données projet'!$B$13,Paramètres!$A$1:$I$88,5,0)</f>
        <v>-6.7984728957526396E-14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167.84261986874142</v>
      </c>
      <c r="CZ112" s="62">
        <f t="shared" si="96"/>
        <v>242.5860875239222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10.568386779547382</v>
      </c>
      <c r="DG112" s="23">
        <f>EXP(-LN(2)/25)*DG111+(1-EXP(-LN(2)/25))/(LN(2)/25)*Calculateur!DB112*Calculateur!DD112*VLOOKUP('Données projet'!$B$13,Paramètres!$A$1:$I$88,3,0)*0.475*44/12</f>
        <v>11.381213291325814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21.949600070873196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1.5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5.5</v>
      </c>
      <c r="H113" s="70">
        <f t="shared" si="56"/>
        <v>234.66666666666666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6.8</v>
      </c>
      <c r="N113" s="14">
        <f>IF('Données projet'!$A$36&gt;35,N112+M113-V112,IF(A113&lt;'Données projet'!$A$36,$K$205^A113,IF(A113='Données projet'!$A$36,'Données projet'!$B$36,N112+M113-V112)))</f>
        <v>261.40000000000003</v>
      </c>
      <c r="O113" s="14">
        <f>N113*VLOOKUP('Données projet'!$B$9,Paramètres!$A$1:$I$88,3,0)*VLOOKUP('Données projet'!$B$9,Paramètres!$A$1:$I$88,5,0)</f>
        <v>236.51472000000004</v>
      </c>
      <c r="P113" s="14">
        <f t="shared" si="87"/>
        <v>57.689018280843769</v>
      </c>
      <c r="Q113" s="22">
        <f t="shared" si="107"/>
        <v>512.40484417246967</v>
      </c>
      <c r="R113" s="62">
        <f t="shared" si="55"/>
        <v>801.7265941922567</v>
      </c>
      <c r="S113" s="62">
        <f ca="1">AVERAGE(OFFSET($R$3,0,0,'Données projet'!$E$9+1,1))-AVERAGE(OFFSET($H$3,0,0,'Données projet'!$E$9+1,1))</f>
        <v>387.16864229348823</v>
      </c>
      <c r="T113" s="62">
        <f t="shared" si="88"/>
        <v>260.88002342542893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46.0262767706812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46.0262767706812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projet'!$B$10,Paramètres!$A$1:$I$88,3,0)*VLOOKUP('Données projet'!$B$10,Paramètres!$A$1:$I$88,5,0)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289.32175001978817</v>
      </c>
      <c r="AN113" s="62">
        <f ca="1">AVERAGE(OFFSET($AM$3,0,0,'Données projet'!$E$10+1,1))-AVERAGE(OFFSET($H$3,0,0,'Données projet'!$E$10+1,1))</f>
        <v>197.84745001458262</v>
      </c>
      <c r="AO113" s="62">
        <f t="shared" si="90"/>
        <v>290.24283321060068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12.598921543864543</v>
      </c>
      <c r="AV113" s="23">
        <f>EXP(-LN(2)/25)*AV112+(1-EXP(-LN(2)/25))/(LN(2)/25)*Calculateur!AQ113*Calculateur!AS113*VLOOKUP('Données projet'!$B$10,Paramètres!$A$1:$I$88,3,0)*0.475*44/12</f>
        <v>13.686659493611046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26.285581037475588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projet'!$B$11,Paramètres!$A$1:$I$88,3,0)*VLOOKUP('Données projet'!$B$11,Paramètres!$A$1:$I$88,5,0)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377.49758296179459</v>
      </c>
      <c r="BJ113" s="62">
        <f t="shared" si="92"/>
        <v>297.9972591134441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108.54349302092162</v>
      </c>
      <c r="BQ113" s="23">
        <f>EXP(-LN(2)/25)*BQ112+(1-EXP(-LN(2)/25))/(LN(2)/25)*Calculateur!BL113*Calculateur!BN113*VLOOKUP('Données projet'!$B$11,Paramètres!$A$1:$I$88,3,0)*0.475*44/12</f>
        <v>39.221532534068182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147.76502555498979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projet'!$B$12,Paramètres!$A$1:$I$88,3,0)*VLOOKUP('Données projet'!$B$12,Paramètres!$A$1:$I$88,5,0)</f>
        <v>-1.064108801074326E-13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163.77317062597106</v>
      </c>
      <c r="CE113" s="62">
        <f t="shared" si="94"/>
        <v>122.66073843071686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41.330470854410699</v>
      </c>
      <c r="CL113" s="23">
        <f>EXP(-LN(2)/25)*CL112+(1-EXP(-LN(2)/25))/(LN(2)/25)*Calculateur!CG113*Calculateur!CI113*VLOOKUP('Données projet'!$B$12,Paramètres!$A$1:$I$88,3,0)*0.475*44/12</f>
        <v>13.028293619484829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54.358764473895526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projet'!$B$13,Paramètres!$A$1:$I$88,3,0)*VLOOKUP('Données projet'!$B$13,Paramètres!$A$1:$I$88,5,0)</f>
        <v>-6.7984728957526396E-14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167.84261986874142</v>
      </c>
      <c r="CZ113" s="62">
        <f t="shared" si="96"/>
        <v>242.5860875239222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10.361147160879895</v>
      </c>
      <c r="DG113" s="23">
        <f>EXP(-LN(2)/25)*DG112+(1-EXP(-LN(2)/25))/(LN(2)/25)*Calculateur!DB113*Calculateur!DD113*VLOOKUP('Données projet'!$B$13,Paramètres!$A$1:$I$88,3,0)*0.475*44/12</f>
        <v>11.069993415362514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21.431140576242409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1.5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5.5</v>
      </c>
      <c r="H114" s="70">
        <f t="shared" si="56"/>
        <v>234.66666666666666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6.8</v>
      </c>
      <c r="N114" s="14">
        <f>IF('Données projet'!$A$36&gt;35,N113+M114-V113,IF(A114&lt;'Données projet'!$A$36,$K$205^A114,IF(A114='Données projet'!$A$36,'Données projet'!$B$36,N113+M114-V113)))</f>
        <v>268.20000000000005</v>
      </c>
      <c r="O114" s="14">
        <f>N114*VLOOKUP('Données projet'!$B$9,Paramètres!$A$1:$I$88,3,0)*VLOOKUP('Données projet'!$B$9,Paramètres!$A$1:$I$88,5,0)</f>
        <v>242.66736000000003</v>
      </c>
      <c r="P114" s="14">
        <f t="shared" si="87"/>
        <v>59.013056290731797</v>
      </c>
      <c r="Q114" s="22">
        <f t="shared" si="107"/>
        <v>525.42672503969129</v>
      </c>
      <c r="R114" s="62">
        <f t="shared" si="55"/>
        <v>814.81806706141174</v>
      </c>
      <c r="S114" s="62">
        <f ca="1">AVERAGE(OFFSET($R$3,0,0,'Données projet'!$E$9+1,1))-AVERAGE(OFFSET($H$3,0,0,'Données projet'!$E$9+1,1))</f>
        <v>387.16864229348823</v>
      </c>
      <c r="T114" s="62">
        <f t="shared" si="88"/>
        <v>260.88002342542893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45.123729556464966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45.123729556464966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projet'!$B$10,Paramètres!$A$1:$I$88,3,0)*VLOOKUP('Données projet'!$B$10,Paramètres!$A$1:$I$88,5,0)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289.39134202172147</v>
      </c>
      <c r="AN114" s="62">
        <f ca="1">AVERAGE(OFFSET($AM$3,0,0,'Données projet'!$E$10+1,1))-AVERAGE(OFFSET($H$3,0,0,'Données projet'!$E$10+1,1))</f>
        <v>197.84745001458262</v>
      </c>
      <c r="AO114" s="62">
        <f t="shared" si="90"/>
        <v>290.24283321060068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12.351864376972712</v>
      </c>
      <c r="AV114" s="23">
        <f>EXP(-LN(2)/25)*AV113+(1-EXP(-LN(2)/25))/(LN(2)/25)*Calculateur!AQ114*Calculateur!AS114*VLOOKUP('Données projet'!$B$10,Paramètres!$A$1:$I$88,3,0)*0.475*44/12</f>
        <v>13.31239707000811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25.664261446980824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projet'!$B$11,Paramètres!$A$1:$I$88,3,0)*VLOOKUP('Données projet'!$B$11,Paramètres!$A$1:$I$88,5,0)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377.49758296179459</v>
      </c>
      <c r="BJ114" s="62">
        <f t="shared" si="92"/>
        <v>297.9972591134441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106.41502132777488</v>
      </c>
      <c r="BQ114" s="23">
        <f>EXP(-LN(2)/25)*BQ113+(1-EXP(-LN(2)/25))/(LN(2)/25)*Calculateur!BL114*Calculateur!BN114*VLOOKUP('Données projet'!$B$11,Paramètres!$A$1:$I$88,3,0)*0.475*44/12</f>
        <v>38.14901766435333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144.56403899212822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projet'!$B$12,Paramètres!$A$1:$I$88,3,0)*VLOOKUP('Données projet'!$B$12,Paramètres!$A$1:$I$88,5,0)</f>
        <v>-1.064108801074326E-13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163.77317062597106</v>
      </c>
      <c r="CE114" s="62">
        <f t="shared" si="94"/>
        <v>122.66073843071686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40.520005530053737</v>
      </c>
      <c r="CL114" s="23">
        <f>EXP(-LN(2)/25)*CL113+(1-EXP(-LN(2)/25))/(LN(2)/25)*Calculateur!CG114*Calculateur!CI114*VLOOKUP('Données projet'!$B$12,Paramètres!$A$1:$I$88,3,0)*0.475*44/12</f>
        <v>12.672034245331831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53.192039775385567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projet'!$B$13,Paramètres!$A$1:$I$88,3,0)*VLOOKUP('Données projet'!$B$13,Paramètres!$A$1:$I$88,5,0)</f>
        <v>-6.7984728957526396E-14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167.84261986874142</v>
      </c>
      <c r="CZ114" s="62">
        <f t="shared" si="96"/>
        <v>242.5860875239222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10.157971384730793</v>
      </c>
      <c r="DG114" s="23">
        <f>EXP(-LN(2)/25)*DG113+(1-EXP(-LN(2)/25))/(LN(2)/25)*Calculateur!DB114*Calculateur!DD114*VLOOKUP('Données projet'!$B$13,Paramètres!$A$1:$I$88,3,0)*0.475*44/12</f>
        <v>10.767283863273773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20.925255248004568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1.5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5.5</v>
      </c>
      <c r="H115" s="70">
        <f t="shared" si="56"/>
        <v>234.66666666666666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6.8</v>
      </c>
      <c r="N115" s="14">
        <f>IF('Données projet'!$A$36&gt;35,N114+M115-V114,IF(A115&lt;'Données projet'!$A$36,$K$205^A115,IF(A115='Données projet'!$A$36,'Données projet'!$B$36,N114+M115-V114)))</f>
        <v>275.00000000000006</v>
      </c>
      <c r="O115" s="14">
        <f>N115*VLOOKUP('Données projet'!$B$9,Paramètres!$A$1:$I$88,3,0)*VLOOKUP('Données projet'!$B$9,Paramètres!$A$1:$I$88,5,0)</f>
        <v>248.82000000000005</v>
      </c>
      <c r="P115" s="14">
        <f t="shared" si="87"/>
        <v>60.333192077890068</v>
      </c>
      <c r="Q115" s="22">
        <f t="shared" si="107"/>
        <v>538.44180953565865</v>
      </c>
      <c r="R115" s="62">
        <f t="shared" si="55"/>
        <v>827.90153629366318</v>
      </c>
      <c r="S115" s="62">
        <f ca="1">AVERAGE(OFFSET($R$3,0,0,'Données projet'!$E$9+1,1))-AVERAGE(OFFSET($H$3,0,0,'Données projet'!$E$9+1,1))</f>
        <v>387.16864229348823</v>
      </c>
      <c r="T115" s="62">
        <f t="shared" si="88"/>
        <v>260.88002342542893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44.238880742620069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44.238880742620069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projet'!$B$10,Paramètres!$A$1:$I$88,3,0)*VLOOKUP('Données projet'!$B$10,Paramètres!$A$1:$I$88,5,0)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289.45972675800567</v>
      </c>
      <c r="AN115" s="62">
        <f ca="1">AVERAGE(OFFSET($AM$3,0,0,'Données projet'!$E$10+1,1))-AVERAGE(OFFSET($H$3,0,0,'Données projet'!$E$10+1,1))</f>
        <v>197.84745001458262</v>
      </c>
      <c r="AO115" s="62">
        <f t="shared" si="90"/>
        <v>290.24283321060068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12.109651850433636</v>
      </c>
      <c r="AV115" s="23">
        <f>EXP(-LN(2)/25)*AV114+(1-EXP(-LN(2)/25))/(LN(2)/25)*Calculateur!AQ115*Calculateur!AS115*VLOOKUP('Données projet'!$B$10,Paramètres!$A$1:$I$88,3,0)*0.475*44/12</f>
        <v>12.948368872060202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25.058020722493836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projet'!$B$11,Paramètres!$A$1:$I$88,3,0)*VLOOKUP('Données projet'!$B$11,Paramètres!$A$1:$I$88,5,0)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377.49758296179459</v>
      </c>
      <c r="BJ115" s="62">
        <f t="shared" si="92"/>
        <v>297.9972591134441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104.32828766629122</v>
      </c>
      <c r="BQ115" s="23">
        <f>EXP(-LN(2)/25)*BQ114+(1-EXP(-LN(2)/25))/(LN(2)/25)*Calculateur!BL115*Calculateur!BN115*VLOOKUP('Données projet'!$B$11,Paramètres!$A$1:$I$88,3,0)*0.475*44/12</f>
        <v>37.10583077015194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141.43411843644316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projet'!$B$12,Paramètres!$A$1:$I$88,3,0)*VLOOKUP('Données projet'!$B$12,Paramètres!$A$1:$I$88,5,0)</f>
        <v>-1.064108801074326E-13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163.77317062597106</v>
      </c>
      <c r="CE115" s="62">
        <f t="shared" si="94"/>
        <v>122.66073843071686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39.725432936372378</v>
      </c>
      <c r="CL115" s="23">
        <f>EXP(-LN(2)/25)*CL114+(1-EXP(-LN(2)/25))/(LN(2)/25)*Calculateur!CG115*Calculateur!CI115*VLOOKUP('Données projet'!$B$12,Paramètres!$A$1:$I$88,3,0)*0.475*44/12</f>
        <v>12.325516802499914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52.050949738872291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projet'!$B$13,Paramètres!$A$1:$I$88,3,0)*VLOOKUP('Données projet'!$B$13,Paramètres!$A$1:$I$88,5,0)</f>
        <v>-6.7984728957526396E-14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167.84261986874142</v>
      </c>
      <c r="CZ115" s="62">
        <f t="shared" si="96"/>
        <v>242.5860875239222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9.9587797616269871</v>
      </c>
      <c r="DG115" s="23">
        <f>EXP(-LN(2)/25)*DG114+(1-EXP(-LN(2)/25))/(LN(2)/25)*Calculateur!DB115*Calculateur!DD115*VLOOKUP('Données projet'!$B$13,Paramètres!$A$1:$I$88,3,0)*0.475*44/12</f>
        <v>10.472851919805702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20.431631681432691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1.5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5.5</v>
      </c>
      <c r="H116" s="70">
        <f t="shared" si="56"/>
        <v>234.66666666666666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6.8</v>
      </c>
      <c r="N116" s="14">
        <f>IF('Données projet'!$A$36&gt;35,N115+M116-V115,IF(A116&lt;'Données projet'!$A$36,$K$205^A116,IF(A116='Données projet'!$A$36,'Données projet'!$B$36,N115+M116-V115)))</f>
        <v>281.80000000000007</v>
      </c>
      <c r="O116" s="14">
        <f>N116*VLOOKUP('Données projet'!$B$9,Paramètres!$A$1:$I$88,3,0)*VLOOKUP('Données projet'!$B$9,Paramètres!$A$1:$I$88,5,0)</f>
        <v>254.97264000000004</v>
      </c>
      <c r="P116" s="14">
        <f t="shared" si="87"/>
        <v>61.649533232533919</v>
      </c>
      <c r="Q116" s="22">
        <f t="shared" si="107"/>
        <v>551.45028504666323</v>
      </c>
      <c r="R116" s="62">
        <f t="shared" si="55"/>
        <v>840.97721021866278</v>
      </c>
      <c r="S116" s="62">
        <f ca="1">AVERAGE(OFFSET($R$3,0,0,'Données projet'!$E$9+1,1))-AVERAGE(OFFSET($H$3,0,0,'Données projet'!$E$9+1,1))</f>
        <v>387.16864229348823</v>
      </c>
      <c r="T116" s="62">
        <f t="shared" si="88"/>
        <v>260.88002342542893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43.37138327431019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43.37138327431019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projet'!$B$10,Paramètres!$A$1:$I$88,3,0)*VLOOKUP('Données projet'!$B$10,Paramètres!$A$1:$I$88,5,0)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289.52692517200069</v>
      </c>
      <c r="AN116" s="62">
        <f ca="1">AVERAGE(OFFSET($AM$3,0,0,'Données projet'!$E$10+1,1))-AVERAGE(OFFSET($H$3,0,0,'Données projet'!$E$10+1,1))</f>
        <v>197.84745001458262</v>
      </c>
      <c r="AO116" s="62">
        <f t="shared" si="90"/>
        <v>290.24283321060068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11.872188963804939</v>
      </c>
      <c r="AV116" s="23">
        <f>EXP(-LN(2)/25)*AV115+(1-EXP(-LN(2)/25))/(LN(2)/25)*Calculateur!AQ116*Calculateur!AS116*VLOOKUP('Données projet'!$B$10,Paramètres!$A$1:$I$88,3,0)*0.475*44/12</f>
        <v>12.594295044328591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24.466484008133531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projet'!$B$11,Paramètres!$A$1:$I$88,3,0)*VLOOKUP('Données projet'!$B$11,Paramètres!$A$1:$I$88,5,0)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377.49758296179459</v>
      </c>
      <c r="BJ116" s="62">
        <f t="shared" si="92"/>
        <v>297.9972591134441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102.28247357912738</v>
      </c>
      <c r="BQ116" s="23">
        <f>EXP(-LN(2)/25)*BQ115+(1-EXP(-LN(2)/25))/(LN(2)/25)*Calculateur!BL116*Calculateur!BN116*VLOOKUP('Données projet'!$B$11,Paramètres!$A$1:$I$88,3,0)*0.475*44/12</f>
        <v>36.091169876431302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138.37364345555869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projet'!$B$12,Paramètres!$A$1:$I$88,3,0)*VLOOKUP('Données projet'!$B$12,Paramètres!$A$1:$I$88,5,0)</f>
        <v>-1.064108801074326E-13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163.77317062597106</v>
      </c>
      <c r="CE116" s="62">
        <f t="shared" si="94"/>
        <v>122.66073843071686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38.946441426611685</v>
      </c>
      <c r="CL116" s="23">
        <f>EXP(-LN(2)/25)*CL115+(1-EXP(-LN(2)/25))/(LN(2)/25)*Calculateur!CG116*Calculateur!CI116*VLOOKUP('Données projet'!$B$12,Paramètres!$A$1:$I$88,3,0)*0.475*44/12</f>
        <v>11.988474897364796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50.934916323976481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projet'!$B$13,Paramètres!$A$1:$I$88,3,0)*VLOOKUP('Données projet'!$B$13,Paramètres!$A$1:$I$88,5,0)</f>
        <v>-6.7984728957526396E-14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167.84261986874142</v>
      </c>
      <c r="CZ116" s="62">
        <f t="shared" si="96"/>
        <v>242.5860875239222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9.7634941647573541</v>
      </c>
      <c r="DG116" s="23">
        <f>EXP(-LN(2)/25)*DG115+(1-EXP(-LN(2)/25))/(LN(2)/25)*Calculateur!DB116*Calculateur!DD116*VLOOKUP('Données projet'!$B$13,Paramètres!$A$1:$I$88,3,0)*0.475*44/12</f>
        <v>10.186471233315268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19.949965398072621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1.5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5.5</v>
      </c>
      <c r="H117" s="70">
        <f t="shared" si="56"/>
        <v>234.66666666666666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6.8</v>
      </c>
      <c r="N117" s="14">
        <f>IF('Données projet'!$A$36&gt;35,N116+M117-V116,IF(A117&lt;'Données projet'!$A$36,$K$205^A117,IF(A117='Données projet'!$A$36,'Données projet'!$B$36,N116+M117-V116)))</f>
        <v>288.60000000000008</v>
      </c>
      <c r="O117" s="14">
        <f>N117*VLOOKUP('Données projet'!$B$9,Paramètres!$A$1:$I$88,3,0)*VLOOKUP('Données projet'!$B$9,Paramètres!$A$1:$I$88,5,0)</f>
        <v>261.12528000000009</v>
      </c>
      <c r="P117" s="14">
        <f t="shared" si="87"/>
        <v>62.962181856353716</v>
      </c>
      <c r="Q117" s="22">
        <f t="shared" si="107"/>
        <v>564.45232939981622</v>
      </c>
      <c r="R117" s="62">
        <f t="shared" si="55"/>
        <v>854.04528724356123</v>
      </c>
      <c r="S117" s="62">
        <f ca="1">AVERAGE(OFFSET($R$3,0,0,'Données projet'!$E$9+1,1))-AVERAGE(OFFSET($H$3,0,0,'Données projet'!$E$9+1,1))</f>
        <v>387.16864229348823</v>
      </c>
      <c r="T117" s="62">
        <f t="shared" si="88"/>
        <v>260.88002342542893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42.520896902232657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42.520896902232657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projet'!$B$10,Paramètres!$A$1:$I$88,3,0)*VLOOKUP('Données projet'!$B$10,Paramètres!$A$1:$I$88,5,0)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289.59295784374603</v>
      </c>
      <c r="AN117" s="62">
        <f ca="1">AVERAGE(OFFSET($AM$3,0,0,'Données projet'!$E$10+1,1))-AVERAGE(OFFSET($H$3,0,0,'Données projet'!$E$10+1,1))</f>
        <v>197.84745001458262</v>
      </c>
      <c r="AO117" s="62">
        <f t="shared" si="90"/>
        <v>290.24283321060068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11.639382579544971</v>
      </c>
      <c r="AV117" s="23">
        <f>EXP(-LN(2)/25)*AV116+(1-EXP(-LN(2)/25))/(LN(2)/25)*Calculateur!AQ117*Calculateur!AS117*VLOOKUP('Données projet'!$B$10,Paramètres!$A$1:$I$88,3,0)*0.475*44/12</f>
        <v>12.249903384036234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23.889285963581205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projet'!$B$11,Paramètres!$A$1:$I$88,3,0)*VLOOKUP('Données projet'!$B$11,Paramètres!$A$1:$I$88,5,0)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377.49758296179459</v>
      </c>
      <c r="BJ117" s="62">
        <f t="shared" si="92"/>
        <v>297.9972591134441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100.27677665838947</v>
      </c>
      <c r="BQ117" s="23">
        <f>EXP(-LN(2)/25)*BQ116+(1-EXP(-LN(2)/25))/(LN(2)/25)*Calculateur!BL117*Calculateur!BN117*VLOOKUP('Données projet'!$B$11,Paramètres!$A$1:$I$88,3,0)*0.475*44/12</f>
        <v>35.10425493820815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135.38103159659761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projet'!$B$12,Paramètres!$A$1:$I$88,3,0)*VLOOKUP('Données projet'!$B$12,Paramètres!$A$1:$I$88,5,0)</f>
        <v>-1.064108801074326E-13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163.77317062597106</v>
      </c>
      <c r="CE117" s="62">
        <f t="shared" si="94"/>
        <v>122.66073843071686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38.182725465219491</v>
      </c>
      <c r="CL117" s="23">
        <f>EXP(-LN(2)/25)*CL116+(1-EXP(-LN(2)/25))/(LN(2)/25)*Calculateur!CG117*Calculateur!CI117*VLOOKUP('Données projet'!$B$12,Paramètres!$A$1:$I$88,3,0)*0.475*44/12</f>
        <v>11.660649420849861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49.843374886069356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projet'!$B$13,Paramètres!$A$1:$I$88,3,0)*VLOOKUP('Données projet'!$B$13,Paramètres!$A$1:$I$88,5,0)</f>
        <v>-6.7984728957526396E-14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167.84261986874142</v>
      </c>
      <c r="CZ117" s="62">
        <f t="shared" si="96"/>
        <v>242.5860875239222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9.572037999329881</v>
      </c>
      <c r="DG117" s="23">
        <f>EXP(-LN(2)/25)*DG116+(1-EXP(-LN(2)/25))/(LN(2)/25)*Calculateur!DB117*Calculateur!DD117*VLOOKUP('Données projet'!$B$13,Paramètres!$A$1:$I$88,3,0)*0.475*44/12</f>
        <v>9.9079216417570226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19.479959641086904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1.5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5.5</v>
      </c>
      <c r="H118" s="70">
        <f t="shared" si="56"/>
        <v>234.66666666666666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6.8</v>
      </c>
      <c r="N118" s="14">
        <f>IF('Données projet'!$A$36&gt;35,N117+M118-V117,IF(A118&lt;'Données projet'!$A$36,$K$205^A118,IF(A118='Données projet'!$A$36,'Données projet'!$B$36,N117+M118-V117)))</f>
        <v>295.40000000000009</v>
      </c>
      <c r="O118" s="14">
        <f>N118*VLOOKUP('Données projet'!$B$9,Paramètres!$A$1:$I$88,3,0)*VLOOKUP('Données projet'!$B$9,Paramètres!$A$1:$I$88,5,0)</f>
        <v>267.27792000000011</v>
      </c>
      <c r="P118" s="14">
        <f t="shared" si="87"/>
        <v>64.271234965128073</v>
      </c>
      <c r="Q118" s="22">
        <f t="shared" si="107"/>
        <v>577.44811156426488</v>
      </c>
      <c r="R118" s="62">
        <f t="shared" si="55"/>
        <v>867.10595656052737</v>
      </c>
      <c r="S118" s="62">
        <f ca="1">AVERAGE(OFFSET($R$3,0,0,'Données projet'!$E$9+1,1))-AVERAGE(OFFSET($H$3,0,0,'Données projet'!$E$9+1,1))</f>
        <v>387.16864229348823</v>
      </c>
      <c r="T118" s="62">
        <f t="shared" si="88"/>
        <v>260.88002342542893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41.6870880491661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41.6870880491661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projet'!$B$10,Paramètres!$A$1:$I$88,3,0)*VLOOKUP('Données projet'!$B$10,Paramètres!$A$1:$I$88,5,0)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289.65784499626358</v>
      </c>
      <c r="AN118" s="62">
        <f ca="1">AVERAGE(OFFSET($AM$3,0,0,'Données projet'!$E$10+1,1))-AVERAGE(OFFSET($H$3,0,0,'Données projet'!$E$10+1,1))</f>
        <v>197.84745001458262</v>
      </c>
      <c r="AO118" s="62">
        <f t="shared" si="90"/>
        <v>290.24283321060068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11.411141386482468</v>
      </c>
      <c r="AV118" s="23">
        <f>EXP(-LN(2)/25)*AV117+(1-EXP(-LN(2)/25))/(LN(2)/25)*Calculateur!AQ118*Calculateur!AS118*VLOOKUP('Données projet'!$B$10,Paramètres!$A$1:$I$88,3,0)*0.475*44/12</f>
        <v>11.914929131805341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23.326070518287807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projet'!$B$11,Paramètres!$A$1:$I$88,3,0)*VLOOKUP('Données projet'!$B$11,Paramètres!$A$1:$I$88,5,0)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377.49758296179459</v>
      </c>
      <c r="BJ118" s="62">
        <f t="shared" si="92"/>
        <v>297.9972591134441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98.310410230912879</v>
      </c>
      <c r="BQ118" s="23">
        <f>EXP(-LN(2)/25)*BQ117+(1-EXP(-LN(2)/25))/(LN(2)/25)*Calculateur!BL118*Calculateur!BN118*VLOOKUP('Données projet'!$B$11,Paramètres!$A$1:$I$88,3,0)*0.475*44/12</f>
        <v>34.144327240870311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132.45473747178318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projet'!$B$12,Paramètres!$A$1:$I$88,3,0)*VLOOKUP('Données projet'!$B$12,Paramètres!$A$1:$I$88,5,0)</f>
        <v>-1.064108801074326E-13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163.77317062597106</v>
      </c>
      <c r="CE118" s="62">
        <f t="shared" si="94"/>
        <v>122.66073843071686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37.433985508009457</v>
      </c>
      <c r="CL118" s="23">
        <f>EXP(-LN(2)/25)*CL117+(1-EXP(-LN(2)/25))/(LN(2)/25)*Calculateur!CG118*Calculateur!CI118*VLOOKUP('Données projet'!$B$12,Paramètres!$A$1:$I$88,3,0)*0.475*44/12</f>
        <v>11.341788349229819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48.775773857239273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projet'!$B$13,Paramètres!$A$1:$I$88,3,0)*VLOOKUP('Données projet'!$B$13,Paramètres!$A$1:$I$88,5,0)</f>
        <v>-6.7984728957526396E-14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167.84261986874142</v>
      </c>
      <c r="CZ118" s="62">
        <f t="shared" si="96"/>
        <v>242.5860875239222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9.3843361725297108</v>
      </c>
      <c r="DG118" s="23">
        <f>EXP(-LN(2)/25)*DG117+(1-EXP(-LN(2)/25))/(LN(2)/25)*Calculateur!DB118*Calculateur!DD118*VLOOKUP('Données projet'!$B$13,Paramètres!$A$1:$I$88,3,0)*0.475*44/12</f>
        <v>9.6369890034282228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19.021325175957934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1.5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5.5</v>
      </c>
      <c r="H119" s="70">
        <f t="shared" si="56"/>
        <v>234.66666666666666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6.8</v>
      </c>
      <c r="N119" s="14">
        <f>IF('Données projet'!$A$36&gt;35,N118+M119-V118,IF(A119&lt;'Données projet'!$A$36,$K$205^A119,IF(A119='Données projet'!$A$36,'Données projet'!$B$36,N118+M119-V118)))</f>
        <v>302.2000000000001</v>
      </c>
      <c r="O119" s="14">
        <f>N119*VLOOKUP('Données projet'!$B$9,Paramètres!$A$1:$I$88,3,0)*VLOOKUP('Données projet'!$B$9,Paramètres!$A$1:$I$88,5,0)</f>
        <v>273.43056000000007</v>
      </c>
      <c r="P119" s="14">
        <f t="shared" si="87"/>
        <v>65.576784853219678</v>
      </c>
      <c r="Q119" s="22">
        <f t="shared" si="107"/>
        <v>590.43779228602443</v>
      </c>
      <c r="R119" s="62">
        <f t="shared" si="55"/>
        <v>880.15939878777419</v>
      </c>
      <c r="S119" s="62">
        <f ca="1">AVERAGE(OFFSET($R$3,0,0,'Données projet'!$E$9+1,1))-AVERAGE(OFFSET($H$3,0,0,'Données projet'!$E$9+1,1))</f>
        <v>387.16864229348823</v>
      </c>
      <c r="T119" s="62">
        <f t="shared" si="88"/>
        <v>260.88002342542893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40.869629679134995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40.869629679134995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projet'!$B$10,Paramètres!$A$1:$I$88,3,0)*VLOOKUP('Données projet'!$B$10,Paramètres!$A$1:$I$88,5,0)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289.72160650175084</v>
      </c>
      <c r="AN119" s="62">
        <f ca="1">AVERAGE(OFFSET($AM$3,0,0,'Données projet'!$E$10+1,1))-AVERAGE(OFFSET($H$3,0,0,'Données projet'!$E$10+1,1))</f>
        <v>197.84745001458262</v>
      </c>
      <c r="AO119" s="62">
        <f t="shared" si="90"/>
        <v>290.24283321060068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11.187375864002538</v>
      </c>
      <c r="AV119" s="23">
        <f>EXP(-LN(2)/25)*AV118+(1-EXP(-LN(2)/25))/(LN(2)/25)*Calculateur!AQ119*Calculateur!AS119*VLOOKUP('Données projet'!$B$10,Paramètres!$A$1:$I$88,3,0)*0.475*44/12</f>
        <v>11.589114768117232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22.776490632119771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projet'!$B$11,Paramètres!$A$1:$I$88,3,0)*VLOOKUP('Données projet'!$B$11,Paramètres!$A$1:$I$88,5,0)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377.49758296179459</v>
      </c>
      <c r="BJ119" s="62">
        <f t="shared" si="92"/>
        <v>297.9972591134441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96.382603049714021</v>
      </c>
      <c r="BQ119" s="23">
        <f>EXP(-LN(2)/25)*BQ118+(1-EXP(-LN(2)/25))/(LN(2)/25)*Calculateur!BL119*Calculateur!BN119*VLOOKUP('Données projet'!$B$11,Paramètres!$A$1:$I$88,3,0)*0.475*44/12</f>
        <v>33.21064881689658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129.59325186661061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projet'!$B$12,Paramètres!$A$1:$I$88,3,0)*VLOOKUP('Données projet'!$B$12,Paramètres!$A$1:$I$88,5,0)</f>
        <v>-1.064108801074326E-13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163.77317062597106</v>
      </c>
      <c r="CE119" s="62">
        <f t="shared" si="94"/>
        <v>122.66073843071686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36.699927884674032</v>
      </c>
      <c r="CL119" s="23">
        <f>EXP(-LN(2)/25)*CL118+(1-EXP(-LN(2)/25))/(LN(2)/25)*Calculateur!CG119*Calculateur!CI119*VLOOKUP('Données projet'!$B$12,Paramètres!$A$1:$I$88,3,0)*0.475*44/12</f>
        <v>11.031646550381403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47.731574435055435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projet'!$B$13,Paramètres!$A$1:$I$88,3,0)*VLOOKUP('Données projet'!$B$13,Paramètres!$A$1:$I$88,5,0)</f>
        <v>-6.7984728957526396E-14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167.84261986874142</v>
      </c>
      <c r="CZ119" s="62">
        <f t="shared" si="96"/>
        <v>242.5860875239222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9.2003150640662827</v>
      </c>
      <c r="DG119" s="23">
        <f>EXP(-LN(2)/25)*DG118+(1-EXP(-LN(2)/25))/(LN(2)/25)*Calculateur!DB119*Calculateur!DD119*VLOOKUP('Données projet'!$B$13,Paramètres!$A$1:$I$88,3,0)*0.475*44/12</f>
        <v>9.3734650323422528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18.573780096408534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1.5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5.5</v>
      </c>
      <c r="H120" s="70">
        <f t="shared" si="56"/>
        <v>234.66666666666666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>
        <f>VLOOKUP(A120,'Données projet'!$A$35:$I$55,2,0)</f>
        <v>309</v>
      </c>
      <c r="L120" s="13">
        <f>VLOOKUP(A120,'Données projet'!$A$35:$I$55,9,0)</f>
        <v>6.8</v>
      </c>
      <c r="M120" s="13">
        <f t="array" ref="M120">INDEX(L:L,MIN(IF(ISNUMBER(L120:L316),ROW(L120:L316),"")))</f>
        <v>6.8</v>
      </c>
      <c r="N120" s="14">
        <f>IF('Données projet'!$A$36&gt;35,N119+M120-V119,IF(A120&lt;'Données projet'!$A$36,$K$205^A120,IF(A120='Données projet'!$A$36,'Données projet'!$B$36,N119+M120-V119)))</f>
        <v>309.00000000000011</v>
      </c>
      <c r="O120" s="14">
        <f>N120*VLOOKUP('Données projet'!$B$9,Paramètres!$A$1:$I$88,3,0)*VLOOKUP('Données projet'!$B$9,Paramètres!$A$1:$I$88,5,0)</f>
        <v>279.58320000000009</v>
      </c>
      <c r="P120" s="14">
        <f t="shared" si="87"/>
        <v>66.878919424339628</v>
      </c>
      <c r="Q120" s="22">
        <f t="shared" si="107"/>
        <v>603.42152466405832</v>
      </c>
      <c r="R120" s="62">
        <f t="shared" si="55"/>
        <v>893.20578655172449</v>
      </c>
      <c r="S120" s="62">
        <f ca="1">AVERAGE(OFFSET($R$3,0,0,'Données projet'!$E$9+1,1))-AVERAGE(OFFSET($H$3,0,0,'Données projet'!$E$9+1,1))</f>
        <v>387.16864229348823</v>
      </c>
      <c r="T120" s="62">
        <f t="shared" si="88"/>
        <v>260.88002342542893</v>
      </c>
      <c r="U120" s="16">
        <f>IF(ISNA(VLOOKUP(A120,'Données projet'!$A$35:$I$55,3,0)),0,VLOOKUP(A120,'Données projet'!$A$35:$I$55,3,0))</f>
        <v>11</v>
      </c>
      <c r="V120" s="16">
        <f>IF(ISNA(VLOOKUP(A120,'Données projet'!$A$35:$I$55,4,0)),0,VLOOKUP(A120,'Données projet'!$A$35:$I$55,4,0))</f>
        <v>45</v>
      </c>
      <c r="W120" s="17">
        <f>IF(ISNA(VLOOKUP(A120,'Données projet'!$A$35:$I$55,5,0)),0%,VLOOKUP(A120,'Données projet'!$A$35:$I$55,5,0)*VLOOKUP('Données projet'!$B$9,Paramètres!$A$1:$I$88,7,0))</f>
        <v>0.25800000000000001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51.680866818190232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51.680866818190232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projet'!$B$10,Paramètres!$A$1:$I$88,3,0)*VLOOKUP('Données projet'!$B$10,Paramètres!$A$1:$I$88,5,0)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289.7842618876673</v>
      </c>
      <c r="AN120" s="62">
        <f ca="1">AVERAGE(OFFSET($AM$3,0,0,'Données projet'!$E$10+1,1))-AVERAGE(OFFSET($H$3,0,0,'Données projet'!$E$10+1,1))</f>
        <v>197.84745001458262</v>
      </c>
      <c r="AO120" s="62">
        <f t="shared" si="90"/>
        <v>290.24283321060068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10.967998246934949</v>
      </c>
      <c r="AV120" s="23">
        <f>EXP(-LN(2)/25)*AV119+(1-EXP(-LN(2)/25))/(LN(2)/25)*Calculateur!AQ120*Calculateur!AS120*VLOOKUP('Données projet'!$B$10,Paramètres!$A$1:$I$88,3,0)*0.475*44/12</f>
        <v>11.272209815338009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22.240208062272956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projet'!$B$11,Paramètres!$A$1:$I$88,3,0)*VLOOKUP('Données projet'!$B$11,Paramètres!$A$1:$I$88,5,0)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377.49758296179459</v>
      </c>
      <c r="BJ120" s="62">
        <f t="shared" si="92"/>
        <v>297.9972591134441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94.492598991492201</v>
      </c>
      <c r="BQ120" s="23">
        <f>EXP(-LN(2)/25)*BQ119+(1-EXP(-LN(2)/25))/(LN(2)/25)*Calculateur!BL120*Calculateur!BN120*VLOOKUP('Données projet'!$B$11,Paramètres!$A$1:$I$88,3,0)*0.475*44/12</f>
        <v>32.302501878526428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126.79510087001863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projet'!$B$12,Paramètres!$A$1:$I$88,3,0)*VLOOKUP('Données projet'!$B$12,Paramètres!$A$1:$I$88,5,0)</f>
        <v>-1.064108801074326E-13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163.77317062597106</v>
      </c>
      <c r="CE120" s="62">
        <f t="shared" si="94"/>
        <v>122.66073843071686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35.980264683601277</v>
      </c>
      <c r="CL120" s="23">
        <f>EXP(-LN(2)/25)*CL119+(1-EXP(-LN(2)/25))/(LN(2)/25)*Calculateur!CG120*Calculateur!CI120*VLOOKUP('Données projet'!$B$12,Paramètres!$A$1:$I$88,3,0)*0.475*44/12</f>
        <v>10.729985595332145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46.710250278933422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projet'!$B$13,Paramètres!$A$1:$I$88,3,0)*VLOOKUP('Données projet'!$B$13,Paramètres!$A$1:$I$88,5,0)</f>
        <v>-6.7984728957526396E-14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167.84261986874142</v>
      </c>
      <c r="CZ120" s="62">
        <f t="shared" si="96"/>
        <v>242.5860875239222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9.0199024972980286</v>
      </c>
      <c r="DG120" s="23">
        <f>EXP(-LN(2)/25)*DG119+(1-EXP(-LN(2)/25))/(LN(2)/25)*Calculateur!DB120*Calculateur!DD120*VLOOKUP('Données projet'!$B$13,Paramètres!$A$1:$I$88,3,0)*0.475*44/12</f>
        <v>9.1171471381037517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18.13704963540178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1.5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5.5</v>
      </c>
      <c r="H121" s="70">
        <f t="shared" si="56"/>
        <v>234.66666666666666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6.083333333333333</v>
      </c>
      <c r="N121" s="14">
        <f>IF('Données projet'!$A$36&gt;35,N120+M121-V120,IF(A121&lt;'Données projet'!$A$36,$K$205^A121,IF(A121='Données projet'!$A$36,'Données projet'!$B$36,N120+M121-V120)))</f>
        <v>270.08333333333343</v>
      </c>
      <c r="O121" s="14">
        <f>N121*VLOOKUP('Données projet'!$B$9,Paramètres!$A$1:$I$88,3,0)*VLOOKUP('Données projet'!$B$9,Paramètres!$A$1:$I$88,5,0)</f>
        <v>244.37140000000005</v>
      </c>
      <c r="P121" s="14">
        <f t="shared" si="87"/>
        <v>59.379068160174214</v>
      </c>
      <c r="Q121" s="22">
        <f t="shared" si="107"/>
        <v>529.03206537897017</v>
      </c>
      <c r="R121" s="62">
        <f t="shared" si="55"/>
        <v>818.87789572168367</v>
      </c>
      <c r="S121" s="62">
        <f ca="1">AVERAGE(OFFSET($R$3,0,0,'Données projet'!$E$9+1,1))-AVERAGE(OFFSET($H$3,0,0,'Données projet'!$E$9+1,1))</f>
        <v>387.16864229348823</v>
      </c>
      <c r="T121" s="62">
        <f t="shared" si="88"/>
        <v>260.88002342542893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50.667436542101719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50.667436542101719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projet'!$B$10,Paramètres!$A$1:$I$88,3,0)*VLOOKUP('Données projet'!$B$10,Paramètres!$A$1:$I$88,5,0)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289.84583034271452</v>
      </c>
      <c r="AN121" s="62">
        <f ca="1">AVERAGE(OFFSET($AM$3,0,0,'Données projet'!$E$10+1,1))-AVERAGE(OFFSET($H$3,0,0,'Données projet'!$E$10+1,1))</f>
        <v>197.84745001458262</v>
      </c>
      <c r="AO121" s="62">
        <f t="shared" si="90"/>
        <v>290.24283321060068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10.752922491130921</v>
      </c>
      <c r="AV121" s="23">
        <f>EXP(-LN(2)/25)*AV120+(1-EXP(-LN(2)/25))/(LN(2)/25)*Calculateur!AQ121*Calculateur!AS121*VLOOKUP('Données projet'!$B$10,Paramètres!$A$1:$I$88,3,0)*0.475*44/12</f>
        <v>10.96397064515784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21.716893136288761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projet'!$B$11,Paramètres!$A$1:$I$88,3,0)*VLOOKUP('Données projet'!$B$11,Paramètres!$A$1:$I$88,5,0)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377.49758296179459</v>
      </c>
      <c r="BJ121" s="62">
        <f t="shared" si="92"/>
        <v>297.9972591134441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92.63965676006346</v>
      </c>
      <c r="BQ121" s="23">
        <f>EXP(-LN(2)/25)*BQ120+(1-EXP(-LN(2)/25))/(LN(2)/25)*Calculateur!BL121*Calculateur!BN121*VLOOKUP('Données projet'!$B$11,Paramètres!$A$1:$I$88,3,0)*0.475*44/12</f>
        <v>31.419188265943376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124.05884502600684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projet'!$B$12,Paramètres!$A$1:$I$88,3,0)*VLOOKUP('Données projet'!$B$12,Paramètres!$A$1:$I$88,5,0)</f>
        <v>-1.064108801074326E-13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163.77317062597106</v>
      </c>
      <c r="CE121" s="62">
        <f t="shared" si="94"/>
        <v>122.66073843071686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35.274713638950345</v>
      </c>
      <c r="CL121" s="23">
        <f>EXP(-LN(2)/25)*CL120+(1-EXP(-LN(2)/25))/(LN(2)/25)*Calculateur!CG121*Calculateur!CI121*VLOOKUP('Données projet'!$B$12,Paramètres!$A$1:$I$88,3,0)*0.475*44/12</f>
        <v>10.436573574962368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45.711287213912712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projet'!$B$13,Paramètres!$A$1:$I$88,3,0)*VLOOKUP('Données projet'!$B$13,Paramètres!$A$1:$I$88,5,0)</f>
        <v>-6.7984728957526396E-14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167.84261986874142</v>
      </c>
      <c r="CZ121" s="62">
        <f t="shared" si="96"/>
        <v>242.5860875239222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8.8430277109233</v>
      </c>
      <c r="DG121" s="23">
        <f>EXP(-LN(2)/25)*DG120+(1-EXP(-LN(2)/25))/(LN(2)/25)*Calculateur!DB121*Calculateur!DD121*VLOOKUP('Données projet'!$B$13,Paramètres!$A$1:$I$88,3,0)*0.475*44/12</f>
        <v>8.8678382701623732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17.710865981085675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1.5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5.5</v>
      </c>
      <c r="H122" s="70">
        <f t="shared" si="56"/>
        <v>234.66666666666666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6.083333333333333</v>
      </c>
      <c r="N122" s="14">
        <f>IF('Données projet'!$A$36&gt;35,N121+M122-V121,IF(A122&lt;'Données projet'!$A$36,$K$205^A122,IF(A122='Données projet'!$A$36,'Données projet'!$B$36,N121+M122-V121)))</f>
        <v>276.16666666666674</v>
      </c>
      <c r="O122" s="14">
        <f>N122*VLOOKUP('Données projet'!$B$9,Paramètres!$A$1:$I$88,3,0)*VLOOKUP('Données projet'!$B$9,Paramètres!$A$1:$I$88,5,0)</f>
        <v>249.87560000000008</v>
      </c>
      <c r="P122" s="14">
        <f t="shared" si="87"/>
        <v>60.559301693046685</v>
      </c>
      <c r="Q122" s="22">
        <f t="shared" si="107"/>
        <v>540.6741204487231</v>
      </c>
      <c r="R122" s="62">
        <f t="shared" si="55"/>
        <v>830.58045117143524</v>
      </c>
      <c r="S122" s="62">
        <f ca="1">AVERAGE(OFFSET($R$3,0,0,'Données projet'!$E$9+1,1))-AVERAGE(OFFSET($H$3,0,0,'Données projet'!$E$9+1,1))</f>
        <v>387.16864229348823</v>
      </c>
      <c r="T122" s="62">
        <f t="shared" si="88"/>
        <v>260.88002342542893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49.673879015595872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49.673879015595872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projet'!$B$10,Paramètres!$A$1:$I$88,3,0)*VLOOKUP('Données projet'!$B$10,Paramètres!$A$1:$I$88,5,0)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289.90633072271316</v>
      </c>
      <c r="AN122" s="62">
        <f ca="1">AVERAGE(OFFSET($AM$3,0,0,'Données projet'!$E$10+1,1))-AVERAGE(OFFSET($H$3,0,0,'Données projet'!$E$10+1,1))</f>
        <v>197.84745001458262</v>
      </c>
      <c r="AO122" s="62">
        <f t="shared" si="90"/>
        <v>290.24283321060068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10.542064239714952</v>
      </c>
      <c r="AV122" s="23">
        <f>EXP(-LN(2)/25)*AV121+(1-EXP(-LN(2)/25))/(LN(2)/25)*Calculateur!AQ122*Calculateur!AS122*VLOOKUP('Données projet'!$B$10,Paramètres!$A$1:$I$88,3,0)*0.475*44/12</f>
        <v>10.664160291295842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21.206224531010793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projet'!$B$11,Paramètres!$A$1:$I$88,3,0)*VLOOKUP('Données projet'!$B$11,Paramètres!$A$1:$I$88,5,0)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377.49758296179459</v>
      </c>
      <c r="BJ122" s="62">
        <f t="shared" si="92"/>
        <v>297.9972591134441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90.823049595609874</v>
      </c>
      <c r="BQ122" s="23">
        <f>EXP(-LN(2)/25)*BQ121+(1-EXP(-LN(2)/25))/(LN(2)/25)*Calculateur!BL122*Calculateur!BN122*VLOOKUP('Données projet'!$B$11,Paramètres!$A$1:$I$88,3,0)*0.475*44/12</f>
        <v>30.560028910547853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121.38307850615773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projet'!$B$12,Paramètres!$A$1:$I$88,3,0)*VLOOKUP('Données projet'!$B$12,Paramètres!$A$1:$I$88,5,0)</f>
        <v>-1.064108801074326E-13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163.77317062597106</v>
      </c>
      <c r="CE122" s="62">
        <f t="shared" si="94"/>
        <v>122.66073843071686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34.582998019941371</v>
      </c>
      <c r="CL122" s="23">
        <f>EXP(-LN(2)/25)*CL121+(1-EXP(-LN(2)/25))/(LN(2)/25)*Calculateur!CG122*Calculateur!CI122*VLOOKUP('Données projet'!$B$12,Paramètres!$A$1:$I$88,3,0)*0.475*44/12</f>
        <v>10.151184921719471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44.734182941660841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projet'!$B$13,Paramètres!$A$1:$I$88,3,0)*VLOOKUP('Données projet'!$B$13,Paramètres!$A$1:$I$88,5,0)</f>
        <v>-6.7984728957526396E-14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167.84261986874142</v>
      </c>
      <c r="CZ122" s="62">
        <f t="shared" si="96"/>
        <v>242.5860875239222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8.6696213312264128</v>
      </c>
      <c r="DG122" s="23">
        <f>EXP(-LN(2)/25)*DG121+(1-EXP(-LN(2)/25))/(LN(2)/25)*Calculateur!DB122*Calculateur!DD122*VLOOKUP('Données projet'!$B$13,Paramètres!$A$1:$I$88,3,0)*0.475*44/12</f>
        <v>8.6253467663254355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17.294968097551848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1.5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5.5</v>
      </c>
      <c r="H123" s="70">
        <f t="shared" si="56"/>
        <v>234.66666666666666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6.083333333333333</v>
      </c>
      <c r="N123" s="14">
        <f>IF('Données projet'!$A$36&gt;35,N122+M123-V122,IF(A123&lt;'Données projet'!$A$36,$K$205^A123,IF(A123='Données projet'!$A$36,'Données projet'!$B$36,N122+M123-V122)))</f>
        <v>282.25000000000006</v>
      </c>
      <c r="O123" s="14">
        <f>N123*VLOOKUP('Données projet'!$B$9,Paramètres!$A$1:$I$88,3,0)*VLOOKUP('Données projet'!$B$9,Paramètres!$A$1:$I$88,5,0)</f>
        <v>255.37980000000002</v>
      </c>
      <c r="P123" s="14">
        <f t="shared" si="87"/>
        <v>61.736512688009604</v>
      </c>
      <c r="Q123" s="22">
        <f t="shared" si="107"/>
        <v>552.31091126495005</v>
      </c>
      <c r="R123" s="62">
        <f t="shared" si="55"/>
        <v>842.27669282132638</v>
      </c>
      <c r="S123" s="62">
        <f ca="1">AVERAGE(OFFSET($R$3,0,0,'Données projet'!$E$9+1,1))-AVERAGE(OFFSET($H$3,0,0,'Données projet'!$E$9+1,1))</f>
        <v>387.16864229348823</v>
      </c>
      <c r="T123" s="62">
        <f t="shared" si="88"/>
        <v>260.88002342542893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48.699804546174548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48.699804546174548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projet'!$B$10,Paramètres!$A$1:$I$88,3,0)*VLOOKUP('Données projet'!$B$10,Paramètres!$A$1:$I$88,5,0)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289.96578155637741</v>
      </c>
      <c r="AN123" s="62">
        <f ca="1">AVERAGE(OFFSET($AM$3,0,0,'Données projet'!$E$10+1,1))-AVERAGE(OFFSET($H$3,0,0,'Données projet'!$E$10+1,1))</f>
        <v>197.84745001458262</v>
      </c>
      <c r="AO123" s="62">
        <f t="shared" si="90"/>
        <v>290.24283321060068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10.335340789998416</v>
      </c>
      <c r="AV123" s="23">
        <f>EXP(-LN(2)/25)*AV122+(1-EXP(-LN(2)/25))/(LN(2)/25)*Calculateur!AQ123*Calculateur!AS123*VLOOKUP('Données projet'!$B$10,Paramètres!$A$1:$I$88,3,0)*0.475*44/12</f>
        <v>10.37254826732654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20.707889057324955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projet'!$B$11,Paramètres!$A$1:$I$88,3,0)*VLOOKUP('Données projet'!$B$11,Paramètres!$A$1:$I$88,5,0)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377.49758296179459</v>
      </c>
      <c r="BJ123" s="62">
        <f t="shared" si="92"/>
        <v>297.9972591134441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89.042064989630262</v>
      </c>
      <c r="BQ123" s="23">
        <f>EXP(-LN(2)/25)*BQ122+(1-EXP(-LN(2)/25))/(LN(2)/25)*Calculateur!BL123*Calculateur!BN123*VLOOKUP('Données projet'!$B$11,Paramètres!$A$1:$I$88,3,0)*0.475*44/12</f>
        <v>29.724363312906849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118.76642830253711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projet'!$B$12,Paramètres!$A$1:$I$88,3,0)*VLOOKUP('Données projet'!$B$12,Paramètres!$A$1:$I$88,5,0)</f>
        <v>-1.064108801074326E-13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163.77317062597106</v>
      </c>
      <c r="CE123" s="62">
        <f t="shared" si="94"/>
        <v>122.66073843071686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33.904846522316298</v>
      </c>
      <c r="CL123" s="23">
        <f>EXP(-LN(2)/25)*CL122+(1-EXP(-LN(2)/25))/(LN(2)/25)*Calculateur!CG123*Calculateur!CI123*VLOOKUP('Données projet'!$B$12,Paramètres!$A$1:$I$88,3,0)*0.475*44/12</f>
        <v>9.8736002362074373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43.778446758523735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projet'!$B$13,Paramètres!$A$1:$I$88,3,0)*VLOOKUP('Données projet'!$B$13,Paramètres!$A$1:$I$88,5,0)</f>
        <v>-6.7984728957526396E-14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167.84261986874142</v>
      </c>
      <c r="CZ123" s="62">
        <f t="shared" si="96"/>
        <v>242.5860875239222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8.4996153448679337</v>
      </c>
      <c r="DG123" s="23">
        <f>EXP(-LN(2)/25)*DG122+(1-EXP(-LN(2)/25))/(LN(2)/25)*Calculateur!DB123*Calculateur!DD123*VLOOKUP('Données projet'!$B$13,Paramètres!$A$1:$I$88,3,0)*0.475*44/12</f>
        <v>8.3894862054129931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16.889101550280927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1.5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5.5</v>
      </c>
      <c r="H124" s="70">
        <f t="shared" si="56"/>
        <v>234.66666666666666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6.083333333333333</v>
      </c>
      <c r="N124" s="14">
        <f>IF('Données projet'!$A$36&gt;35,N123+M124-V123,IF(A124&lt;'Données projet'!$A$36,$K$205^A124,IF(A124='Données projet'!$A$36,'Données projet'!$B$36,N123+M124-V123)))</f>
        <v>288.33333333333337</v>
      </c>
      <c r="O124" s="14">
        <f>N124*VLOOKUP('Données projet'!$B$9,Paramètres!$A$1:$I$88,3,0)*VLOOKUP('Données projet'!$B$9,Paramètres!$A$1:$I$88,5,0)</f>
        <v>260.88400000000001</v>
      </c>
      <c r="P124" s="14">
        <f t="shared" si="87"/>
        <v>62.91077379286947</v>
      </c>
      <c r="Q124" s="22">
        <f t="shared" si="107"/>
        <v>563.94256435591433</v>
      </c>
      <c r="R124" s="62">
        <f t="shared" si="55"/>
        <v>853.96676540690305</v>
      </c>
      <c r="S124" s="62">
        <f ca="1">AVERAGE(OFFSET($R$3,0,0,'Données projet'!$E$9+1,1))-AVERAGE(OFFSET($H$3,0,0,'Données projet'!$E$9+1,1))</f>
        <v>387.16864229348823</v>
      </c>
      <c r="T124" s="62">
        <f t="shared" si="88"/>
        <v>260.88002342542893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47.744831082971814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47.744831082971814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projet'!$B$10,Paramètres!$A$1:$I$88,3,0)*VLOOKUP('Données projet'!$B$10,Paramètres!$A$1:$I$88,5,0)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290.02420105098975</v>
      </c>
      <c r="AN124" s="62">
        <f ca="1">AVERAGE(OFFSET($AM$3,0,0,'Données projet'!$E$10+1,1))-AVERAGE(OFFSET($H$3,0,0,'Données projet'!$E$10+1,1))</f>
        <v>197.84745001458262</v>
      </c>
      <c r="AO124" s="62">
        <f t="shared" si="90"/>
        <v>290.24283321060068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10.132671061041966</v>
      </c>
      <c r="AV124" s="23">
        <f>EXP(-LN(2)/25)*AV123+(1-EXP(-LN(2)/25))/(LN(2)/25)*Calculateur!AQ124*Calculateur!AS124*VLOOKUP('Données projet'!$B$10,Paramètres!$A$1:$I$88,3,0)*0.475*44/12</f>
        <v>10.088910389487889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20.221581450529854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projet'!$B$11,Paramètres!$A$1:$I$88,3,0)*VLOOKUP('Données projet'!$B$11,Paramètres!$A$1:$I$88,5,0)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377.49758296179459</v>
      </c>
      <c r="BJ124" s="62">
        <f t="shared" si="92"/>
        <v>297.9972591134441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87.296004405480559</v>
      </c>
      <c r="BQ124" s="23">
        <f>EXP(-LN(2)/25)*BQ123+(1-EXP(-LN(2)/25))/(LN(2)/25)*Calculateur!BL124*Calculateur!BN124*VLOOKUP('Données projet'!$B$11,Paramètres!$A$1:$I$88,3,0)*0.475*44/12</f>
        <v>28.911549034979082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116.20755344045963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projet'!$B$12,Paramètres!$A$1:$I$88,3,0)*VLOOKUP('Données projet'!$B$12,Paramètres!$A$1:$I$88,5,0)</f>
        <v>-1.064108801074326E-13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163.77317062597106</v>
      </c>
      <c r="CE124" s="62">
        <f t="shared" si="94"/>
        <v>122.66073843071686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33.239993161928084</v>
      </c>
      <c r="CL124" s="23">
        <f>EXP(-LN(2)/25)*CL123+(1-EXP(-LN(2)/25))/(LN(2)/25)*Calculateur!CG124*Calculateur!CI124*VLOOKUP('Données projet'!$B$12,Paramètres!$A$1:$I$88,3,0)*0.475*44/12</f>
        <v>9.6036061185182753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42.843599280446355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projet'!$B$13,Paramètres!$A$1:$I$88,3,0)*VLOOKUP('Données projet'!$B$13,Paramètres!$A$1:$I$88,5,0)</f>
        <v>-6.7984728957526396E-14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167.84261986874142</v>
      </c>
      <c r="CZ124" s="62">
        <f t="shared" si="96"/>
        <v>242.5860875239222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8.3329430722085309</v>
      </c>
      <c r="DG124" s="23">
        <f>EXP(-LN(2)/25)*DG123+(1-EXP(-LN(2)/25))/(LN(2)/25)*Calculateur!DB124*Calculateur!DD124*VLOOKUP('Données projet'!$B$13,Paramètres!$A$1:$I$88,3,0)*0.475*44/12</f>
        <v>8.1600752639420691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16.493018336150598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1.5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5.5</v>
      </c>
      <c r="H125" s="70">
        <f t="shared" si="56"/>
        <v>234.66666666666666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6.083333333333333</v>
      </c>
      <c r="N125" s="14">
        <f>IF('Données projet'!$A$36&gt;35,N124+M125-V124,IF(A125&lt;'Données projet'!$A$36,$K$205^A125,IF(A125='Données projet'!$A$36,'Données projet'!$B$36,N124+M125-V124)))</f>
        <v>294.41666666666669</v>
      </c>
      <c r="O125" s="14">
        <f>N125*VLOOKUP('Données projet'!$B$9,Paramètres!$A$1:$I$88,3,0)*VLOOKUP('Données projet'!$B$9,Paramètres!$A$1:$I$88,5,0)</f>
        <v>266.38819999999998</v>
      </c>
      <c r="P125" s="14">
        <f t="shared" si="87"/>
        <v>64.08215441479399</v>
      </c>
      <c r="Q125" s="22">
        <f t="shared" si="107"/>
        <v>575.56920060576613</v>
      </c>
      <c r="R125" s="62">
        <f t="shared" si="55"/>
        <v>865.65080770374198</v>
      </c>
      <c r="S125" s="62">
        <f ca="1">AVERAGE(OFFSET($R$3,0,0,'Données projet'!$E$9+1,1))-AVERAGE(OFFSET($H$3,0,0,'Données projet'!$E$9+1,1))</f>
        <v>387.16864229348823</v>
      </c>
      <c r="T125" s="62">
        <f t="shared" si="88"/>
        <v>260.88002342542893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46.808584066906192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46.808584066906192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projet'!$B$10,Paramètres!$A$1:$I$88,3,0)*VLOOKUP('Données projet'!$B$10,Paramètres!$A$1:$I$88,5,0)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290.08160709797693</v>
      </c>
      <c r="AN125" s="62">
        <f ca="1">AVERAGE(OFFSET($AM$3,0,0,'Données projet'!$E$10+1,1))-AVERAGE(OFFSET($H$3,0,0,'Données projet'!$E$10+1,1))</f>
        <v>197.84745001458262</v>
      </c>
      <c r="AO125" s="62">
        <f t="shared" si="90"/>
        <v>290.24283321060068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9.9339755618540249</v>
      </c>
      <c r="AV125" s="23">
        <f>EXP(-LN(2)/25)*AV124+(1-EXP(-LN(2)/25))/(LN(2)/25)*Calculateur!AQ125*Calculateur!AS125*VLOOKUP('Données projet'!$B$10,Paramètres!$A$1:$I$88,3,0)*0.475*44/12</f>
        <v>9.8130286043346047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19.747004166188631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projet'!$B$11,Paramètres!$A$1:$I$88,3,0)*VLOOKUP('Données projet'!$B$11,Paramètres!$A$1:$I$88,5,0)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377.49758296179459</v>
      </c>
      <c r="BJ125" s="62">
        <f t="shared" si="92"/>
        <v>297.9972591134441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85.584183004394234</v>
      </c>
      <c r="BQ125" s="23">
        <f>EXP(-LN(2)/25)*BQ124+(1-EXP(-LN(2)/25))/(LN(2)/25)*Calculateur!BL125*Calculateur!BN125*VLOOKUP('Données projet'!$B$11,Paramètres!$A$1:$I$88,3,0)*0.475*44/12</f>
        <v>28.120961206225292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113.70514421061952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projet'!$B$12,Paramètres!$A$1:$I$88,3,0)*VLOOKUP('Données projet'!$B$12,Paramètres!$A$1:$I$88,5,0)</f>
        <v>-1.064108801074326E-13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163.77317062597106</v>
      </c>
      <c r="CE125" s="62">
        <f t="shared" si="94"/>
        <v>122.66073843071686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32.588177170416571</v>
      </c>
      <c r="CL125" s="23">
        <f>EXP(-LN(2)/25)*CL124+(1-EXP(-LN(2)/25))/(LN(2)/25)*Calculateur!CG125*Calculateur!CI125*VLOOKUP('Données projet'!$B$12,Paramètres!$A$1:$I$88,3,0)*0.475*44/12</f>
        <v>9.3409950041756957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41.929172174592267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projet'!$B$13,Paramètres!$A$1:$I$88,3,0)*VLOOKUP('Données projet'!$B$13,Paramètres!$A$1:$I$88,5,0)</f>
        <v>-6.7984728957526396E-14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167.84261986874142</v>
      </c>
      <c r="CZ125" s="62">
        <f t="shared" si="96"/>
        <v>242.5860875239222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8.1695391411559317</v>
      </c>
      <c r="DG125" s="23">
        <f>EXP(-LN(2)/25)*DG124+(1-EXP(-LN(2)/25))/(LN(2)/25)*Calculateur!DB125*Calculateur!DD125*VLOOKUP('Données projet'!$B$13,Paramètres!$A$1:$I$88,3,0)*0.475*44/12</f>
        <v>7.9369375767298651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16.106476717885798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1.5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5.5</v>
      </c>
      <c r="H126" s="70">
        <f t="shared" si="56"/>
        <v>234.66666666666666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6.083333333333333</v>
      </c>
      <c r="N126" s="14">
        <f>IF('Données projet'!$A$36&gt;35,N125+M126-V125,IF(A126&lt;'Données projet'!$A$36,$K$205^A126,IF(A126='Données projet'!$A$36,'Données projet'!$B$36,N125+M126-V125)))</f>
        <v>300.5</v>
      </c>
      <c r="O126" s="14">
        <f>N126*VLOOKUP('Données projet'!$B$9,Paramètres!$A$1:$I$88,3,0)*VLOOKUP('Données projet'!$B$9,Paramètres!$A$1:$I$88,5,0)</f>
        <v>271.89240000000001</v>
      </c>
      <c r="P126" s="14">
        <f t="shared" si="87"/>
        <v>65.250720928792546</v>
      </c>
      <c r="Q126" s="22">
        <f t="shared" si="107"/>
        <v>587.19093561764703</v>
      </c>
      <c r="R126" s="62">
        <f t="shared" si="55"/>
        <v>877.32895289603562</v>
      </c>
      <c r="S126" s="62">
        <f ca="1">AVERAGE(OFFSET($R$3,0,0,'Données projet'!$E$9+1,1))-AVERAGE(OFFSET($H$3,0,0,'Données projet'!$E$9+1,1))</f>
        <v>387.16864229348823</v>
      </c>
      <c r="T126" s="62">
        <f t="shared" si="88"/>
        <v>260.88002342542893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45.890696283771327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45.890696283771327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projet'!$B$10,Paramètres!$A$1:$I$88,3,0)*VLOOKUP('Données projet'!$B$10,Paramètres!$A$1:$I$88,5,0)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290.13801727838961</v>
      </c>
      <c r="AN126" s="62">
        <f ca="1">AVERAGE(OFFSET($AM$3,0,0,'Données projet'!$E$10+1,1))-AVERAGE(OFFSET($H$3,0,0,'Données projet'!$E$10+1,1))</f>
        <v>197.84745001458262</v>
      </c>
      <c r="AO126" s="62">
        <f t="shared" si="90"/>
        <v>290.24283321060068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9.7391763602128716</v>
      </c>
      <c r="AV126" s="23">
        <f>EXP(-LN(2)/25)*AV125+(1-EXP(-LN(2)/25))/(LN(2)/25)*Calculateur!AQ126*Calculateur!AS126*VLOOKUP('Données projet'!$B$10,Paramètres!$A$1:$I$88,3,0)*0.475*44/12</f>
        <v>9.5446908211043286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19.283867181317198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projet'!$B$11,Paramètres!$A$1:$I$88,3,0)*VLOOKUP('Données projet'!$B$11,Paramètres!$A$1:$I$88,5,0)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377.49758296179459</v>
      </c>
      <c r="BJ126" s="62">
        <f t="shared" si="92"/>
        <v>297.9972591134441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83.90592937687525</v>
      </c>
      <c r="BQ126" s="23">
        <f>EXP(-LN(2)/25)*BQ125+(1-EXP(-LN(2)/25))/(LN(2)/25)*Calculateur!BL126*Calculateur!BN126*VLOOKUP('Données projet'!$B$11,Paramètres!$A$1:$I$88,3,0)*0.475*44/12</f>
        <v>27.351992043223984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111.25792142009924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projet'!$B$12,Paramètres!$A$1:$I$88,3,0)*VLOOKUP('Données projet'!$B$12,Paramètres!$A$1:$I$88,5,0)</f>
        <v>-1.064108801074326E-13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163.77317062597106</v>
      </c>
      <c r="CE126" s="62">
        <f t="shared" si="94"/>
        <v>122.66073843071686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31.949142892930102</v>
      </c>
      <c r="CL126" s="23">
        <f>EXP(-LN(2)/25)*CL125+(1-EXP(-LN(2)/25))/(LN(2)/25)*Calculateur!CG126*Calculateur!CI126*VLOOKUP('Données projet'!$B$12,Paramètres!$A$1:$I$88,3,0)*0.475*44/12</f>
        <v>9.0855650045649323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41.034707897495032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projet'!$B$13,Paramètres!$A$1:$I$88,3,0)*VLOOKUP('Données projet'!$B$13,Paramètres!$A$1:$I$88,5,0)</f>
        <v>-6.7984728957526396E-14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167.84261986874142</v>
      </c>
      <c r="CZ126" s="62">
        <f t="shared" si="96"/>
        <v>242.5860875239222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8.009339461524716</v>
      </c>
      <c r="DG126" s="23">
        <f>EXP(-LN(2)/25)*DG125+(1-EXP(-LN(2)/25))/(LN(2)/25)*Calculateur!DB126*Calculateur!DD126*VLOOKUP('Données projet'!$B$13,Paramètres!$A$1:$I$88,3,0)*0.475*44/12</f>
        <v>7.7199016013087798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15.729241062833495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1.5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5.5</v>
      </c>
      <c r="H127" s="70">
        <f t="shared" si="56"/>
        <v>234.66666666666666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6.083333333333333</v>
      </c>
      <c r="N127" s="14">
        <f>IF('Données projet'!$A$36&gt;35,N126+M127-V126,IF(A127&lt;'Données projet'!$A$36,$K$205^A127,IF(A127='Données projet'!$A$36,'Données projet'!$B$36,N126+M127-V126)))</f>
        <v>306.58333333333331</v>
      </c>
      <c r="O127" s="14">
        <f>N127*VLOOKUP('Données projet'!$B$9,Paramètres!$A$1:$I$88,3,0)*VLOOKUP('Données projet'!$B$9,Paramètres!$A$1:$I$88,5,0)</f>
        <v>277.39659999999998</v>
      </c>
      <c r="P127" s="14">
        <f t="shared" si="87"/>
        <v>66.416536868837255</v>
      </c>
      <c r="Q127" s="22">
        <f t="shared" si="107"/>
        <v>598.80788004655813</v>
      </c>
      <c r="R127" s="62">
        <f t="shared" si="55"/>
        <v>889.0013289148435</v>
      </c>
      <c r="S127" s="62">
        <f ca="1">AVERAGE(OFFSET($R$3,0,0,'Données projet'!$E$9+1,1))-AVERAGE(OFFSET($H$3,0,0,'Données projet'!$E$9+1,1))</f>
        <v>387.16864229348823</v>
      </c>
      <c r="T127" s="62">
        <f t="shared" si="88"/>
        <v>260.88002342542893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44.990807720207464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44.990807720207464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projet'!$B$10,Paramètres!$A$1:$I$88,3,0)*VLOOKUP('Données projet'!$B$10,Paramètres!$A$1:$I$88,5,0)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290.1934488682864</v>
      </c>
      <c r="AN127" s="62">
        <f ca="1">AVERAGE(OFFSET($AM$3,0,0,'Données projet'!$E$10+1,1))-AVERAGE(OFFSET($H$3,0,0,'Données projet'!$E$10+1,1))</f>
        <v>197.84745001458262</v>
      </c>
      <c r="AO127" s="62">
        <f t="shared" si="90"/>
        <v>290.24283321060068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9.5481970521001198</v>
      </c>
      <c r="AV127" s="23">
        <f>EXP(-LN(2)/25)*AV126+(1-EXP(-LN(2)/25))/(LN(2)/25)*Calculateur!AQ127*Calculateur!AS127*VLOOKUP('Données projet'!$B$10,Paramètres!$A$1:$I$88,3,0)*0.475*44/12</f>
        <v>9.2836907486677553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18.831887800767873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projet'!$B$11,Paramètres!$A$1:$I$88,3,0)*VLOOKUP('Données projet'!$B$11,Paramètres!$A$1:$I$88,5,0)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377.49758296179459</v>
      </c>
      <c r="BJ127" s="62">
        <f t="shared" si="92"/>
        <v>297.9972591134441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82.260585279358281</v>
      </c>
      <c r="BQ127" s="23">
        <f>EXP(-LN(2)/25)*BQ126+(1-EXP(-LN(2)/25))/(LN(2)/25)*Calculateur!BL127*Calculateur!BN127*VLOOKUP('Données projet'!$B$11,Paramètres!$A$1:$I$88,3,0)*0.475*44/12</f>
        <v>26.604050382423274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108.86463566178156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projet'!$B$12,Paramètres!$A$1:$I$88,3,0)*VLOOKUP('Données projet'!$B$12,Paramètres!$A$1:$I$88,5,0)</f>
        <v>-1.064108801074326E-13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163.77317062597106</v>
      </c>
      <c r="CE127" s="62">
        <f t="shared" si="94"/>
        <v>122.66073843071686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31.322639687852721</v>
      </c>
      <c r="CL127" s="23">
        <f>EXP(-LN(2)/25)*CL126+(1-EXP(-LN(2)/25))/(LN(2)/25)*Calculateur!CG127*Calculateur!CI127*VLOOKUP('Données projet'!$B$12,Paramètres!$A$1:$I$88,3,0)*0.475*44/12</f>
        <v>8.8371197517260054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40.159759439578728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projet'!$B$13,Paramètres!$A$1:$I$88,3,0)*VLOOKUP('Données projet'!$B$13,Paramètres!$A$1:$I$88,5,0)</f>
        <v>-6.7984728957526396E-14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167.84261986874142</v>
      </c>
      <c r="CZ127" s="62">
        <f t="shared" si="96"/>
        <v>242.5860875239222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7.852281199898913</v>
      </c>
      <c r="DG127" s="23">
        <f>EXP(-LN(2)/25)*DG126+(1-EXP(-LN(2)/25))/(LN(2)/25)*Calculateur!DB127*Calculateur!DD127*VLOOKUP('Données projet'!$B$13,Paramètres!$A$1:$I$88,3,0)*0.475*44/12</f>
        <v>7.5088004860490098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15.361081685947923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1.5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5.5</v>
      </c>
      <c r="H128" s="70">
        <f t="shared" si="56"/>
        <v>234.66666666666666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6.083333333333333</v>
      </c>
      <c r="N128" s="14">
        <f>IF('Données projet'!$A$36&gt;35,N127+M128-V127,IF(A128&lt;'Données projet'!$A$36,$K$205^A128,IF(A128='Données projet'!$A$36,'Données projet'!$B$36,N127+M128-V127)))</f>
        <v>312.66666666666663</v>
      </c>
      <c r="O128" s="14">
        <f>N128*VLOOKUP('Données projet'!$B$9,Paramètres!$A$1:$I$88,3,0)*VLOOKUP('Données projet'!$B$9,Paramètres!$A$1:$I$88,5,0)</f>
        <v>282.90079999999995</v>
      </c>
      <c r="P128" s="14">
        <f t="shared" si="87"/>
        <v>67.579663103386736</v>
      </c>
      <c r="Q128" s="22">
        <f t="shared" si="107"/>
        <v>610.42013990506518</v>
      </c>
      <c r="R128" s="62">
        <f t="shared" si="55"/>
        <v>900.66805874908914</v>
      </c>
      <c r="S128" s="62">
        <f ca="1">AVERAGE(OFFSET($R$3,0,0,'Données projet'!$E$9+1,1))-AVERAGE(OFFSET($H$3,0,0,'Données projet'!$E$9+1,1))</f>
        <v>387.16864229348823</v>
      </c>
      <c r="T128" s="62">
        <f t="shared" si="88"/>
        <v>260.88002342542893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44.108565422497264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44.108565422497264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projet'!$B$10,Paramètres!$A$1:$I$88,3,0)*VLOOKUP('Données projet'!$B$10,Paramètres!$A$1:$I$88,5,0)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290.24791884402498</v>
      </c>
      <c r="AN128" s="62">
        <f ca="1">AVERAGE(OFFSET($AM$3,0,0,'Données projet'!$E$10+1,1))-AVERAGE(OFFSET($H$3,0,0,'Données projet'!$E$10+1,1))</f>
        <v>197.84745001458262</v>
      </c>
      <c r="AO128" s="62">
        <f t="shared" si="90"/>
        <v>290.24283321060068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9.3609627317335828</v>
      </c>
      <c r="AV128" s="23">
        <f>EXP(-LN(2)/25)*AV127+(1-EXP(-LN(2)/25))/(LN(2)/25)*Calculateur!AQ128*Calculateur!AS128*VLOOKUP('Données projet'!$B$10,Paramètres!$A$1:$I$88,3,0)*0.475*44/12</f>
        <v>9.0298277369373565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18.390790468670939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projet'!$B$11,Paramètres!$A$1:$I$88,3,0)*VLOOKUP('Données projet'!$B$11,Paramètres!$A$1:$I$88,5,0)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377.49758296179459</v>
      </c>
      <c r="BJ128" s="62">
        <f t="shared" si="92"/>
        <v>297.9972591134441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80.647505376032811</v>
      </c>
      <c r="BQ128" s="23">
        <f>EXP(-LN(2)/25)*BQ127+(1-EXP(-LN(2)/25))/(LN(2)/25)*Calculateur!BL128*Calculateur!BN128*VLOOKUP('Données projet'!$B$11,Paramètres!$A$1:$I$88,3,0)*0.475*44/12</f>
        <v>25.876561225669704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106.52406660170251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projet'!$B$12,Paramètres!$A$1:$I$88,3,0)*VLOOKUP('Données projet'!$B$12,Paramètres!$A$1:$I$88,5,0)</f>
        <v>-1.064108801074326E-13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163.77317062597106</v>
      </c>
      <c r="CE128" s="62">
        <f t="shared" si="94"/>
        <v>122.66073843071686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30.708421828497684</v>
      </c>
      <c r="CL128" s="23">
        <f>EXP(-LN(2)/25)*CL127+(1-EXP(-LN(2)/25))/(LN(2)/25)*Calculateur!CG128*Calculateur!CI128*VLOOKUP('Données projet'!$B$12,Paramètres!$A$1:$I$88,3,0)*0.475*44/12</f>
        <v>8.5954682473911284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39.303890075888816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projet'!$B$13,Paramètres!$A$1:$I$88,3,0)*VLOOKUP('Données projet'!$B$13,Paramètres!$A$1:$I$88,5,0)</f>
        <v>-6.7984728957526396E-14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167.84261986874142</v>
      </c>
      <c r="CZ128" s="62">
        <f t="shared" si="96"/>
        <v>242.5860875239222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7.6983027549875116</v>
      </c>
      <c r="DG128" s="23">
        <f>EXP(-LN(2)/25)*DG127+(1-EXP(-LN(2)/25))/(LN(2)/25)*Calculateur!DB128*Calculateur!DD128*VLOOKUP('Données projet'!$B$13,Paramètres!$A$1:$I$88,3,0)*0.475*44/12</f>
        <v>7.3034719418873433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15.001774696874854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1.5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5.5</v>
      </c>
      <c r="H129" s="70">
        <f t="shared" si="56"/>
        <v>234.66666666666666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6.083333333333333</v>
      </c>
      <c r="N129" s="14">
        <f>IF('Données projet'!$A$36&gt;35,N128+M129-V128,IF(A129&lt;'Données projet'!$A$36,$K$205^A129,IF(A129='Données projet'!$A$36,'Données projet'!$B$36,N128+M129-V128)))</f>
        <v>318.74999999999994</v>
      </c>
      <c r="O129" s="14">
        <f>N129*VLOOKUP('Données projet'!$B$9,Paramètres!$A$1:$I$88,3,0)*VLOOKUP('Données projet'!$B$9,Paramètres!$A$1:$I$88,5,0)</f>
        <v>288.40499999999992</v>
      </c>
      <c r="P129" s="14">
        <f t="shared" si="87"/>
        <v>68.740157996863985</v>
      </c>
      <c r="Q129" s="22">
        <f t="shared" si="107"/>
        <v>622.02781684453782</v>
      </c>
      <c r="R129" s="62">
        <f t="shared" si="55"/>
        <v>912.32926073199781</v>
      </c>
      <c r="S129" s="62">
        <f ca="1">AVERAGE(OFFSET($R$3,0,0,'Données projet'!$E$9+1,1))-AVERAGE(OFFSET($H$3,0,0,'Données projet'!$E$9+1,1))</f>
        <v>387.16864229348823</v>
      </c>
      <c r="T129" s="62">
        <f t="shared" si="88"/>
        <v>260.88002342542893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43.243623358130492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43.243623358130492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projet'!$B$10,Paramètres!$A$1:$I$88,3,0)*VLOOKUP('Données projet'!$B$10,Paramètres!$A$1:$I$88,5,0)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290.30144388746106</v>
      </c>
      <c r="AN129" s="62">
        <f ca="1">AVERAGE(OFFSET($AM$3,0,0,'Données projet'!$E$10+1,1))-AVERAGE(OFFSET($H$3,0,0,'Données projet'!$E$10+1,1))</f>
        <v>197.84745001458262</v>
      </c>
      <c r="AO129" s="62">
        <f t="shared" si="90"/>
        <v>290.24283321060068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9.177399962187776</v>
      </c>
      <c r="AV129" s="23">
        <f>EXP(-LN(2)/25)*AV128+(1-EXP(-LN(2)/25))/(LN(2)/25)*Calculateur!AQ129*Calculateur!AS129*VLOOKUP('Données projet'!$B$10,Paramètres!$A$1:$I$88,3,0)*0.475*44/12</f>
        <v>8.782906622612801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17.960306584800577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projet'!$B$11,Paramètres!$A$1:$I$88,3,0)*VLOOKUP('Données projet'!$B$11,Paramètres!$A$1:$I$88,5,0)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377.49758296179459</v>
      </c>
      <c r="BJ129" s="62">
        <f t="shared" si="92"/>
        <v>297.9972591134441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79.066056985729972</v>
      </c>
      <c r="BQ129" s="23">
        <f>EXP(-LN(2)/25)*BQ128+(1-EXP(-LN(2)/25))/(LN(2)/25)*Calculateur!BL129*Calculateur!BN129*VLOOKUP('Données projet'!$B$11,Paramètres!$A$1:$I$88,3,0)*0.475*44/12</f>
        <v>25.168965298164554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104.23502228389452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projet'!$B$12,Paramètres!$A$1:$I$88,3,0)*VLOOKUP('Données projet'!$B$12,Paramètres!$A$1:$I$88,5,0)</f>
        <v>-1.064108801074326E-13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163.77317062597106</v>
      </c>
      <c r="CE129" s="62">
        <f t="shared" si="94"/>
        <v>122.66073843071686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30.106248406728696</v>
      </c>
      <c r="CL129" s="23">
        <f>EXP(-LN(2)/25)*CL128+(1-EXP(-LN(2)/25))/(LN(2)/25)*Calculateur!CG129*Calculateur!CI129*VLOOKUP('Données projet'!$B$12,Paramètres!$A$1:$I$88,3,0)*0.475*44/12</f>
        <v>8.3604247161501881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38.466673122878888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projet'!$B$13,Paramètres!$A$1:$I$88,3,0)*VLOOKUP('Données projet'!$B$13,Paramètres!$A$1:$I$88,5,0)</f>
        <v>-6.7984728957526396E-14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167.84261986874142</v>
      </c>
      <c r="CZ129" s="62">
        <f t="shared" si="96"/>
        <v>242.5860875239222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7.5473437334632445</v>
      </c>
      <c r="DG129" s="23">
        <f>EXP(-LN(2)/25)*DG128+(1-EXP(-LN(2)/25))/(LN(2)/25)*Calculateur!DB129*Calculateur!DD129*VLOOKUP('Données projet'!$B$13,Paramètres!$A$1:$I$88,3,0)*0.475*44/12</f>
        <v>7.1037581175635367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14.65110185102678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1.5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5.5</v>
      </c>
      <c r="H130" s="70">
        <f t="shared" si="56"/>
        <v>234.66666666666666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6.083333333333333</v>
      </c>
      <c r="N130" s="14">
        <f>IF('Données projet'!$A$36&gt;35,N129+M130-V129,IF(A130&lt;'Données projet'!$A$36,$K$205^A130,IF(A130='Données projet'!$A$36,'Données projet'!$B$36,N129+M130-V129)))</f>
        <v>324.83333333333326</v>
      </c>
      <c r="O130" s="14">
        <f>N130*VLOOKUP('Données projet'!$B$9,Paramètres!$A$1:$I$88,3,0)*VLOOKUP('Données projet'!$B$9,Paramètres!$A$1:$I$88,5,0)</f>
        <v>293.90919999999994</v>
      </c>
      <c r="P130" s="14">
        <f t="shared" si="87"/>
        <v>69.898077558457686</v>
      </c>
      <c r="Q130" s="22">
        <f t="shared" si="107"/>
        <v>633.63100841431367</v>
      </c>
      <c r="R130" s="62">
        <f t="shared" si="55"/>
        <v>923.9850488053703</v>
      </c>
      <c r="S130" s="62">
        <f ca="1">AVERAGE(OFFSET($R$3,0,0,'Données projet'!$E$9+1,1))-AVERAGE(OFFSET($H$3,0,0,'Données projet'!$E$9+1,1))</f>
        <v>387.16864229348823</v>
      </c>
      <c r="T130" s="62">
        <f t="shared" si="88"/>
        <v>260.88002342542893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42.395642280083386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42.395642280083386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projet'!$B$10,Paramètres!$A$1:$I$88,3,0)*VLOOKUP('Données projet'!$B$10,Paramètres!$A$1:$I$88,5,0)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290.35404039105765</v>
      </c>
      <c r="AN130" s="62">
        <f ca="1">AVERAGE(OFFSET($AM$3,0,0,'Données projet'!$E$10+1,1))-AVERAGE(OFFSET($H$3,0,0,'Données projet'!$E$10+1,1))</f>
        <v>197.84745001458262</v>
      </c>
      <c r="AO130" s="62">
        <f t="shared" si="90"/>
        <v>290.24283321060068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8.9974367465905267</v>
      </c>
      <c r="AV130" s="23">
        <f>EXP(-LN(2)/25)*AV129+(1-EXP(-LN(2)/25))/(LN(2)/25)*Calculateur!AQ130*Calculateur!AS130*VLOOKUP('Données projet'!$B$10,Paramètres!$A$1:$I$88,3,0)*0.475*44/12</f>
        <v>8.5427375791444682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17.540174325734995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projet'!$B$11,Paramètres!$A$1:$I$88,3,0)*VLOOKUP('Données projet'!$B$11,Paramètres!$A$1:$I$88,5,0)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377.49758296179459</v>
      </c>
      <c r="BJ130" s="62">
        <f t="shared" si="92"/>
        <v>297.9972591134441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77.515619833772689</v>
      </c>
      <c r="BQ130" s="23">
        <f>EXP(-LN(2)/25)*BQ129+(1-EXP(-LN(2)/25))/(LN(2)/25)*Calculateur!BL130*Calculateur!BN130*VLOOKUP('Données projet'!$B$11,Paramètres!$A$1:$I$88,3,0)*0.475*44/12</f>
        <v>24.480718618507883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101.99633845228057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projet'!$B$12,Paramètres!$A$1:$I$88,3,0)*VLOOKUP('Données projet'!$B$12,Paramètres!$A$1:$I$88,5,0)</f>
        <v>-1.064108801074326E-13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163.77317062597106</v>
      </c>
      <c r="CE130" s="62">
        <f t="shared" si="94"/>
        <v>122.66073843071686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29.51588323847108</v>
      </c>
      <c r="CL130" s="23">
        <f>EXP(-LN(2)/25)*CL129+(1-EXP(-LN(2)/25))/(LN(2)/25)*Calculateur!CG130*Calculateur!CI130*VLOOKUP('Données projet'!$B$12,Paramètres!$A$1:$I$88,3,0)*0.475*44/12</f>
        <v>8.1318084626314331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37.647691701102517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projet'!$B$13,Paramètres!$A$1:$I$88,3,0)*VLOOKUP('Données projet'!$B$13,Paramètres!$A$1:$I$88,5,0)</f>
        <v>-6.7984728957526396E-14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167.84261986874142</v>
      </c>
      <c r="CZ130" s="62">
        <f t="shared" si="96"/>
        <v>242.5860875239222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7.3993449262751572</v>
      </c>
      <c r="DG130" s="23">
        <f>EXP(-LN(2)/25)*DG129+(1-EXP(-LN(2)/25))/(LN(2)/25)*Calculateur!DB130*Calculateur!DD130*VLOOKUP('Données projet'!$B$13,Paramètres!$A$1:$I$88,3,0)*0.475*44/12</f>
        <v>6.9095054782683585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14.308850404543517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1.5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5.5</v>
      </c>
      <c r="H131" s="70">
        <f t="shared" si="56"/>
        <v>234.66666666666666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6.083333333333333</v>
      </c>
      <c r="N131" s="14">
        <f>IF('Données projet'!$A$36&gt;35,N130+M131-V130,IF(A131&lt;'Données projet'!$A$36,$K$205^A131,IF(A131='Données projet'!$A$36,'Données projet'!$B$36,N130+M131-V130)))</f>
        <v>330.91666666666657</v>
      </c>
      <c r="O131" s="14">
        <f>N131*VLOOKUP('Données projet'!$B$9,Paramètres!$A$1:$I$88,3,0)*VLOOKUP('Données projet'!$B$9,Paramètres!$A$1:$I$88,5,0)</f>
        <v>299.41339999999991</v>
      </c>
      <c r="P131" s="14">
        <f t="shared" si="87"/>
        <v>71.053475579462102</v>
      </c>
      <c r="Q131" s="22">
        <f t="shared" ref="Q131:Q153" si="108">(O131+P131)*0.475*44/12</f>
        <v>645.22980830089625</v>
      </c>
      <c r="R131" s="62">
        <f t="shared" ref="R131:R194" si="109">Q131+(I131+J131)*44/12</f>
        <v>935.63553276380003</v>
      </c>
      <c r="S131" s="62">
        <f ca="1">AVERAGE(OFFSET($R$3,0,0,'Données projet'!$E$9+1,1))-AVERAGE(OFFSET($H$3,0,0,'Données projet'!$E$9+1,1))</f>
        <v>387.16864229348823</v>
      </c>
      <c r="T131" s="62">
        <f t="shared" si="88"/>
        <v>260.88002342542893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41.564289593759398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41.564289593759398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projet'!$B$10,Paramètres!$A$1:$I$88,3,0)*VLOOKUP('Données projet'!$B$10,Paramètres!$A$1:$I$88,5,0)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290.40572446290491</v>
      </c>
      <c r="AN131" s="62">
        <f ca="1">AVERAGE(OFFSET($AM$3,0,0,'Données projet'!$E$10+1,1))-AVERAGE(OFFSET($H$3,0,0,'Données projet'!$E$10+1,1))</f>
        <v>197.84745001458262</v>
      </c>
      <c r="AO131" s="62">
        <f t="shared" si="90"/>
        <v>290.24283321060068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8.8210024998844165</v>
      </c>
      <c r="AV131" s="23">
        <f>EXP(-LN(2)/25)*AV130+(1-EXP(-LN(2)/25))/(LN(2)/25)*Calculateur!AQ131*Calculateur!AS131*VLOOKUP('Données projet'!$B$10,Paramètres!$A$1:$I$88,3,0)*0.475*44/12</f>
        <v>8.3091359707997174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17.130138470684134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projet'!$B$11,Paramètres!$A$1:$I$88,3,0)*VLOOKUP('Données projet'!$B$11,Paramètres!$A$1:$I$88,5,0)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377.49758296179459</v>
      </c>
      <c r="BJ131" s="62">
        <f t="shared" si="92"/>
        <v>297.9972591134441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75.995585808692013</v>
      </c>
      <c r="BQ131" s="23">
        <f>EXP(-LN(2)/25)*BQ130+(1-EXP(-LN(2)/25))/(LN(2)/25)*Calculateur!BL131*Calculateur!BN131*VLOOKUP('Données projet'!$B$11,Paramètres!$A$1:$I$88,3,0)*0.475*44/12</f>
        <v>23.811292080499744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99.806877889191753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projet'!$B$12,Paramètres!$A$1:$I$88,3,0)*VLOOKUP('Données projet'!$B$12,Paramètres!$A$1:$I$88,5,0)</f>
        <v>-1.064108801074326E-13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163.77317062597106</v>
      </c>
      <c r="CE131" s="62">
        <f t="shared" si="94"/>
        <v>122.66073843071686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28.937094771075799</v>
      </c>
      <c r="CL131" s="23">
        <f>EXP(-LN(2)/25)*CL130+(1-EXP(-LN(2)/25))/(LN(2)/25)*Calculateur!CG131*Calculateur!CI131*VLOOKUP('Données projet'!$B$12,Paramètres!$A$1:$I$88,3,0)*0.475*44/12</f>
        <v>7.9094437325875546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36.846538503663353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projet'!$B$13,Paramètres!$A$1:$I$88,3,0)*VLOOKUP('Données projet'!$B$13,Paramètres!$A$1:$I$88,5,0)</f>
        <v>-6.7984728957526396E-14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167.84261986874142</v>
      </c>
      <c r="CZ131" s="62">
        <f t="shared" si="96"/>
        <v>242.5860875239222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7.2542482854256694</v>
      </c>
      <c r="DG131" s="23">
        <f>EXP(-LN(2)/25)*DG130+(1-EXP(-LN(2)/25))/(LN(2)/25)*Calculateur!DB131*Calculateur!DD131*VLOOKUP('Données projet'!$B$13,Paramètres!$A$1:$I$88,3,0)*0.475*44/12</f>
        <v>6.7205646876100094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13.974812973035679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1.5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5.5</v>
      </c>
      <c r="H132" s="70">
        <f t="shared" ref="H132:H195" si="110">(B132+E132+F132)*44/12+(C132+D132)*0.475*44/12</f>
        <v>234.66666666666666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>
        <f>VLOOKUP(A132,'Données projet'!$A$35:$I$55,2,0)</f>
        <v>337</v>
      </c>
      <c r="L132" s="13">
        <f>VLOOKUP(A132,'Données projet'!$A$35:$I$55,9,0)</f>
        <v>6.083333333333333</v>
      </c>
      <c r="M132" s="13">
        <f t="array" ref="M132">INDEX(L:L,MIN(IF(ISNUMBER(L132:L328),ROW(L132:L328),"")))</f>
        <v>6.083333333333333</v>
      </c>
      <c r="N132" s="14">
        <f>IF('Données projet'!$A$36&gt;35,N131+M132-V131,IF(A132&lt;'Données projet'!$A$36,$K$205^A132,IF(A132='Données projet'!$A$36,'Données projet'!$B$36,N131+M132-V131)))</f>
        <v>336.99999999999989</v>
      </c>
      <c r="O132" s="14">
        <f>N132*VLOOKUP('Données projet'!$B$9,Paramètres!$A$1:$I$88,3,0)*VLOOKUP('Données projet'!$B$9,Paramètres!$A$1:$I$88,5,0)</f>
        <v>304.91759999999988</v>
      </c>
      <c r="P132" s="14">
        <f t="shared" si="87"/>
        <v>72.20640376023259</v>
      </c>
      <c r="Q132" s="22">
        <f t="shared" si="108"/>
        <v>656.82430654907148</v>
      </c>
      <c r="R132" s="62">
        <f t="shared" si="109"/>
        <v>947.28081848072441</v>
      </c>
      <c r="S132" s="62">
        <f ca="1">AVERAGE(OFFSET($R$3,0,0,'Données projet'!$E$9+1,1))-AVERAGE(OFFSET($H$3,0,0,'Données projet'!$E$9+1,1))</f>
        <v>387.16864229348823</v>
      </c>
      <c r="T132" s="62">
        <f t="shared" si="88"/>
        <v>260.88002342542893</v>
      </c>
      <c r="U132" s="16">
        <f>IF(ISNA(VLOOKUP(A132,'Données projet'!$A$35:$I$55,3,0)),0,VLOOKUP(A132,'Données projet'!$A$35:$I$55,3,0))</f>
        <v>12</v>
      </c>
      <c r="V132" s="16">
        <f>IF(ISNA(VLOOKUP(A132,'Données projet'!$A$35:$I$55,4,0)),0,VLOOKUP(A132,'Données projet'!$A$35:$I$55,4,0))</f>
        <v>337</v>
      </c>
      <c r="W132" s="17">
        <f>IF(ISNA(VLOOKUP(A132,'Données projet'!$A$35:$I$55,5,0)),0%,VLOOKUP(A132,'Données projet'!$A$35:$I$55,5,0)*VLOOKUP('Données projet'!$B$9,Paramètres!$A$1:$I$88,7,0))</f>
        <v>0.25800000000000001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127.71520197609445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127.71520197609445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projet'!$B$10,Paramètres!$A$1:$I$88,3,0)*VLOOKUP('Données projet'!$B$10,Paramètres!$A$1:$I$88,5,0)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290.45651193165401</v>
      </c>
      <c r="AN132" s="62">
        <f ca="1">AVERAGE(OFFSET($AM$3,0,0,'Données projet'!$E$10+1,1))-AVERAGE(OFFSET($H$3,0,0,'Données projet'!$E$10+1,1))</f>
        <v>197.84745001458262</v>
      </c>
      <c r="AO132" s="62">
        <f t="shared" si="90"/>
        <v>290.24283321060068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8.6480280211419487</v>
      </c>
      <c r="AV132" s="23">
        <f>EXP(-LN(2)/25)*AV131+(1-EXP(-LN(2)/25))/(LN(2)/25)*Calculateur!AQ132*Calculateur!AS132*VLOOKUP('Données projet'!$B$10,Paramètres!$A$1:$I$88,3,0)*0.475*44/12</f>
        <v>8.0819222107197284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16.729950231861679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projet'!$B$11,Paramètres!$A$1:$I$88,3,0)*VLOOKUP('Données projet'!$B$11,Paramètres!$A$1:$I$88,5,0)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377.49758296179459</v>
      </c>
      <c r="BJ132" s="62">
        <f t="shared" si="92"/>
        <v>297.9972591134441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74.505358723713954</v>
      </c>
      <c r="BQ132" s="23">
        <f>EXP(-LN(2)/25)*BQ131+(1-EXP(-LN(2)/25))/(LN(2)/25)*Calculateur!BL132*Calculateur!BN132*VLOOKUP('Données projet'!$B$11,Paramètres!$A$1:$I$88,3,0)*0.475*44/12</f>
        <v>23.160171046377048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97.665529770090998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projet'!$B$12,Paramètres!$A$1:$I$88,3,0)*VLOOKUP('Données projet'!$B$12,Paramètres!$A$1:$I$88,5,0)</f>
        <v>-1.064108801074326E-13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163.77317062597106</v>
      </c>
      <c r="CE132" s="62">
        <f t="shared" si="94"/>
        <v>122.66073843071686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28.369655992500032</v>
      </c>
      <c r="CL132" s="23">
        <f>EXP(-LN(2)/25)*CL131+(1-EXP(-LN(2)/25))/(LN(2)/25)*Calculateur!CG132*Calculateur!CI132*VLOOKUP('Données projet'!$B$12,Paramètres!$A$1:$I$88,3,0)*0.475*44/12</f>
        <v>7.6931595777803796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36.062815570280414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projet'!$B$13,Paramètres!$A$1:$I$88,3,0)*VLOOKUP('Données projet'!$B$13,Paramètres!$A$1:$I$88,5,0)</f>
        <v>-6.7984728957526396E-14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167.84261986874142</v>
      </c>
      <c r="CZ132" s="62">
        <f t="shared" si="96"/>
        <v>242.5860875239222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7.1119969012030273</v>
      </c>
      <c r="DG132" s="23">
        <f>EXP(-LN(2)/25)*DG131+(1-EXP(-LN(2)/25))/(LN(2)/25)*Calculateur!DB132*Calculateur!DD132*VLOOKUP('Données projet'!$B$13,Paramètres!$A$1:$I$88,3,0)*0.475*44/12</f>
        <v>6.5367904928081764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13.648787394011205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1.5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5.5</v>
      </c>
      <c r="H133" s="70">
        <f t="shared" si="110"/>
        <v>234.66666666666666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projet'!$B$9,Paramètres!$A$1:$I$88,3,0)*VLOOKUP('Données projet'!$B$9,Paramètres!$A$1:$I$88,5,0)</f>
        <v>-1.0286385077051818E-13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387.16864229348823</v>
      </c>
      <c r="T133" s="62">
        <f t="shared" ref="T133:T196" si="142">$T$3</f>
        <v>260.88002342542893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125.21078476392459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125.21078476392459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projet'!$B$10,Paramètres!$A$1:$I$88,3,0)*VLOOKUP('Données projet'!$B$10,Paramètres!$A$1:$I$88,5,0)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290.50641835136406</v>
      </c>
      <c r="AN133" s="62">
        <f ca="1">AVERAGE(OFFSET($AM$3,0,0,'Données projet'!$E$10+1,1))-AVERAGE(OFFSET($H$3,0,0,'Données projet'!$E$10+1,1))</f>
        <v>197.84745001458262</v>
      </c>
      <c r="AO133" s="62">
        <f t="shared" ref="AO133:AO196" si="144">$AO$3</f>
        <v>290.24283321060068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8.4784454664236062</v>
      </c>
      <c r="AV133" s="23">
        <f>EXP(-LN(2)/25)*AV132+(1-EXP(-LN(2)/25))/(LN(2)/25)*Calculateur!AQ133*Calculateur!AS133*VLOOKUP('Données projet'!$B$10,Paramètres!$A$1:$I$88,3,0)*0.475*44/12</f>
        <v>7.8609216228577798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16.339367089281385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projet'!$B$11,Paramètres!$A$1:$I$88,3,0)*VLOOKUP('Données projet'!$B$11,Paramètres!$A$1:$I$88,5,0)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377.49758296179459</v>
      </c>
      <c r="BJ133" s="62">
        <f t="shared" ref="BJ133:BJ196" si="146">$BJ$3</f>
        <v>297.9972591134441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73.044354082923547</v>
      </c>
      <c r="BQ133" s="23">
        <f>EXP(-LN(2)/25)*BQ132+(1-EXP(-LN(2)/25))/(LN(2)/25)*Calculateur!BL133*Calculateur!BN133*VLOOKUP('Données projet'!$B$11,Paramètres!$A$1:$I$88,3,0)*0.475*44/12</f>
        <v>22.526854951173405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95.571209034096952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projet'!$B$12,Paramètres!$A$1:$I$88,3,0)*VLOOKUP('Données projet'!$B$12,Paramètres!$A$1:$I$88,5,0)</f>
        <v>-1.064108801074326E-13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163.77317062597106</v>
      </c>
      <c r="CE133" s="62">
        <f t="shared" ref="CE133:CE196" si="148">$CE$3</f>
        <v>122.66073843071686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27.813344342268657</v>
      </c>
      <c r="CL133" s="23">
        <f>EXP(-LN(2)/25)*CL132+(1-EXP(-LN(2)/25))/(LN(2)/25)*Calculateur!CG133*Calculateur!CI133*VLOOKUP('Données projet'!$B$12,Paramètres!$A$1:$I$88,3,0)*0.475*44/12</f>
        <v>7.4827897245602957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35.296134066828955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projet'!$B$13,Paramètres!$A$1:$I$88,3,0)*VLOOKUP('Données projet'!$B$13,Paramètres!$A$1:$I$88,5,0)</f>
        <v>-6.7984728957526396E-14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167.84261986874142</v>
      </c>
      <c r="CZ133" s="62">
        <f t="shared" ref="CZ133:CZ196" si="150">$CZ$3</f>
        <v>242.5860875239222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6.9725349798602148</v>
      </c>
      <c r="DG133" s="23">
        <f>EXP(-LN(2)/25)*DG132+(1-EXP(-LN(2)/25))/(LN(2)/25)*Calculateur!DB133*Calculateur!DD133*VLOOKUP('Données projet'!$B$13,Paramètres!$A$1:$I$88,3,0)*0.475*44/12</f>
        <v>6.3580416130274644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13.330576592887679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1.5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5.5</v>
      </c>
      <c r="H134" s="70">
        <f t="shared" si="110"/>
        <v>234.66666666666666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projet'!$B$9,Paramètres!$A$1:$I$88,3,0)*VLOOKUP('Données projet'!$B$9,Paramètres!$A$1:$I$88,5,0)</f>
        <v>-1.0286385077051818E-13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387.16864229348823</v>
      </c>
      <c r="T134" s="62">
        <f t="shared" si="142"/>
        <v>260.88002342542893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122.75547764574172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122.75547764574172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projet'!$B$10,Paramètres!$A$1:$I$88,3,0)*VLOOKUP('Données projet'!$B$10,Paramètres!$A$1:$I$88,5,0)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290.55545900626612</v>
      </c>
      <c r="AN134" s="62">
        <f ca="1">AVERAGE(OFFSET($AM$3,0,0,'Données projet'!$E$10+1,1))-AVERAGE(OFFSET($H$3,0,0,'Données projet'!$E$10+1,1))</f>
        <v>197.84745001458262</v>
      </c>
      <c r="AO134" s="62">
        <f t="shared" si="144"/>
        <v>290.24283321060068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8.3121883221681454</v>
      </c>
      <c r="AV134" s="23">
        <f>EXP(-LN(2)/25)*AV133+(1-EXP(-LN(2)/25))/(LN(2)/25)*Calculateur!AQ134*Calculateur!AS134*VLOOKUP('Données projet'!$B$10,Paramètres!$A$1:$I$88,3,0)*0.475*44/12</f>
        <v>7.6459643076928323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15.958152629860978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projet'!$B$11,Paramètres!$A$1:$I$88,3,0)*VLOOKUP('Données projet'!$B$11,Paramètres!$A$1:$I$88,5,0)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377.49758296179459</v>
      </c>
      <c r="BJ134" s="62">
        <f t="shared" si="146"/>
        <v>297.9972591134441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71.611998852014196</v>
      </c>
      <c r="BQ134" s="23">
        <f>EXP(-LN(2)/25)*BQ133+(1-EXP(-LN(2)/25))/(LN(2)/25)*Calculateur!BL134*Calculateur!BN134*VLOOKUP('Données projet'!$B$11,Paramètres!$A$1:$I$88,3,0)*0.475*44/12</f>
        <v>21.910856917897753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93.522855769911956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projet'!$B$12,Paramètres!$A$1:$I$88,3,0)*VLOOKUP('Données projet'!$B$12,Paramètres!$A$1:$I$88,5,0)</f>
        <v>-1.064108801074326E-13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163.77317062597106</v>
      </c>
      <c r="CE134" s="62">
        <f t="shared" si="148"/>
        <v>122.66073843071686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27.267941624181717</v>
      </c>
      <c r="CL134" s="23">
        <f>EXP(-LN(2)/25)*CL133+(1-EXP(-LN(2)/25))/(LN(2)/25)*Calculateur!CG134*Calculateur!CI134*VLOOKUP('Données projet'!$B$12,Paramètres!$A$1:$I$88,3,0)*0.475*44/12</f>
        <v>7.2781724460393846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34.546114070221101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projet'!$B$13,Paramètres!$A$1:$I$88,3,0)*VLOOKUP('Données projet'!$B$13,Paramètres!$A$1:$I$88,5,0)</f>
        <v>-6.7984728957526396E-14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167.84261986874142</v>
      </c>
      <c r="CZ134" s="62">
        <f t="shared" si="150"/>
        <v>242.5860875239222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6.8358078217315619</v>
      </c>
      <c r="DG134" s="23">
        <f>EXP(-LN(2)/25)*DG133+(1-EXP(-LN(2)/25))/(LN(2)/25)*Calculateur!DB134*Calculateur!DD134*VLOOKUP('Données projet'!$B$13,Paramètres!$A$1:$I$88,3,0)*0.475*44/12</f>
        <v>6.1841806307643514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13.019988452495912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1.5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5.5</v>
      </c>
      <c r="H135" s="70">
        <f t="shared" si="110"/>
        <v>234.66666666666666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projet'!$B$9,Paramètres!$A$1:$I$88,3,0)*VLOOKUP('Données projet'!$B$9,Paramètres!$A$1:$I$88,5,0)</f>
        <v>-1.0286385077051818E-13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387.16864229348823</v>
      </c>
      <c r="T135" s="62">
        <f t="shared" si="142"/>
        <v>260.88002342542893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120.34831760255695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120.34831760255695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projet'!$B$10,Paramètres!$A$1:$I$88,3,0)*VLOOKUP('Données projet'!$B$10,Paramètres!$A$1:$I$88,5,0)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290.60364891544418</v>
      </c>
      <c r="AN135" s="62">
        <f ca="1">AVERAGE(OFFSET($AM$3,0,0,'Données projet'!$E$10+1,1))-AVERAGE(OFFSET($H$3,0,0,'Données projet'!$E$10+1,1))</f>
        <v>197.84745001458262</v>
      </c>
      <c r="AO135" s="62">
        <f t="shared" si="144"/>
        <v>290.24283321060068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8.1491913791046908</v>
      </c>
      <c r="AV135" s="23">
        <f>EXP(-LN(2)/25)*AV134+(1-EXP(-LN(2)/25))/(LN(2)/25)*Calculateur!AQ135*Calculateur!AS135*VLOOKUP('Données projet'!$B$10,Paramètres!$A$1:$I$88,3,0)*0.475*44/12</f>
        <v>7.4368850116151837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15.586076390719874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projet'!$B$11,Paramètres!$A$1:$I$88,3,0)*VLOOKUP('Données projet'!$B$11,Paramètres!$A$1:$I$88,5,0)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377.49758296179459</v>
      </c>
      <c r="BJ135" s="62">
        <f t="shared" si="146"/>
        <v>297.9972591134441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70.207731233532556</v>
      </c>
      <c r="BQ135" s="23">
        <f>EXP(-LN(2)/25)*BQ134+(1-EXP(-LN(2)/25))/(LN(2)/25)*Calculateur!BL135*Calculateur!BN135*VLOOKUP('Données projet'!$B$11,Paramètres!$A$1:$I$88,3,0)*0.475*44/12</f>
        <v>21.311703383235951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91.519434616768507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projet'!$B$12,Paramètres!$A$1:$I$88,3,0)*VLOOKUP('Données projet'!$B$12,Paramètres!$A$1:$I$88,5,0)</f>
        <v>-1.064108801074326E-13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163.77317062597106</v>
      </c>
      <c r="CE135" s="62">
        <f t="shared" si="148"/>
        <v>122.66073843071686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26.73323392073365</v>
      </c>
      <c r="CL135" s="23">
        <f>EXP(-LN(2)/25)*CL134+(1-EXP(-LN(2)/25))/(LN(2)/25)*Calculateur!CG135*Calculateur!CI135*VLOOKUP('Données projet'!$B$12,Paramètres!$A$1:$I$88,3,0)*0.475*44/12</f>
        <v>7.0791504377599832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33.812384358493631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projet'!$B$13,Paramètres!$A$1:$I$88,3,0)*VLOOKUP('Données projet'!$B$13,Paramètres!$A$1:$I$88,5,0)</f>
        <v>-6.7984728957526396E-14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167.84261986874142</v>
      </c>
      <c r="CZ135" s="62">
        <f t="shared" si="150"/>
        <v>242.5860875239222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6.7017617997784802</v>
      </c>
      <c r="DG135" s="23">
        <f>EXP(-LN(2)/25)*DG134+(1-EXP(-LN(2)/25))/(LN(2)/25)*Calculateur!DB135*Calculateur!DD135*VLOOKUP('Données projet'!$B$13,Paramètres!$A$1:$I$88,3,0)*0.475*44/12</f>
        <v>6.015073886204175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12.716835685982655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1.5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5.5</v>
      </c>
      <c r="H136" s="70">
        <f t="shared" si="110"/>
        <v>234.66666666666666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projet'!$B$9,Paramètres!$A$1:$I$88,3,0)*VLOOKUP('Données projet'!$B$9,Paramètres!$A$1:$I$88,5,0)</f>
        <v>-1.0286385077051818E-13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387.16864229348823</v>
      </c>
      <c r="T136" s="62">
        <f t="shared" si="142"/>
        <v>260.88002342542893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117.98836049959638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117.98836049959638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projet'!$B$10,Paramètres!$A$1:$I$88,3,0)*VLOOKUP('Données projet'!$B$10,Paramètres!$A$1:$I$88,5,0)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290.65100283743442</v>
      </c>
      <c r="AN136" s="62">
        <f ca="1">AVERAGE(OFFSET($AM$3,0,0,'Données projet'!$E$10+1,1))-AVERAGE(OFFSET($H$3,0,0,'Données projet'!$E$10+1,1))</f>
        <v>197.84745001458262</v>
      </c>
      <c r="AO136" s="62">
        <f t="shared" si="144"/>
        <v>290.24283321060068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7.9893907066763914</v>
      </c>
      <c r="AV136" s="23">
        <f>EXP(-LN(2)/25)*AV135+(1-EXP(-LN(2)/25))/(LN(2)/25)*Calculateur!AQ136*Calculateur!AS136*VLOOKUP('Données projet'!$B$10,Paramètres!$A$1:$I$88,3,0)*0.475*44/12</f>
        <v>7.2335229998837809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15.222913706560172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projet'!$B$11,Paramètres!$A$1:$I$88,3,0)*VLOOKUP('Données projet'!$B$11,Paramètres!$A$1:$I$88,5,0)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377.49758296179459</v>
      </c>
      <c r="BJ136" s="62">
        <f t="shared" si="146"/>
        <v>297.9972591134441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68.831000446530666</v>
      </c>
      <c r="BQ136" s="23">
        <f>EXP(-LN(2)/25)*BQ135+(1-EXP(-LN(2)/25))/(LN(2)/25)*Calculateur!BL136*Calculateur!BN136*VLOOKUP('Données projet'!$B$11,Paramètres!$A$1:$I$88,3,0)*0.475*44/12</f>
        <v>20.72893373348759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89.55993418001826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projet'!$B$12,Paramètres!$A$1:$I$88,3,0)*VLOOKUP('Données projet'!$B$12,Paramètres!$A$1:$I$88,5,0)</f>
        <v>-1.064108801074326E-13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163.77317062597106</v>
      </c>
      <c r="CE136" s="62">
        <f t="shared" si="148"/>
        <v>122.66073843071686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26.209011509210704</v>
      </c>
      <c r="CL136" s="23">
        <f>EXP(-LN(2)/25)*CL135+(1-EXP(-LN(2)/25))/(LN(2)/25)*Calculateur!CG136*Calculateur!CI136*VLOOKUP('Données projet'!$B$12,Paramètres!$A$1:$I$88,3,0)*0.475*44/12</f>
        <v>6.8855706967630947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33.094582205973801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projet'!$B$13,Paramètres!$A$1:$I$88,3,0)*VLOOKUP('Données projet'!$B$13,Paramètres!$A$1:$I$88,5,0)</f>
        <v>-6.7984728957526396E-14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167.84261986874142</v>
      </c>
      <c r="CZ136" s="62">
        <f t="shared" si="150"/>
        <v>242.5860875239222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6.5703443385558984</v>
      </c>
      <c r="DG136" s="23">
        <f>EXP(-LN(2)/25)*DG135+(1-EXP(-LN(2)/25))/(LN(2)/25)*Calculateur!DB136*Calculateur!DD136*VLOOKUP('Données projet'!$B$13,Paramètres!$A$1:$I$88,3,0)*0.475*44/12</f>
        <v>5.8505913744669336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12.420935713022832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1.5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5.5</v>
      </c>
      <c r="H137" s="70">
        <f t="shared" si="110"/>
        <v>234.66666666666666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projet'!$B$9,Paramètres!$A$1:$I$88,3,0)*VLOOKUP('Données projet'!$B$9,Paramètres!$A$1:$I$88,5,0)</f>
        <v>-1.0286385077051818E-13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387.16864229348823</v>
      </c>
      <c r="T137" s="62">
        <f t="shared" si="142"/>
        <v>260.88002342542893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115.67468071599318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115.67468071599318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projet'!$B$10,Paramètres!$A$1:$I$88,3,0)*VLOOKUP('Données projet'!$B$10,Paramètres!$A$1:$I$88,5,0)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290.69753527474575</v>
      </c>
      <c r="AN137" s="62">
        <f ca="1">AVERAGE(OFFSET($AM$3,0,0,'Données projet'!$E$10+1,1))-AVERAGE(OFFSET($H$3,0,0,'Données projet'!$E$10+1,1))</f>
        <v>197.84745001458262</v>
      </c>
      <c r="AO137" s="62">
        <f t="shared" si="144"/>
        <v>290.24283321060068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7.8327236279656249</v>
      </c>
      <c r="AV137" s="23">
        <f>EXP(-LN(2)/25)*AV136+(1-EXP(-LN(2)/25))/(LN(2)/25)*Calculateur!AQ137*Calculateur!AS137*VLOOKUP('Données projet'!$B$10,Paramètres!$A$1:$I$88,3,0)*0.475*44/12</f>
        <v>7.0357219330575171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14.868445561023142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projet'!$B$11,Paramètres!$A$1:$I$88,3,0)*VLOOKUP('Données projet'!$B$11,Paramètres!$A$1:$I$88,5,0)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377.49758296179459</v>
      </c>
      <c r="BJ137" s="62">
        <f t="shared" si="146"/>
        <v>297.9972591134441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67.481266510539015</v>
      </c>
      <c r="BQ137" s="23">
        <f>EXP(-LN(2)/25)*BQ136+(1-EXP(-LN(2)/25))/(LN(2)/25)*Calculateur!BL137*Calculateur!BN137*VLOOKUP('Données projet'!$B$11,Paramètres!$A$1:$I$88,3,0)*0.475*44/12</f>
        <v>20.162099950458124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87.643366460997143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projet'!$B$12,Paramètres!$A$1:$I$88,3,0)*VLOOKUP('Données projet'!$B$12,Paramètres!$A$1:$I$88,5,0)</f>
        <v>-1.064108801074326E-13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163.77317062597106</v>
      </c>
      <c r="CE137" s="62">
        <f t="shared" si="148"/>
        <v>122.66073843071686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25.695068779433626</v>
      </c>
      <c r="CL137" s="23">
        <f>EXP(-LN(2)/25)*CL136+(1-EXP(-LN(2)/25))/(LN(2)/25)*Calculateur!CG137*Calculateur!CI137*VLOOKUP('Données projet'!$B$12,Paramètres!$A$1:$I$88,3,0)*0.475*44/12</f>
        <v>6.6972844039636819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32.392353183397304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projet'!$B$13,Paramètres!$A$1:$I$88,3,0)*VLOOKUP('Données projet'!$B$13,Paramètres!$A$1:$I$88,5,0)</f>
        <v>-6.7984728957526396E-14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167.84261986874142</v>
      </c>
      <c r="CZ137" s="62">
        <f t="shared" si="150"/>
        <v>242.5860875239222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6.4415038935911548</v>
      </c>
      <c r="DG137" s="23">
        <f>EXP(-LN(2)/25)*DG136+(1-EXP(-LN(2)/25))/(LN(2)/25)*Calculateur!DB137*Calculateur!DD137*VLOOKUP('Données projet'!$B$13,Paramètres!$A$1:$I$88,3,0)*0.475*44/12</f>
        <v>5.690606645662907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12.132110539254061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1.5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5.5</v>
      </c>
      <c r="H138" s="70">
        <f t="shared" si="110"/>
        <v>234.66666666666666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projet'!$B$9,Paramètres!$A$1:$I$88,3,0)*VLOOKUP('Données projet'!$B$9,Paramètres!$A$1:$I$88,5,0)</f>
        <v>-1.0286385077051818E-13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387.16864229348823</v>
      </c>
      <c r="T138" s="62">
        <f t="shared" si="142"/>
        <v>260.88002342542893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113.4063707817411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113.4063707817411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projet'!$B$10,Paramètres!$A$1:$I$88,3,0)*VLOOKUP('Données projet'!$B$10,Paramètres!$A$1:$I$88,5,0)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290.74326047830056</v>
      </c>
      <c r="AN138" s="62">
        <f ca="1">AVERAGE(OFFSET($AM$3,0,0,'Données projet'!$E$10+1,1))-AVERAGE(OFFSET($H$3,0,0,'Données projet'!$E$10+1,1))</f>
        <v>197.84745001458262</v>
      </c>
      <c r="AO138" s="62">
        <f t="shared" si="144"/>
        <v>290.24283321060068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7.6791286951108946</v>
      </c>
      <c r="AV138" s="23">
        <f>EXP(-LN(2)/25)*AV137+(1-EXP(-LN(2)/25))/(LN(2)/25)*Calculateur!AQ138*Calculateur!AS138*VLOOKUP('Données projet'!$B$10,Paramètres!$A$1:$I$88,3,0)*0.475*44/12</f>
        <v>6.843329746805523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14.522458441916417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projet'!$B$11,Paramètres!$A$1:$I$88,3,0)*VLOOKUP('Données projet'!$B$11,Paramètres!$A$1:$I$88,5,0)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377.49758296179459</v>
      </c>
      <c r="BJ138" s="62">
        <f t="shared" si="146"/>
        <v>297.9972591134441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66.15800003377575</v>
      </c>
      <c r="BQ138" s="23">
        <f>EXP(-LN(2)/25)*BQ137+(1-EXP(-LN(2)/25))/(LN(2)/25)*Calculateur!BL138*Calculateur!BN138*VLOOKUP('Données projet'!$B$11,Paramètres!$A$1:$I$88,3,0)*0.475*44/12</f>
        <v>19.610766267034091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85.768766300809844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projet'!$B$12,Paramètres!$A$1:$I$88,3,0)*VLOOKUP('Données projet'!$B$12,Paramètres!$A$1:$I$88,5,0)</f>
        <v>-1.064108801074326E-13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163.77317062597106</v>
      </c>
      <c r="CE138" s="62">
        <f t="shared" si="148"/>
        <v>122.66073843071686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25.191204153113361</v>
      </c>
      <c r="CL138" s="23">
        <f>EXP(-LN(2)/25)*CL137+(1-EXP(-LN(2)/25))/(LN(2)/25)*Calculateur!CG138*Calculateur!CI138*VLOOKUP('Données projet'!$B$12,Paramètres!$A$1:$I$88,3,0)*0.475*44/12</f>
        <v>6.5141468097424147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31.705350962855775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projet'!$B$13,Paramètres!$A$1:$I$88,3,0)*VLOOKUP('Données projet'!$B$13,Paramètres!$A$1:$I$88,5,0)</f>
        <v>-6.7984728957526396E-14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167.84261986874142</v>
      </c>
      <c r="CZ138" s="62">
        <f t="shared" si="150"/>
        <v>242.5860875239222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6.3151899311672581</v>
      </c>
      <c r="DG138" s="23">
        <f>EXP(-LN(2)/25)*DG137+(1-EXP(-LN(2)/25))/(LN(2)/25)*Calculateur!DB138*Calculateur!DD138*VLOOKUP('Données projet'!$B$13,Paramètres!$A$1:$I$88,3,0)*0.475*44/12</f>
        <v>5.5349967076812572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11.850186638848516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1.5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5.5</v>
      </c>
      <c r="H139" s="70">
        <f t="shared" si="110"/>
        <v>234.66666666666666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projet'!$B$9,Paramètres!$A$1:$I$88,3,0)*VLOOKUP('Données projet'!$B$9,Paramètres!$A$1:$I$88,5,0)</f>
        <v>-1.0286385077051818E-13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387.16864229348823</v>
      </c>
      <c r="T139" s="62">
        <f t="shared" si="142"/>
        <v>260.88002342542893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111.18254102176726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111.18254102176726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projet'!$B$10,Paramètres!$A$1:$I$88,3,0)*VLOOKUP('Données projet'!$B$10,Paramètres!$A$1:$I$88,5,0)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290.7881924518</v>
      </c>
      <c r="AN139" s="62">
        <f ca="1">AVERAGE(OFFSET($AM$3,0,0,'Données projet'!$E$10+1,1))-AVERAGE(OFFSET($H$3,0,0,'Données projet'!$E$10+1,1))</f>
        <v>197.84745001458262</v>
      </c>
      <c r="AO139" s="62">
        <f t="shared" si="144"/>
        <v>290.24283321060068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7.5285456652057867</v>
      </c>
      <c r="AV139" s="23">
        <f>EXP(-LN(2)/25)*AV138+(1-EXP(-LN(2)/25))/(LN(2)/25)*Calculateur!AQ139*Calculateur!AS139*VLOOKUP('Données projet'!$B$10,Paramètres!$A$1:$I$88,3,0)*0.475*44/12</f>
        <v>6.6561985350040551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14.184744200209842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projet'!$B$11,Paramètres!$A$1:$I$88,3,0)*VLOOKUP('Données projet'!$B$11,Paramètres!$A$1:$I$88,5,0)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377.49758296179459</v>
      </c>
      <c r="BJ139" s="62">
        <f t="shared" si="146"/>
        <v>297.9972591134441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64.860682005508963</v>
      </c>
      <c r="BQ139" s="23">
        <f>EXP(-LN(2)/25)*BQ138+(1-EXP(-LN(2)/25))/(LN(2)/25)*Calculateur!BL139*Calculateur!BN139*VLOOKUP('Données projet'!$B$11,Paramètres!$A$1:$I$88,3,0)*0.475*44/12</f>
        <v>19.074508832176665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83.935190837685624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projet'!$B$12,Paramètres!$A$1:$I$88,3,0)*VLOOKUP('Données projet'!$B$12,Paramètres!$A$1:$I$88,5,0)</f>
        <v>-1.064108801074326E-13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163.77317062597106</v>
      </c>
      <c r="CE139" s="62">
        <f t="shared" si="148"/>
        <v>122.66073843071686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24.697220004788161</v>
      </c>
      <c r="CL139" s="23">
        <f>EXP(-LN(2)/25)*CL138+(1-EXP(-LN(2)/25))/(LN(2)/25)*Calculateur!CG139*Calculateur!CI139*VLOOKUP('Données projet'!$B$12,Paramètres!$A$1:$I$88,3,0)*0.475*44/12</f>
        <v>6.3360171226659157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31.033237127454075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projet'!$B$13,Paramètres!$A$1:$I$88,3,0)*VLOOKUP('Données projet'!$B$13,Paramètres!$A$1:$I$88,5,0)</f>
        <v>-6.7984728957526396E-14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167.84261986874142</v>
      </c>
      <c r="CZ139" s="62">
        <f t="shared" si="150"/>
        <v>242.5860875239222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6.1913529085025845</v>
      </c>
      <c r="DG139" s="23">
        <f>EXP(-LN(2)/25)*DG138+(1-EXP(-LN(2)/25))/(LN(2)/25)*Calculateur!DB139*Calculateur!DD139*VLOOKUP('Données projet'!$B$13,Paramètres!$A$1:$I$88,3,0)*0.475*44/12</f>
        <v>5.3836419316368866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11.574994840139471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1.5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5.5</v>
      </c>
      <c r="H140" s="70">
        <f t="shared" si="110"/>
        <v>234.66666666666666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projet'!$B$9,Paramètres!$A$1:$I$88,3,0)*VLOOKUP('Données projet'!$B$9,Paramètres!$A$1:$I$88,5,0)</f>
        <v>-1.0286385077051818E-13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387.16864229348823</v>
      </c>
      <c r="T140" s="62">
        <f t="shared" si="142"/>
        <v>260.88002342542893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109.0023192069843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109.0023192069843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projet'!$B$10,Paramètres!$A$1:$I$88,3,0)*VLOOKUP('Données projet'!$B$10,Paramètres!$A$1:$I$88,5,0)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290.83234495601198</v>
      </c>
      <c r="AN140" s="62">
        <f ca="1">AVERAGE(OFFSET($AM$3,0,0,'Données projet'!$E$10+1,1))-AVERAGE(OFFSET($H$3,0,0,'Données projet'!$E$10+1,1))</f>
        <v>197.84745001458262</v>
      </c>
      <c r="AO140" s="62">
        <f t="shared" si="144"/>
        <v>290.24283321060068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7.3809154766705385</v>
      </c>
      <c r="AV140" s="23">
        <f>EXP(-LN(2)/25)*AV139+(1-EXP(-LN(2)/25))/(LN(2)/25)*Calculateur!AQ140*Calculateur!AS140*VLOOKUP('Données projet'!$B$10,Paramètres!$A$1:$I$88,3,0)*0.475*44/12</f>
        <v>6.4741844360301011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13.85509991270064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projet'!$B$11,Paramètres!$A$1:$I$88,3,0)*VLOOKUP('Données projet'!$B$11,Paramètres!$A$1:$I$88,5,0)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377.49758296179459</v>
      </c>
      <c r="BJ140" s="62">
        <f t="shared" si="146"/>
        <v>297.9972591134441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63.588803592490621</v>
      </c>
      <c r="BQ140" s="23">
        <f>EXP(-LN(2)/25)*BQ139+(1-EXP(-LN(2)/25))/(LN(2)/25)*Calculateur!BL140*Calculateur!BN140*VLOOKUP('Données projet'!$B$11,Paramètres!$A$1:$I$88,3,0)*0.475*44/12</f>
        <v>18.55291538507597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82.141718977566597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projet'!$B$12,Paramètres!$A$1:$I$88,3,0)*VLOOKUP('Données projet'!$B$12,Paramètres!$A$1:$I$88,5,0)</f>
        <v>-1.064108801074326E-13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163.77317062597106</v>
      </c>
      <c r="CE140" s="62">
        <f t="shared" si="148"/>
        <v>122.66073843071686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24.212922584311041</v>
      </c>
      <c r="CL140" s="23">
        <f>EXP(-LN(2)/25)*CL139+(1-EXP(-LN(2)/25))/(LN(2)/25)*Calculateur!CG140*Calculateur!CI140*VLOOKUP('Données projet'!$B$12,Paramètres!$A$1:$I$88,3,0)*0.475*44/12</f>
        <v>6.162758401249957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30.375680985560997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projet'!$B$13,Paramètres!$A$1:$I$88,3,0)*VLOOKUP('Données projet'!$B$13,Paramètres!$A$1:$I$88,5,0)</f>
        <v>-6.7984728957526396E-14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167.84261986874142</v>
      </c>
      <c r="CZ140" s="62">
        <f t="shared" si="150"/>
        <v>242.5860875239222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6.069944254319239</v>
      </c>
      <c r="DG140" s="23">
        <f>EXP(-LN(2)/25)*DG139+(1-EXP(-LN(2)/25))/(LN(2)/25)*Calculateur!DB140*Calculateur!DD140*VLOOKUP('Données projet'!$B$13,Paramètres!$A$1:$I$88,3,0)*0.475*44/12</f>
        <v>5.2364259599028511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11.30637021422209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1.5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5.5</v>
      </c>
      <c r="H141" s="70">
        <f t="shared" si="110"/>
        <v>234.66666666666666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projet'!$B$9,Paramètres!$A$1:$I$88,3,0)*VLOOKUP('Données projet'!$B$9,Paramètres!$A$1:$I$88,5,0)</f>
        <v>-1.0286385077051818E-13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387.16864229348823</v>
      </c>
      <c r="T141" s="62">
        <f t="shared" si="142"/>
        <v>260.88002342542893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106.86485021218522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106.86485021218522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projet'!$B$10,Paramètres!$A$1:$I$88,3,0)*VLOOKUP('Données projet'!$B$10,Paramètres!$A$1:$I$88,5,0)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290.87573151298619</v>
      </c>
      <c r="AN141" s="62">
        <f ca="1">AVERAGE(OFFSET($AM$3,0,0,'Données projet'!$E$10+1,1))-AVERAGE(OFFSET($H$3,0,0,'Données projet'!$E$10+1,1))</f>
        <v>197.84745001458262</v>
      </c>
      <c r="AO141" s="62">
        <f t="shared" si="144"/>
        <v>290.24283321060068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7.236180226086943</v>
      </c>
      <c r="AV141" s="23">
        <f>EXP(-LN(2)/25)*AV140+(1-EXP(-LN(2)/25))/(LN(2)/25)*Calculateur!AQ141*Calculateur!AS141*VLOOKUP('Données projet'!$B$10,Paramètres!$A$1:$I$88,3,0)*0.475*44/12</f>
        <v>6.2971475221642956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13.533327748251239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projet'!$B$11,Paramètres!$A$1:$I$88,3,0)*VLOOKUP('Données projet'!$B$11,Paramètres!$A$1:$I$88,5,0)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377.49758296179459</v>
      </c>
      <c r="BJ141" s="62">
        <f t="shared" si="146"/>
        <v>297.9972591134441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62.341865939382338</v>
      </c>
      <c r="BQ141" s="23">
        <f>EXP(-LN(2)/25)*BQ140+(1-EXP(-LN(2)/25))/(LN(2)/25)*Calculateur!BL141*Calculateur!BN141*VLOOKUP('Données projet'!$B$11,Paramètres!$A$1:$I$88,3,0)*0.475*44/12</f>
        <v>18.045584938215651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80.387450877597985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projet'!$B$12,Paramètres!$A$1:$I$88,3,0)*VLOOKUP('Données projet'!$B$12,Paramètres!$A$1:$I$88,5,0)</f>
        <v>-1.064108801074326E-13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163.77317062597106</v>
      </c>
      <c r="CE141" s="62">
        <f t="shared" si="148"/>
        <v>122.66073843071686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23.738121940857216</v>
      </c>
      <c r="CL141" s="23">
        <f>EXP(-LN(2)/25)*CL140+(1-EXP(-LN(2)/25))/(LN(2)/25)*Calculateur!CG141*Calculateur!CI141*VLOOKUP('Données projet'!$B$12,Paramètres!$A$1:$I$88,3,0)*0.475*44/12</f>
        <v>5.9942374486823979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29.732359389539614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projet'!$B$13,Paramètres!$A$1:$I$88,3,0)*VLOOKUP('Données projet'!$B$13,Paramètres!$A$1:$I$88,5,0)</f>
        <v>-6.7984728957526396E-14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167.84261986874142</v>
      </c>
      <c r="CZ141" s="62">
        <f t="shared" si="150"/>
        <v>242.5860875239222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5.950916349792462</v>
      </c>
      <c r="DG141" s="23">
        <f>EXP(-LN(2)/25)*DG140+(1-EXP(-LN(2)/25))/(LN(2)/25)*Calculateur!DB141*Calculateur!DD141*VLOOKUP('Données projet'!$B$13,Paramètres!$A$1:$I$88,3,0)*0.475*44/12</f>
        <v>5.0932356166576342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11.044151966450096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1.5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5.5</v>
      </c>
      <c r="H142" s="70">
        <f t="shared" si="110"/>
        <v>234.66666666666666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projet'!$B$9,Paramètres!$A$1:$I$88,3,0)*VLOOKUP('Données projet'!$B$9,Paramètres!$A$1:$I$88,5,0)</f>
        <v>-1.0286385077051818E-13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387.16864229348823</v>
      </c>
      <c r="T142" s="62">
        <f t="shared" si="142"/>
        <v>260.88002342542893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104.76929568064679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104.76929568064679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projet'!$B$10,Paramètres!$A$1:$I$88,3,0)*VLOOKUP('Données projet'!$B$10,Paramètres!$A$1:$I$88,5,0)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290.91836541019472</v>
      </c>
      <c r="AN142" s="62">
        <f ca="1">AVERAGE(OFFSET($AM$3,0,0,'Données projet'!$E$10+1,1))-AVERAGE(OFFSET($H$3,0,0,'Données projet'!$E$10+1,1))</f>
        <v>197.84745001458262</v>
      </c>
      <c r="AO142" s="62">
        <f t="shared" si="144"/>
        <v>290.24283321060068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7.0942831454875055</v>
      </c>
      <c r="AV142" s="23">
        <f>EXP(-LN(2)/25)*AV141+(1-EXP(-LN(2)/25))/(LN(2)/25)*Calculateur!AQ142*Calculateur!AS142*VLOOKUP('Données projet'!$B$10,Paramètres!$A$1:$I$88,3,0)*0.475*44/12</f>
        <v>6.1249516920181168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13.219234837505622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projet'!$B$11,Paramètres!$A$1:$I$88,3,0)*VLOOKUP('Données projet'!$B$11,Paramètres!$A$1:$I$88,5,0)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377.49758296179459</v>
      </c>
      <c r="BJ142" s="62">
        <f t="shared" si="146"/>
        <v>297.9972591134441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61.119379973094638</v>
      </c>
      <c r="BQ142" s="23">
        <f>EXP(-LN(2)/25)*BQ141+(1-EXP(-LN(2)/25))/(LN(2)/25)*Calculateur!BL142*Calculateur!BN142*VLOOKUP('Données projet'!$B$11,Paramètres!$A$1:$I$88,3,0)*0.475*44/12</f>
        <v>17.552127469104075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78.671507442198717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projet'!$B$12,Paramètres!$A$1:$I$88,3,0)*VLOOKUP('Données projet'!$B$12,Paramètres!$A$1:$I$88,5,0)</f>
        <v>-1.064108801074326E-13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163.77317062597106</v>
      </c>
      <c r="CE142" s="62">
        <f t="shared" si="148"/>
        <v>122.66073843071686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23.272631848421724</v>
      </c>
      <c r="CL142" s="23">
        <f>EXP(-LN(2)/25)*CL141+(1-EXP(-LN(2)/25))/(LN(2)/25)*Calculateur!CG142*Calculateur!CI142*VLOOKUP('Données projet'!$B$12,Paramètres!$A$1:$I$88,3,0)*0.475*44/12</f>
        <v>5.8303247104249305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29.102956558846657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projet'!$B$13,Paramètres!$A$1:$I$88,3,0)*VLOOKUP('Données projet'!$B$13,Paramètres!$A$1:$I$88,5,0)</f>
        <v>-6.7984728957526396E-14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167.84261986874142</v>
      </c>
      <c r="CZ142" s="62">
        <f t="shared" si="150"/>
        <v>242.5860875239222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5.8342225098736016</v>
      </c>
      <c r="DG142" s="23">
        <f>EXP(-LN(2)/25)*DG141+(1-EXP(-LN(2)/25))/(LN(2)/25)*Calculateur!DB142*Calculateur!DD142*VLOOKUP('Données projet'!$B$13,Paramètres!$A$1:$I$88,3,0)*0.475*44/12</f>
        <v>4.9539608208785113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10.788183330752112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1.5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5.5</v>
      </c>
      <c r="H143" s="70">
        <f t="shared" si="110"/>
        <v>234.66666666666666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projet'!$B$9,Paramètres!$A$1:$I$88,3,0)*VLOOKUP('Données projet'!$B$9,Paramètres!$A$1:$I$88,5,0)</f>
        <v>-1.0286385077051818E-13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387.16864229348823</v>
      </c>
      <c r="T143" s="62">
        <f t="shared" si="142"/>
        <v>260.88002342542893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102.71483369530978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102.71483369530978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projet'!$B$10,Paramètres!$A$1:$I$88,3,0)*VLOOKUP('Données projet'!$B$10,Paramètres!$A$1:$I$88,5,0)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290.96025970460175</v>
      </c>
      <c r="AN143" s="62">
        <f ca="1">AVERAGE(OFFSET($AM$3,0,0,'Données projet'!$E$10+1,1))-AVERAGE(OFFSET($H$3,0,0,'Données projet'!$E$10+1,1))</f>
        <v>197.84745001458262</v>
      </c>
      <c r="AO143" s="62">
        <f t="shared" si="144"/>
        <v>290.24283321060068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6.9551685800899499</v>
      </c>
      <c r="AV143" s="23">
        <f>EXP(-LN(2)/25)*AV142+(1-EXP(-LN(2)/25))/(LN(2)/25)*Calculateur!AQ143*Calculateur!AS143*VLOOKUP('Données projet'!$B$10,Paramètres!$A$1:$I$88,3,0)*0.475*44/12</f>
        <v>5.9574645659026704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12.91263314599262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projet'!$B$11,Paramètres!$A$1:$I$88,3,0)*VLOOKUP('Données projet'!$B$11,Paramètres!$A$1:$I$88,5,0)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377.49758296179459</v>
      </c>
      <c r="BJ143" s="62">
        <f t="shared" si="146"/>
        <v>297.9972591134441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59.920866210963027</v>
      </c>
      <c r="BQ143" s="23">
        <f>EXP(-LN(2)/25)*BQ142+(1-EXP(-LN(2)/25))/(LN(2)/25)*Calculateur!BL143*Calculateur!BN143*VLOOKUP('Données projet'!$B$11,Paramètres!$A$1:$I$88,3,0)*0.475*44/12</f>
        <v>17.072163620435155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76.993029831398189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projet'!$B$12,Paramètres!$A$1:$I$88,3,0)*VLOOKUP('Données projet'!$B$12,Paramètres!$A$1:$I$88,5,0)</f>
        <v>-1.064108801074326E-13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163.77317062597106</v>
      </c>
      <c r="CE143" s="62">
        <f t="shared" si="148"/>
        <v>122.66073843071686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22.816269732777972</v>
      </c>
      <c r="CL143" s="23">
        <f>EXP(-LN(2)/25)*CL142+(1-EXP(-LN(2)/25))/(LN(2)/25)*Calculateur!CG143*Calculateur!CI143*VLOOKUP('Données projet'!$B$12,Paramètres!$A$1:$I$88,3,0)*0.475*44/12</f>
        <v>5.6708941746149097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28.487163907392883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projet'!$B$13,Paramètres!$A$1:$I$88,3,0)*VLOOKUP('Données projet'!$B$13,Paramètres!$A$1:$I$88,5,0)</f>
        <v>-6.7984728957526396E-14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167.84261986874142</v>
      </c>
      <c r="CZ143" s="62">
        <f t="shared" si="150"/>
        <v>242.5860875239222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5.7198169649793362</v>
      </c>
      <c r="DG143" s="23">
        <f>EXP(-LN(2)/25)*DG142+(1-EXP(-LN(2)/25))/(LN(2)/25)*Calculateur!DB143*Calculateur!DD143*VLOOKUP('Données projet'!$B$13,Paramètres!$A$1:$I$88,3,0)*0.475*44/12</f>
        <v>4.8184945017141114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10.538311466693447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1.5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5.5</v>
      </c>
      <c r="H144" s="70">
        <f t="shared" si="110"/>
        <v>234.66666666666666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projet'!$B$9,Paramètres!$A$1:$I$88,3,0)*VLOOKUP('Données projet'!$B$9,Paramètres!$A$1:$I$88,5,0)</f>
        <v>-1.0286385077051818E-13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387.16864229348823</v>
      </c>
      <c r="T144" s="62">
        <f t="shared" si="142"/>
        <v>260.88002342542893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100.70065845640715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100.70065845640715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projet'!$B$10,Paramètres!$A$1:$I$88,3,0)*VLOOKUP('Données projet'!$B$10,Paramètres!$A$1:$I$88,5,0)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291.00142722666243</v>
      </c>
      <c r="AN144" s="62">
        <f ca="1">AVERAGE(OFFSET($AM$3,0,0,'Données projet'!$E$10+1,1))-AVERAGE(OFFSET($H$3,0,0,'Données projet'!$E$10+1,1))</f>
        <v>197.84745001458262</v>
      </c>
      <c r="AO144" s="62">
        <f t="shared" si="144"/>
        <v>290.24283321060068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6.8187819664683342</v>
      </c>
      <c r="AV144" s="23">
        <f>EXP(-LN(2)/25)*AV143+(1-EXP(-LN(2)/25))/(LN(2)/25)*Calculateur!AQ144*Calculateur!AS144*VLOOKUP('Données projet'!$B$10,Paramètres!$A$1:$I$88,3,0)*0.475*44/12</f>
        <v>5.7945573840586162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12.61333935052695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projet'!$B$11,Paramètres!$A$1:$I$88,3,0)*VLOOKUP('Données projet'!$B$11,Paramètres!$A$1:$I$88,5,0)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377.49758296179459</v>
      </c>
      <c r="BJ144" s="62">
        <f t="shared" si="146"/>
        <v>297.9972591134441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58.745854572685602</v>
      </c>
      <c r="BQ144" s="23">
        <f>EXP(-LN(2)/25)*BQ143+(1-EXP(-LN(2)/25))/(LN(2)/25)*Calculateur!BL144*Calculateur!BN144*VLOOKUP('Données projet'!$B$11,Paramètres!$A$1:$I$88,3,0)*0.475*44/12</f>
        <v>16.60532440844829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75.351178981133899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projet'!$B$12,Paramètres!$A$1:$I$88,3,0)*VLOOKUP('Données projet'!$B$12,Paramètres!$A$1:$I$88,5,0)</f>
        <v>-1.064108801074326E-13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163.77317062597106</v>
      </c>
      <c r="CE144" s="62">
        <f t="shared" si="148"/>
        <v>122.66073843071686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22.368856599868586</v>
      </c>
      <c r="CL144" s="23">
        <f>EXP(-LN(2)/25)*CL143+(1-EXP(-LN(2)/25))/(LN(2)/25)*Calculateur!CG144*Calculateur!CI144*VLOOKUP('Données projet'!$B$12,Paramètres!$A$1:$I$88,3,0)*0.475*44/12</f>
        <v>5.5158232751907015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27.884679875059287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projet'!$B$13,Paramètres!$A$1:$I$88,3,0)*VLOOKUP('Données projet'!$B$13,Paramètres!$A$1:$I$88,5,0)</f>
        <v>-6.7984728957526396E-14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167.84261986874142</v>
      </c>
      <c r="CZ144" s="62">
        <f t="shared" si="150"/>
        <v>242.5860875239222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5.6076548430399553</v>
      </c>
      <c r="DG144" s="23">
        <f>EXP(-LN(2)/25)*DG143+(1-EXP(-LN(2)/25))/(LN(2)/25)*Calculateur!DB144*Calculateur!DD144*VLOOKUP('Données projet'!$B$13,Paramètres!$A$1:$I$88,3,0)*0.475*44/12</f>
        <v>4.6867325161711264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10.294387359211083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1.5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5.5</v>
      </c>
      <c r="H145" s="70">
        <f t="shared" si="110"/>
        <v>234.66666666666666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projet'!$B$9,Paramètres!$A$1:$I$88,3,0)*VLOOKUP('Données projet'!$B$9,Paramètres!$A$1:$I$88,5,0)</f>
        <v>-1.0286385077051818E-13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387.16864229348823</v>
      </c>
      <c r="T145" s="62">
        <f t="shared" si="142"/>
        <v>260.88002342542893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98.725979965413813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98.725979965413813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projet'!$B$10,Paramètres!$A$1:$I$88,3,0)*VLOOKUP('Données projet'!$B$10,Paramètres!$A$1:$I$88,5,0)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291.04188058425211</v>
      </c>
      <c r="AN145" s="62">
        <f ca="1">AVERAGE(OFFSET($AM$3,0,0,'Données projet'!$E$10+1,1))-AVERAGE(OFFSET($H$3,0,0,'Données projet'!$E$10+1,1))</f>
        <v>197.84745001458262</v>
      </c>
      <c r="AO145" s="62">
        <f t="shared" si="144"/>
        <v>290.24283321060068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6.6850698111522178</v>
      </c>
      <c r="AV145" s="23">
        <f>EXP(-LN(2)/25)*AV144+(1-EXP(-LN(2)/25))/(LN(2)/25)*Calculateur!AQ145*Calculateur!AS145*VLOOKUP('Données projet'!$B$10,Paramètres!$A$1:$I$88,3,0)*0.475*44/12</f>
        <v>5.6361049076690044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12.321174718821222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projet'!$B$11,Paramètres!$A$1:$I$88,3,0)*VLOOKUP('Données projet'!$B$11,Paramètres!$A$1:$I$88,5,0)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377.49758296179459</v>
      </c>
      <c r="BJ145" s="62">
        <f t="shared" si="146"/>
        <v>297.9972591134441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57.593884195948469</v>
      </c>
      <c r="BQ145" s="23">
        <f>EXP(-LN(2)/25)*BQ144+(1-EXP(-LN(2)/25))/(LN(2)/25)*Calculateur!BL145*Calculateur!BN145*VLOOKUP('Données projet'!$B$11,Paramètres!$A$1:$I$88,3,0)*0.475*44/12</f>
        <v>16.151250939263214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73.745135135211683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projet'!$B$12,Paramètres!$A$1:$I$88,3,0)*VLOOKUP('Données projet'!$B$12,Paramètres!$A$1:$I$88,5,0)</f>
        <v>-1.064108801074326E-13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163.77317062597106</v>
      </c>
      <c r="CE145" s="62">
        <f t="shared" si="148"/>
        <v>122.66073843071686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21.93021696560049</v>
      </c>
      <c r="CL145" s="23">
        <f>EXP(-LN(2)/25)*CL144+(1-EXP(-LN(2)/25))/(LN(2)/25)*Calculateur!CG145*Calculateur!CI145*VLOOKUP('Données projet'!$B$12,Paramètres!$A$1:$I$88,3,0)*0.475*44/12</f>
        <v>5.3649927976660727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27.295209763266563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projet'!$B$13,Paramètres!$A$1:$I$88,3,0)*VLOOKUP('Données projet'!$B$13,Paramètres!$A$1:$I$88,5,0)</f>
        <v>-6.7984728957526396E-14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167.84261986874142</v>
      </c>
      <c r="CZ145" s="62">
        <f t="shared" si="150"/>
        <v>242.5860875239222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5.497692151899666</v>
      </c>
      <c r="DG145" s="23">
        <f>EXP(-LN(2)/25)*DG144+(1-EXP(-LN(2)/25))/(LN(2)/25)*Calculateur!DB145*Calculateur!DD145*VLOOKUP('Données projet'!$B$13,Paramètres!$A$1:$I$88,3,0)*0.475*44/12</f>
        <v>4.5585735690518758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10.056265720951542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1.5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5.5</v>
      </c>
      <c r="H146" s="70">
        <f t="shared" si="110"/>
        <v>234.66666666666666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projet'!$B$9,Paramètres!$A$1:$I$88,3,0)*VLOOKUP('Données projet'!$B$9,Paramètres!$A$1:$I$88,5,0)</f>
        <v>-1.0286385077051818E-13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387.16864229348823</v>
      </c>
      <c r="T146" s="62">
        <f t="shared" si="142"/>
        <v>260.88002342542893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96.790023715193897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96.790023715193897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projet'!$B$10,Paramètres!$A$1:$I$88,3,0)*VLOOKUP('Données projet'!$B$10,Paramètres!$A$1:$I$88,5,0)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291.08163216652781</v>
      </c>
      <c r="AN146" s="62">
        <f ca="1">AVERAGE(OFFSET($AM$3,0,0,'Données projet'!$E$10+1,1))-AVERAGE(OFFSET($H$3,0,0,'Données projet'!$E$10+1,1))</f>
        <v>197.84745001458262</v>
      </c>
      <c r="AO146" s="62">
        <f t="shared" si="144"/>
        <v>290.24283321060068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6.5539796696454893</v>
      </c>
      <c r="AV146" s="23">
        <f>EXP(-LN(2)/25)*AV145+(1-EXP(-LN(2)/25))/(LN(2)/25)*Calculateur!AQ146*Calculateur!AS146*VLOOKUP('Données projet'!$B$10,Paramètres!$A$1:$I$88,3,0)*0.475*44/12</f>
        <v>5.4819853225789199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12.035964992224409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projet'!$B$11,Paramètres!$A$1:$I$88,3,0)*VLOOKUP('Données projet'!$B$11,Paramètres!$A$1:$I$88,5,0)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377.49758296179459</v>
      </c>
      <c r="BJ146" s="62">
        <f t="shared" si="146"/>
        <v>297.9972591134441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56.4645032556666</v>
      </c>
      <c r="BQ146" s="23">
        <f>EXP(-LN(2)/25)*BQ145+(1-EXP(-LN(2)/25))/(LN(2)/25)*Calculateur!BL146*Calculateur!BN146*VLOOKUP('Données projet'!$B$11,Paramètres!$A$1:$I$88,3,0)*0.475*44/12</f>
        <v>15.709594132971688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72.174097388638287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projet'!$B$12,Paramètres!$A$1:$I$88,3,0)*VLOOKUP('Données projet'!$B$12,Paramètres!$A$1:$I$88,5,0)</f>
        <v>-1.064108801074326E-13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163.77317062597106</v>
      </c>
      <c r="CE146" s="62">
        <f t="shared" si="148"/>
        <v>122.66073843071686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21.500178787016633</v>
      </c>
      <c r="CL146" s="23">
        <f>EXP(-LN(2)/25)*CL145+(1-EXP(-LN(2)/25))/(LN(2)/25)*Calculateur!CG146*Calculateur!CI146*VLOOKUP('Données projet'!$B$12,Paramètres!$A$1:$I$88,3,0)*0.475*44/12</f>
        <v>5.2182867874811842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26.718465574497817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projet'!$B$13,Paramètres!$A$1:$I$88,3,0)*VLOOKUP('Données projet'!$B$13,Paramètres!$A$1:$I$88,5,0)</f>
        <v>-6.7984728957526396E-14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167.84261986874142</v>
      </c>
      <c r="CZ146" s="62">
        <f t="shared" si="150"/>
        <v>242.5860875239222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5.3898857620620193</v>
      </c>
      <c r="DG146" s="23">
        <f>EXP(-LN(2)/25)*DG145+(1-EXP(-LN(2)/25))/(LN(2)/25)*Calculateur!DB146*Calculateur!DD146*VLOOKUP('Données projet'!$B$13,Paramètres!$A$1:$I$88,3,0)*0.475*44/12</f>
        <v>4.4339191350811866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9.823804897143205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1.5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5.5</v>
      </c>
      <c r="H147" s="70">
        <f t="shared" si="110"/>
        <v>234.66666666666666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projet'!$B$9,Paramètres!$A$1:$I$88,3,0)*VLOOKUP('Données projet'!$B$9,Paramètres!$A$1:$I$88,5,0)</f>
        <v>-1.0286385077051818E-13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387.16864229348823</v>
      </c>
      <c r="T147" s="62">
        <f t="shared" si="142"/>
        <v>260.88002342542893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94.892030386224079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94.892030386224079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projet'!$B$10,Paramètres!$A$1:$I$88,3,0)*VLOOKUP('Données projet'!$B$10,Paramètres!$A$1:$I$88,5,0)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291.12069414772225</v>
      </c>
      <c r="AN147" s="62">
        <f ca="1">AVERAGE(OFFSET($AM$3,0,0,'Données projet'!$E$10+1,1))-AVERAGE(OFFSET($H$3,0,0,'Données projet'!$E$10+1,1))</f>
        <v>197.84745001458262</v>
      </c>
      <c r="AO147" s="62">
        <f t="shared" si="144"/>
        <v>290.24283321060068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6.425460125856616</v>
      </c>
      <c r="AV147" s="23">
        <f>EXP(-LN(2)/25)*AV146+(1-EXP(-LN(2)/25))/(LN(2)/25)*Calculateur!AQ147*Calculateur!AS147*VLOOKUP('Données projet'!$B$10,Paramètres!$A$1:$I$88,3,0)*0.475*44/12</f>
        <v>5.3320801456479208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11.757540271504537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projet'!$B$11,Paramètres!$A$1:$I$88,3,0)*VLOOKUP('Données projet'!$B$11,Paramètres!$A$1:$I$88,5,0)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377.49758296179459</v>
      </c>
      <c r="BJ147" s="62">
        <f t="shared" si="146"/>
        <v>297.9972591134441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55.357268786769303</v>
      </c>
      <c r="BQ147" s="23">
        <f>EXP(-LN(2)/25)*BQ146+(1-EXP(-LN(2)/25))/(LN(2)/25)*Calculateur!BL147*Calculateur!BN147*VLOOKUP('Données projet'!$B$11,Paramètres!$A$1:$I$88,3,0)*0.475*44/12</f>
        <v>15.280014455273927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70.637283242043225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projet'!$B$12,Paramètres!$A$1:$I$88,3,0)*VLOOKUP('Données projet'!$B$12,Paramètres!$A$1:$I$88,5,0)</f>
        <v>-1.064108801074326E-13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163.77317062597106</v>
      </c>
      <c r="CE147" s="62">
        <f t="shared" si="148"/>
        <v>122.66073843071686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21.078573394817415</v>
      </c>
      <c r="CL147" s="23">
        <f>EXP(-LN(2)/25)*CL146+(1-EXP(-LN(2)/25))/(LN(2)/25)*Calculateur!CG147*Calculateur!CI147*VLOOKUP('Données projet'!$B$12,Paramètres!$A$1:$I$88,3,0)*0.475*44/12</f>
        <v>5.0755924608597356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26.154165855677149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projet'!$B$13,Paramètres!$A$1:$I$88,3,0)*VLOOKUP('Données projet'!$B$13,Paramètres!$A$1:$I$88,5,0)</f>
        <v>-6.7984728957526396E-14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167.84261986874142</v>
      </c>
      <c r="CZ147" s="62">
        <f t="shared" si="150"/>
        <v>242.5860875239222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5.2841933897736837</v>
      </c>
      <c r="DG147" s="23">
        <f>EXP(-LN(2)/25)*DG146+(1-EXP(-LN(2)/25))/(LN(2)/25)*Calculateur!DB147*Calculateur!DD147*VLOOKUP('Données projet'!$B$13,Paramètres!$A$1:$I$88,3,0)*0.475*44/12</f>
        <v>4.3126733831627178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9.5968667729364014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1.5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5.5</v>
      </c>
      <c r="H148" s="70">
        <f t="shared" si="110"/>
        <v>234.66666666666666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projet'!$B$9,Paramètres!$A$1:$I$88,3,0)*VLOOKUP('Données projet'!$B$9,Paramètres!$A$1:$I$88,5,0)</f>
        <v>-1.0286385077051818E-13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387.16864229348823</v>
      </c>
      <c r="T148" s="62">
        <f t="shared" si="142"/>
        <v>260.88002342542893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93.031255548773743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93.031255548773743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projet'!$B$10,Paramètres!$A$1:$I$88,3,0)*VLOOKUP('Données projet'!$B$10,Paramètres!$A$1:$I$88,5,0)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291.1590784908725</v>
      </c>
      <c r="AN148" s="62">
        <f ca="1">AVERAGE(OFFSET($AM$3,0,0,'Données projet'!$E$10+1,1))-AVERAGE(OFFSET($H$3,0,0,'Données projet'!$E$10+1,1))</f>
        <v>197.84745001458262</v>
      </c>
      <c r="AO148" s="62">
        <f t="shared" si="144"/>
        <v>290.24283321060068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6.2994607719322611</v>
      </c>
      <c r="AV148" s="23">
        <f>EXP(-LN(2)/25)*AV147+(1-EXP(-LN(2)/25))/(LN(2)/25)*Calculateur!AQ148*Calculateur!AS148*VLOOKUP('Données projet'!$B$10,Paramètres!$A$1:$I$88,3,0)*0.475*44/12</f>
        <v>5.1862741336632698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11.485734905595532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projet'!$B$11,Paramètres!$A$1:$I$88,3,0)*VLOOKUP('Données projet'!$B$11,Paramètres!$A$1:$I$88,5,0)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377.49758296179459</v>
      </c>
      <c r="BJ148" s="62">
        <f t="shared" si="146"/>
        <v>297.9972591134441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54.271746510460737</v>
      </c>
      <c r="BQ148" s="23">
        <f>EXP(-LN(2)/25)*BQ147+(1-EXP(-LN(2)/25))/(LN(2)/25)*Calculateur!BL148*Calculateur!BN148*VLOOKUP('Données projet'!$B$11,Paramètres!$A$1:$I$88,3,0)*0.475*44/12</f>
        <v>14.862181656453425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69.13392816691416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projet'!$B$12,Paramètres!$A$1:$I$88,3,0)*VLOOKUP('Données projet'!$B$12,Paramètres!$A$1:$I$88,5,0)</f>
        <v>-1.064108801074326E-13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163.77317062597106</v>
      </c>
      <c r="CE148" s="62">
        <f t="shared" si="148"/>
        <v>122.66073843071686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20.665235427205328</v>
      </c>
      <c r="CL148" s="23">
        <f>EXP(-LN(2)/25)*CL147+(1-EXP(-LN(2)/25))/(LN(2)/25)*Calculateur!CG148*Calculateur!CI148*VLOOKUP('Données projet'!$B$12,Paramètres!$A$1:$I$88,3,0)*0.475*44/12</f>
        <v>4.9368001181037187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25.602035545309047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projet'!$B$13,Paramètres!$A$1:$I$88,3,0)*VLOOKUP('Données projet'!$B$13,Paramètres!$A$1:$I$88,5,0)</f>
        <v>-6.7984728957526396E-14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167.84261986874142</v>
      </c>
      <c r="CZ148" s="62">
        <f t="shared" si="150"/>
        <v>242.5860875239222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5.1805735804399404</v>
      </c>
      <c r="DG148" s="23">
        <f>EXP(-LN(2)/25)*DG147+(1-EXP(-LN(2)/25))/(LN(2)/25)*Calculateur!DB148*Calculateur!DD148*VLOOKUP('Données projet'!$B$13,Paramètres!$A$1:$I$88,3,0)*0.475*44/12</f>
        <v>4.1947431027064965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9.375316683146437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1.5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5.5</v>
      </c>
      <c r="H149" s="70">
        <f t="shared" si="110"/>
        <v>234.66666666666666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projet'!$B$9,Paramètres!$A$1:$I$88,3,0)*VLOOKUP('Données projet'!$B$9,Paramètres!$A$1:$I$88,5,0)</f>
        <v>-1.0286385077051818E-13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387.16864229348823</v>
      </c>
      <c r="T149" s="62">
        <f t="shared" si="142"/>
        <v>260.88002342542893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91.206969370925222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91.206969370925222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projet'!$B$10,Paramètres!$A$1:$I$88,3,0)*VLOOKUP('Données projet'!$B$10,Paramètres!$A$1:$I$88,5,0)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291.19679695148358</v>
      </c>
      <c r="AN149" s="62">
        <f ca="1">AVERAGE(OFFSET($AM$3,0,0,'Données projet'!$E$10+1,1))-AVERAGE(OFFSET($H$3,0,0,'Données projet'!$E$10+1,1))</f>
        <v>197.84745001458262</v>
      </c>
      <c r="AO149" s="62">
        <f t="shared" si="144"/>
        <v>290.24283321060068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6.1759321884863452</v>
      </c>
      <c r="AV149" s="23">
        <f>EXP(-LN(2)/25)*AV148+(1-EXP(-LN(2)/25))/(LN(2)/25)*Calculateur!AQ149*Calculateur!AS149*VLOOKUP('Données projet'!$B$10,Paramètres!$A$1:$I$88,3,0)*0.475*44/12</f>
        <v>5.0444551947439447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11.220387383230289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projet'!$B$11,Paramètres!$A$1:$I$88,3,0)*VLOOKUP('Données projet'!$B$11,Paramètres!$A$1:$I$88,5,0)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377.49758296179459</v>
      </c>
      <c r="BJ149" s="62">
        <f t="shared" si="146"/>
        <v>297.9972591134441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53.207510663887376</v>
      </c>
      <c r="BQ149" s="23">
        <f>EXP(-LN(2)/25)*BQ148+(1-EXP(-LN(2)/25))/(LN(2)/25)*Calculateur!BL149*Calculateur!BN149*VLOOKUP('Données projet'!$B$11,Paramètres!$A$1:$I$88,3,0)*0.475*44/12</f>
        <v>14.455774517489541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67.663285181376921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projet'!$B$12,Paramètres!$A$1:$I$88,3,0)*VLOOKUP('Données projet'!$B$12,Paramètres!$A$1:$I$88,5,0)</f>
        <v>-1.064108801074326E-13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163.77317062597106</v>
      </c>
      <c r="CE149" s="62">
        <f t="shared" si="148"/>
        <v>122.66073843071686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20.260002765026847</v>
      </c>
      <c r="CL149" s="23">
        <f>EXP(-LN(2)/25)*CL148+(1-EXP(-LN(2)/25))/(LN(2)/25)*Calculateur!CG149*Calculateur!CI149*VLOOKUP('Données projet'!$B$12,Paramètres!$A$1:$I$88,3,0)*0.475*44/12</f>
        <v>4.8018030592591376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25.061805824285983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projet'!$B$13,Paramètres!$A$1:$I$88,3,0)*VLOOKUP('Données projet'!$B$13,Paramètres!$A$1:$I$88,5,0)</f>
        <v>-6.7984728957526396E-14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167.84261986874142</v>
      </c>
      <c r="CZ149" s="62">
        <f t="shared" si="150"/>
        <v>242.5860875239222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5.0789856923653893</v>
      </c>
      <c r="DG149" s="23">
        <f>EXP(-LN(2)/25)*DG148+(1-EXP(-LN(2)/25))/(LN(2)/25)*Calculateur!DB149*Calculateur!DD149*VLOOKUP('Données projet'!$B$13,Paramètres!$A$1:$I$88,3,0)*0.475*44/12</f>
        <v>4.0800376319710345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9.1590233243364239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1.5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5.5</v>
      </c>
      <c r="H150" s="70">
        <f t="shared" si="110"/>
        <v>234.66666666666666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projet'!$B$9,Paramètres!$A$1:$I$88,3,0)*VLOOKUP('Données projet'!$B$9,Paramètres!$A$1:$I$88,5,0)</f>
        <v>-1.0286385077051818E-13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387.16864229348823</v>
      </c>
      <c r="T150" s="62">
        <f t="shared" si="142"/>
        <v>260.88002342542893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89.418456332319607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89.418456332319607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projet'!$B$10,Paramètres!$A$1:$I$88,3,0)*VLOOKUP('Données projet'!$B$10,Paramètres!$A$1:$I$88,5,0)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291.23386108112896</v>
      </c>
      <c r="AN150" s="62">
        <f ca="1">AVERAGE(OFFSET($AM$3,0,0,'Données projet'!$E$10+1,1))-AVERAGE(OFFSET($H$3,0,0,'Données projet'!$E$10+1,1))</f>
        <v>197.84745001458262</v>
      </c>
      <c r="AO150" s="62">
        <f t="shared" si="144"/>
        <v>290.24283321060068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6.0548259252168082</v>
      </c>
      <c r="AV150" s="23">
        <f>EXP(-LN(2)/25)*AV149+(1-EXP(-LN(2)/25))/(LN(2)/25)*Calculateur!AQ150*Calculateur!AS150*VLOOKUP('Données projet'!$B$10,Paramètres!$A$1:$I$88,3,0)*0.475*44/12</f>
        <v>4.9065143021673023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10.96134022738411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projet'!$B$11,Paramètres!$A$1:$I$88,3,0)*VLOOKUP('Données projet'!$B$11,Paramètres!$A$1:$I$88,5,0)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377.49758296179459</v>
      </c>
      <c r="BJ150" s="62">
        <f t="shared" si="146"/>
        <v>297.9972591134441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52.164143833145545</v>
      </c>
      <c r="BQ150" s="23">
        <f>EXP(-LN(2)/25)*BQ149+(1-EXP(-LN(2)/25))/(LN(2)/25)*Calculateur!BL150*Calculateur!BN150*VLOOKUP('Données projet'!$B$11,Paramètres!$A$1:$I$88,3,0)*0.475*44/12</f>
        <v>14.060480603112646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66.224624436258196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projet'!$B$12,Paramètres!$A$1:$I$88,3,0)*VLOOKUP('Données projet'!$B$12,Paramètres!$A$1:$I$88,5,0)</f>
        <v>-1.064108801074326E-13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163.77317062597106</v>
      </c>
      <c r="CE150" s="62">
        <f t="shared" si="148"/>
        <v>122.66073843071686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19.862716468186168</v>
      </c>
      <c r="CL150" s="23">
        <f>EXP(-LN(2)/25)*CL149+(1-EXP(-LN(2)/25))/(LN(2)/25)*Calculateur!CG150*Calculateur!CI150*VLOOKUP('Données projet'!$B$12,Paramètres!$A$1:$I$88,3,0)*0.475*44/12</f>
        <v>4.6704975020878479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24.533213970274016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projet'!$B$13,Paramètres!$A$1:$I$88,3,0)*VLOOKUP('Données projet'!$B$13,Paramètres!$A$1:$I$88,5,0)</f>
        <v>-6.7984728957526396E-14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167.84261986874142</v>
      </c>
      <c r="CZ150" s="62">
        <f t="shared" si="150"/>
        <v>242.5860875239222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4.9793898808134864</v>
      </c>
      <c r="DG150" s="23">
        <f>EXP(-LN(2)/25)*DG149+(1-EXP(-LN(2)/25))/(LN(2)/25)*Calculateur!DB150*Calculateur!DD150*VLOOKUP('Données projet'!$B$13,Paramètres!$A$1:$I$88,3,0)*0.475*44/12</f>
        <v>3.9684687883649326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8.9478586691784194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1.5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5.5</v>
      </c>
      <c r="H151" s="70">
        <f t="shared" si="110"/>
        <v>234.66666666666666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projet'!$B$9,Paramètres!$A$1:$I$88,3,0)*VLOOKUP('Données projet'!$B$9,Paramètres!$A$1:$I$88,5,0)</f>
        <v>-1.0286385077051818E-13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387.16864229348823</v>
      </c>
      <c r="T151" s="62">
        <f t="shared" si="142"/>
        <v>260.88002342542893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87.665014943515814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87.665014943515814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projet'!$B$10,Paramètres!$A$1:$I$88,3,0)*VLOOKUP('Données projet'!$B$10,Paramètres!$A$1:$I$88,5,0)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291.2702822309879</v>
      </c>
      <c r="AN151" s="62">
        <f ca="1">AVERAGE(OFFSET($AM$3,0,0,'Données projet'!$E$10+1,1))-AVERAGE(OFFSET($H$3,0,0,'Données projet'!$E$10+1,1))</f>
        <v>197.84745001458262</v>
      </c>
      <c r="AO151" s="62">
        <f t="shared" si="144"/>
        <v>290.24283321060068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5.9360944819024599</v>
      </c>
      <c r="AV151" s="23">
        <f>EXP(-LN(2)/25)*AV150+(1-EXP(-LN(2)/25))/(LN(2)/25)*Calculateur!AQ151*Calculateur!AS151*VLOOKUP('Données projet'!$B$10,Paramètres!$A$1:$I$88,3,0)*0.475*44/12</f>
        <v>4.7723454105521643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10.708439892454624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projet'!$B$11,Paramètres!$A$1:$I$88,3,0)*VLOOKUP('Données projet'!$B$11,Paramètres!$A$1:$I$88,5,0)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377.49758296179459</v>
      </c>
      <c r="BJ151" s="62">
        <f t="shared" si="146"/>
        <v>297.9972591134441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51.141236789563635</v>
      </c>
      <c r="BQ151" s="23">
        <f>EXP(-LN(2)/25)*BQ150+(1-EXP(-LN(2)/25))/(LN(2)/25)*Calculateur!BL151*Calculateur!BN151*VLOOKUP('Données projet'!$B$11,Paramètres!$A$1:$I$88,3,0)*0.475*44/12</f>
        <v>13.675996021611992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64.817232811175629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projet'!$B$12,Paramètres!$A$1:$I$88,3,0)*VLOOKUP('Données projet'!$B$12,Paramètres!$A$1:$I$88,5,0)</f>
        <v>-1.064108801074326E-13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163.77317062597106</v>
      </c>
      <c r="CE151" s="62">
        <f t="shared" si="148"/>
        <v>122.66073843071686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19.473220713305821</v>
      </c>
      <c r="CL151" s="23">
        <f>EXP(-LN(2)/25)*CL150+(1-EXP(-LN(2)/25))/(LN(2)/25)*Calculateur!CG151*Calculateur!CI151*VLOOKUP('Données projet'!$B$12,Paramètres!$A$1:$I$88,3,0)*0.475*44/12</f>
        <v>4.5427825022824662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24.016003215588288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projet'!$B$13,Paramètres!$A$1:$I$88,3,0)*VLOOKUP('Données projet'!$B$13,Paramètres!$A$1:$I$88,5,0)</f>
        <v>-6.7984728957526396E-14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167.84261986874142</v>
      </c>
      <c r="CZ151" s="62">
        <f t="shared" si="150"/>
        <v>242.5860875239222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4.8817470823786699</v>
      </c>
      <c r="DG151" s="23">
        <f>EXP(-LN(2)/25)*DG150+(1-EXP(-LN(2)/25))/(LN(2)/25)*Calculateur!DB151*Calculateur!DD151*VLOOKUP('Données projet'!$B$13,Paramètres!$A$1:$I$88,3,0)*0.475*44/12</f>
        <v>3.8599508006543899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8.7416978830330603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1.5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5.5</v>
      </c>
      <c r="H152" s="70">
        <f t="shared" si="110"/>
        <v>234.66666666666666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projet'!$B$9,Paramètres!$A$1:$I$88,3,0)*VLOOKUP('Données projet'!$B$9,Paramètres!$A$1:$I$88,5,0)</f>
        <v>-1.0286385077051818E-13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387.16864229348823</v>
      </c>
      <c r="T152" s="62">
        <f t="shared" si="142"/>
        <v>260.88002342542893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85.945957470852818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85.945957470852818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projet'!$B$10,Paramètres!$A$1:$I$88,3,0)*VLOOKUP('Données projet'!$B$10,Paramètres!$A$1:$I$88,5,0)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291.30607155532232</v>
      </c>
      <c r="AN152" s="62">
        <f ca="1">AVERAGE(OFFSET($AM$3,0,0,'Données projet'!$E$10+1,1))-AVERAGE(OFFSET($H$3,0,0,'Données projet'!$E$10+1,1))</f>
        <v>197.84745001458262</v>
      </c>
      <c r="AO152" s="62">
        <f t="shared" si="144"/>
        <v>290.24283321060068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5.819691289772476</v>
      </c>
      <c r="AV152" s="23">
        <f>EXP(-LN(2)/25)*AV151+(1-EXP(-LN(2)/25))/(LN(2)/25)*Calculateur!AQ152*Calculateur!AS152*VLOOKUP('Données projet'!$B$10,Paramètres!$A$1:$I$88,3,0)*0.475*44/12</f>
        <v>4.6418453743338777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10.461536664106355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projet'!$B$11,Paramètres!$A$1:$I$88,3,0)*VLOOKUP('Données projet'!$B$11,Paramètres!$A$1:$I$88,5,0)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377.49758296179459</v>
      </c>
      <c r="BJ152" s="62">
        <f t="shared" si="146"/>
        <v>297.9972591134441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50.138388329194676</v>
      </c>
      <c r="BQ152" s="23">
        <f>EXP(-LN(2)/25)*BQ151+(1-EXP(-LN(2)/25))/(LN(2)/25)*Calculateur!BL152*Calculateur!BN152*VLOOKUP('Données projet'!$B$11,Paramètres!$A$1:$I$88,3,0)*0.475*44/12</f>
        <v>13.302025191211637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63.44041352040631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projet'!$B$12,Paramètres!$A$1:$I$88,3,0)*VLOOKUP('Données projet'!$B$12,Paramètres!$A$1:$I$88,5,0)</f>
        <v>-1.064108801074326E-13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163.77317062597106</v>
      </c>
      <c r="CE152" s="62">
        <f t="shared" si="148"/>
        <v>122.66073843071686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19.091362732609724</v>
      </c>
      <c r="CL152" s="23">
        <f>EXP(-LN(2)/25)*CL151+(1-EXP(-LN(2)/25))/(LN(2)/25)*Calculateur!CG152*Calculateur!CI152*VLOOKUP('Données projet'!$B$12,Paramètres!$A$1:$I$88,3,0)*0.475*44/12</f>
        <v>4.4185598758630027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23.509922608472728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projet'!$B$13,Paramètres!$A$1:$I$88,3,0)*VLOOKUP('Données projet'!$B$13,Paramètres!$A$1:$I$88,5,0)</f>
        <v>-6.7984728957526396E-14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167.84261986874142</v>
      </c>
      <c r="CZ152" s="62">
        <f t="shared" si="150"/>
        <v>242.5860875239222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4.7860189996649334</v>
      </c>
      <c r="DG152" s="23">
        <f>EXP(-LN(2)/25)*DG151+(1-EXP(-LN(2)/25))/(LN(2)/25)*Calculateur!DB152*Calculateur!DD152*VLOOKUP('Données projet'!$B$13,Paramètres!$A$1:$I$88,3,0)*0.475*44/12</f>
        <v>3.7544002430245049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8.5404192426894383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1.5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5.5</v>
      </c>
      <c r="H153" s="70">
        <f t="shared" si="110"/>
        <v>234.66666666666666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projet'!$B$9,Paramètres!$A$1:$I$88,3,0)*VLOOKUP('Données projet'!$B$9,Paramètres!$A$1:$I$88,5,0)</f>
        <v>-1.0286385077051818E-13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387.16864229348823</v>
      </c>
      <c r="T153" s="62">
        <f t="shared" si="142"/>
        <v>260.88002342542893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84.260609666707225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84.260609666707225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projet'!$B$10,Paramètres!$A$1:$I$88,3,0)*VLOOKUP('Données projet'!$B$10,Paramètres!$A$1:$I$88,5,0)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291.34124001489249</v>
      </c>
      <c r="AN153" s="62">
        <f ca="1">AVERAGE(OFFSET($AM$3,0,0,'Données projet'!$E$10+1,1))-AVERAGE(OFFSET($H$3,0,0,'Données projet'!$E$10+1,1))</f>
        <v>197.84745001458262</v>
      </c>
      <c r="AO153" s="62">
        <f t="shared" si="144"/>
        <v>290.24283321060068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5.7055706932412242</v>
      </c>
      <c r="AV153" s="23">
        <f>EXP(-LN(2)/25)*AV152+(1-EXP(-LN(2)/25))/(LN(2)/25)*Calculateur!AQ153*Calculateur!AS153*VLOOKUP('Données projet'!$B$10,Paramètres!$A$1:$I$88,3,0)*0.475*44/12</f>
        <v>4.5149138684686783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10.220484561709902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projet'!$B$11,Paramètres!$A$1:$I$88,3,0)*VLOOKUP('Données projet'!$B$11,Paramètres!$A$1:$I$88,5,0)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377.49758296179459</v>
      </c>
      <c r="BJ153" s="62">
        <f t="shared" si="146"/>
        <v>297.9972591134441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49.15520511545639</v>
      </c>
      <c r="BQ153" s="23">
        <f>EXP(-LN(2)/25)*BQ152+(1-EXP(-LN(2)/25))/(LN(2)/25)*Calculateur!BL153*Calculateur!BN153*VLOOKUP('Données projet'!$B$11,Paramètres!$A$1:$I$88,3,0)*0.475*44/12</f>
        <v>12.938280612834852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62.093485728291242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projet'!$B$12,Paramètres!$A$1:$I$88,3,0)*VLOOKUP('Données projet'!$B$12,Paramètres!$A$1:$I$88,5,0)</f>
        <v>-1.064108801074326E-13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163.77317062597106</v>
      </c>
      <c r="CE153" s="62">
        <f t="shared" si="148"/>
        <v>122.66073843071686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18.716992754004707</v>
      </c>
      <c r="CL153" s="23">
        <f>EXP(-LN(2)/25)*CL152+(1-EXP(-LN(2)/25))/(LN(2)/25)*Calculateur!CG153*Calculateur!CI153*VLOOKUP('Données projet'!$B$12,Paramètres!$A$1:$I$88,3,0)*0.475*44/12</f>
        <v>4.2977341236955642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23.014726877700269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projet'!$B$13,Paramètres!$A$1:$I$88,3,0)*VLOOKUP('Données projet'!$B$13,Paramètres!$A$1:$I$88,5,0)</f>
        <v>-6.7984728957526396E-14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167.84261986874142</v>
      </c>
      <c r="CZ153" s="62">
        <f t="shared" si="150"/>
        <v>242.5860875239222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4.6921680862648483</v>
      </c>
      <c r="DG153" s="23">
        <f>EXP(-LN(2)/25)*DG152+(1-EXP(-LN(2)/25))/(LN(2)/25)*Calculateur!DB153*Calculateur!DD153*VLOOKUP('Données projet'!$B$13,Paramètres!$A$1:$I$88,3,0)*0.475*44/12</f>
        <v>3.6517359709436716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8.343904057208519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1.5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5.5</v>
      </c>
      <c r="H154" s="70">
        <f t="shared" si="110"/>
        <v>234.66666666666666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projet'!$B$9,Paramètres!$A$1:$I$88,3,0)*VLOOKUP('Données projet'!$B$9,Paramètres!$A$1:$I$88,5,0)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387.16864229348823</v>
      </c>
      <c r="T154" s="62">
        <f t="shared" si="142"/>
        <v>260.88002342542893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82.608310505040265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82.608310505040265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projet'!$B$10,Paramètres!$A$1:$I$88,3,0)*VLOOKUP('Données projet'!$B$10,Paramètres!$A$1:$I$88,5,0)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291.375798380314</v>
      </c>
      <c r="AN154" s="62">
        <f ca="1">AVERAGE(OFFSET($AM$3,0,0,'Données projet'!$E$10+1,1))-AVERAGE(OFFSET($H$3,0,0,'Données projet'!$E$10+1,1))</f>
        <v>197.84745001458262</v>
      </c>
      <c r="AO154" s="62">
        <f t="shared" si="144"/>
        <v>290.24283321060068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5.5936879320012602</v>
      </c>
      <c r="AV154" s="23">
        <f>EXP(-LN(2)/25)*AV153+(1-EXP(-LN(2)/25))/(LN(2)/25)*Calculateur!AQ154*Calculateur!AS154*VLOOKUP('Données projet'!$B$10,Paramètres!$A$1:$I$88,3,0)*0.475*44/12</f>
        <v>4.3914533113064005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9.9851412433076607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projet'!$B$11,Paramètres!$A$1:$I$88,3,0)*VLOOKUP('Données projet'!$B$11,Paramètres!$A$1:$I$88,5,0)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377.49758296179459</v>
      </c>
      <c r="BJ154" s="62">
        <f t="shared" si="146"/>
        <v>297.9972591134441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48.191301524856961</v>
      </c>
      <c r="BQ154" s="23">
        <f>EXP(-LN(2)/25)*BQ153+(1-EXP(-LN(2)/25))/(LN(2)/25)*Calculateur!BL154*Calculateur!BN154*VLOOKUP('Données projet'!$B$11,Paramètres!$A$1:$I$88,3,0)*0.475*44/12</f>
        <v>12.584482649082277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60.775784173939236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projet'!$B$12,Paramètres!$A$1:$I$88,3,0)*VLOOKUP('Données projet'!$B$12,Paramètres!$A$1:$I$88,5,0)</f>
        <v>-1.064108801074326E-13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163.77317062597106</v>
      </c>
      <c r="CE154" s="62">
        <f t="shared" si="148"/>
        <v>122.66073843071686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18.349963942336995</v>
      </c>
      <c r="CL154" s="23">
        <f>EXP(-LN(2)/25)*CL153+(1-EXP(-LN(2)/25))/(LN(2)/25)*Calculateur!CG154*Calculateur!CI154*VLOOKUP('Données projet'!$B$12,Paramètres!$A$1:$I$88,3,0)*0.475*44/12</f>
        <v>4.1802123580750941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22.530176300412087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projet'!$B$13,Paramètres!$A$1:$I$88,3,0)*VLOOKUP('Données projet'!$B$13,Paramètres!$A$1:$I$88,5,0)</f>
        <v>-6.7984728957526396E-14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167.84261986874142</v>
      </c>
      <c r="CZ154" s="62">
        <f t="shared" si="150"/>
        <v>242.5860875239222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4.6001575320331343</v>
      </c>
      <c r="DG154" s="23">
        <f>EXP(-LN(2)/25)*DG153+(1-EXP(-LN(2)/25))/(LN(2)/25)*Calculateur!DB154*Calculateur!DD154*VLOOKUP('Données projet'!$B$13,Paramètres!$A$1:$I$88,3,0)*0.475*44/12</f>
        <v>3.5518790587817684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8.1520365908149017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1.5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5.5</v>
      </c>
      <c r="H155" s="70">
        <f t="shared" si="110"/>
        <v>234.66666666666666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projet'!$B$9,Paramètres!$A$1:$I$88,3,0)*VLOOKUP('Données projet'!$B$9,Paramètres!$A$1:$I$88,5,0)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387.16864229348823</v>
      </c>
      <c r="T155" s="62">
        <f t="shared" si="142"/>
        <v>260.88002342542893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80.988411922130624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80.988411922130624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projet'!$B$10,Paramètres!$A$1:$I$88,3,0)*VLOOKUP('Données projet'!$B$10,Paramètres!$A$1:$I$88,5,0)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291.40975723535644</v>
      </c>
      <c r="AN155" s="62">
        <f ca="1">AVERAGE(OFFSET($AM$3,0,0,'Données projet'!$E$10+1,1))-AVERAGE(OFFSET($H$3,0,0,'Données projet'!$E$10+1,1))</f>
        <v>197.84745001458262</v>
      </c>
      <c r="AO155" s="62">
        <f t="shared" si="144"/>
        <v>290.24283321060068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5.4839991234674654</v>
      </c>
      <c r="AV155" s="23">
        <f>EXP(-LN(2)/25)*AV154+(1-EXP(-LN(2)/25))/(LN(2)/25)*Calculateur!AQ155*Calculateur!AS155*VLOOKUP('Données projet'!$B$10,Paramètres!$A$1:$I$88,3,0)*0.475*44/12</f>
        <v>4.2713687895722341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9.7553679130396986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projet'!$B$11,Paramètres!$A$1:$I$88,3,0)*VLOOKUP('Données projet'!$B$11,Paramètres!$A$1:$I$88,5,0)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377.49758296179459</v>
      </c>
      <c r="BJ155" s="62">
        <f t="shared" si="146"/>
        <v>297.9972591134441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47.246299495746051</v>
      </c>
      <c r="BQ155" s="23">
        <f>EXP(-LN(2)/25)*BQ154+(1-EXP(-LN(2)/25))/(LN(2)/25)*Calculateur!BL155*Calculateur!BN155*VLOOKUP('Données projet'!$B$11,Paramètres!$A$1:$I$88,3,0)*0.475*44/12</f>
        <v>12.240359309253941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59.48665880499999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projet'!$B$12,Paramètres!$A$1:$I$88,3,0)*VLOOKUP('Données projet'!$B$12,Paramètres!$A$1:$I$88,5,0)</f>
        <v>-1.064108801074326E-13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163.77317062597106</v>
      </c>
      <c r="CE155" s="62">
        <f t="shared" si="148"/>
        <v>122.66073843071686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17.990132341800617</v>
      </c>
      <c r="CL155" s="23">
        <f>EXP(-LN(2)/25)*CL154+(1-EXP(-LN(2)/25))/(LN(2)/25)*Calculateur!CG155*Calculateur!CI155*VLOOKUP('Données projet'!$B$12,Paramètres!$A$1:$I$88,3,0)*0.475*44/12</f>
        <v>4.0659042313157165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22.056036573116334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projet'!$B$13,Paramètres!$A$1:$I$88,3,0)*VLOOKUP('Données projet'!$B$13,Paramètres!$A$1:$I$88,5,0)</f>
        <v>-6.7984728957526396E-14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167.84261986874142</v>
      </c>
      <c r="CZ155" s="62">
        <f t="shared" si="150"/>
        <v>242.5860875239222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4.5099512486490072</v>
      </c>
      <c r="DG155" s="23">
        <f>EXP(-LN(2)/25)*DG154+(1-EXP(-LN(2)/25))/(LN(2)/25)*Calculateur!DB155*Calculateur!DD155*VLOOKUP('Données projet'!$B$13,Paramètres!$A$1:$I$88,3,0)*0.475*44/12</f>
        <v>3.4547527391341792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7.9647039877831869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1.5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5.5</v>
      </c>
      <c r="H156" s="70">
        <f t="shared" si="110"/>
        <v>234.66666666666666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projet'!$B$9,Paramètres!$A$1:$I$88,3,0)*VLOOKUP('Données projet'!$B$9,Paramètres!$A$1:$I$88,5,0)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387.16864229348823</v>
      </c>
      <c r="T156" s="62">
        <f t="shared" si="142"/>
        <v>260.88002342542893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79.400278562391264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79.400278562391264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projet'!$B$10,Paramètres!$A$1:$I$88,3,0)*VLOOKUP('Données projet'!$B$10,Paramètres!$A$1:$I$88,5,0)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291.44312698018439</v>
      </c>
      <c r="AN156" s="62">
        <f ca="1">AVERAGE(OFFSET($AM$3,0,0,'Données projet'!$E$10+1,1))-AVERAGE(OFFSET($H$3,0,0,'Données projet'!$E$10+1,1))</f>
        <v>197.84745001458262</v>
      </c>
      <c r="AO156" s="62">
        <f t="shared" si="144"/>
        <v>290.24283321060068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5.3764612455654515</v>
      </c>
      <c r="AV156" s="23">
        <f>EXP(-LN(2)/25)*AV155+(1-EXP(-LN(2)/25))/(LN(2)/25)*Calculateur!AQ156*Calculateur!AS156*VLOOKUP('Données projet'!$B$10,Paramètres!$A$1:$I$88,3,0)*0.475*44/12</f>
        <v>4.1545679853998587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9.5310292309653093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projet'!$B$11,Paramètres!$A$1:$I$88,3,0)*VLOOKUP('Données projet'!$B$11,Paramètres!$A$1:$I$88,5,0)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377.49758296179459</v>
      </c>
      <c r="BJ156" s="62">
        <f t="shared" si="146"/>
        <v>297.9972591134441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46.31982838003168</v>
      </c>
      <c r="BQ156" s="23">
        <f>EXP(-LN(2)/25)*BQ155+(1-EXP(-LN(2)/25))/(LN(2)/25)*Calculateur!BL156*Calculateur!BN156*VLOOKUP('Données projet'!$B$11,Paramètres!$A$1:$I$88,3,0)*0.475*44/12</f>
        <v>11.905646040249872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58.22547442028155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projet'!$B$12,Paramètres!$A$1:$I$88,3,0)*VLOOKUP('Données projet'!$B$12,Paramètres!$A$1:$I$88,5,0)</f>
        <v>-1.064108801074326E-13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163.77317062597106</v>
      </c>
      <c r="CE156" s="62">
        <f t="shared" si="148"/>
        <v>122.66073843071686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17.637356819475151</v>
      </c>
      <c r="CL156" s="23">
        <f>EXP(-LN(2)/25)*CL155+(1-EXP(-LN(2)/25))/(LN(2)/25)*Calculateur!CG156*Calculateur!CI156*VLOOKUP('Données projet'!$B$12,Paramètres!$A$1:$I$88,3,0)*0.475*44/12</f>
        <v>3.9547218662937773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21.592078685768929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projet'!$B$13,Paramètres!$A$1:$I$88,3,0)*VLOOKUP('Données projet'!$B$13,Paramètres!$A$1:$I$88,5,0)</f>
        <v>-6.7984728957526396E-14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167.84261986874142</v>
      </c>
      <c r="CZ156" s="62">
        <f t="shared" si="150"/>
        <v>242.5860875239222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4.4215138554616429</v>
      </c>
      <c r="DG156" s="23">
        <f>EXP(-LN(2)/25)*DG155+(1-EXP(-LN(2)/25))/(LN(2)/25)*Calculateur!DB156*Calculateur!DD156*VLOOKUP('Données projet'!$B$13,Paramètres!$A$1:$I$88,3,0)*0.475*44/12</f>
        <v>3.3602823438050047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7.7817961992666476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1.5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5.5</v>
      </c>
      <c r="H157" s="70">
        <f t="shared" si="110"/>
        <v>234.66666666666666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projet'!$B$9,Paramètres!$A$1:$I$88,3,0)*VLOOKUP('Données projet'!$B$9,Paramètres!$A$1:$I$88,5,0)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387.16864229348823</v>
      </c>
      <c r="T157" s="62">
        <f t="shared" si="142"/>
        <v>260.88002342542893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77.843287529170695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77.843287529170695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projet'!$B$10,Paramètres!$A$1:$I$88,3,0)*VLOOKUP('Données projet'!$B$10,Paramètres!$A$1:$I$88,5,0)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291.47591783454322</v>
      </c>
      <c r="AN157" s="62">
        <f ca="1">AVERAGE(OFFSET($AM$3,0,0,'Données projet'!$E$10+1,1))-AVERAGE(OFFSET($H$3,0,0,'Données projet'!$E$10+1,1))</f>
        <v>197.84745001458262</v>
      </c>
      <c r="AO157" s="62">
        <f t="shared" si="144"/>
        <v>290.24283321060068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5.271032119857467</v>
      </c>
      <c r="AV157" s="23">
        <f>EXP(-LN(2)/25)*AV156+(1-EXP(-LN(2)/25))/(LN(2)/25)*Calculateur!AQ157*Calculateur!AS157*VLOOKUP('Données projet'!$B$10,Paramètres!$A$1:$I$88,3,0)*0.475*44/12</f>
        <v>4.0409611053598642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9.3119932252173321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projet'!$B$11,Paramètres!$A$1:$I$88,3,0)*VLOOKUP('Données projet'!$B$11,Paramètres!$A$1:$I$88,5,0)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377.49758296179459</v>
      </c>
      <c r="BJ157" s="62">
        <f t="shared" si="146"/>
        <v>297.9972591134441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45.411524797804887</v>
      </c>
      <c r="BQ157" s="23">
        <f>EXP(-LN(2)/25)*BQ156+(1-EXP(-LN(2)/25))/(LN(2)/25)*Calculateur!BL157*Calculateur!BN157*VLOOKUP('Données projet'!$B$11,Paramètres!$A$1:$I$88,3,0)*0.475*44/12</f>
        <v>11.580085523188524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56.991610320993409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projet'!$B$12,Paramètres!$A$1:$I$88,3,0)*VLOOKUP('Données projet'!$B$12,Paramètres!$A$1:$I$88,5,0)</f>
        <v>-1.064108801074326E-13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163.77317062597106</v>
      </c>
      <c r="CE157" s="62">
        <f t="shared" si="148"/>
        <v>122.66073843071686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17.291499009970668</v>
      </c>
      <c r="CL157" s="23">
        <f>EXP(-LN(2)/25)*CL156+(1-EXP(-LN(2)/25))/(LN(2)/25)*Calculateur!CG157*Calculateur!CI157*VLOOKUP('Données projet'!$B$12,Paramètres!$A$1:$I$88,3,0)*0.475*44/12</f>
        <v>3.8465797888901898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21.138078798860857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projet'!$B$13,Paramètres!$A$1:$I$88,3,0)*VLOOKUP('Données projet'!$B$13,Paramètres!$A$1:$I$88,5,0)</f>
        <v>-6.7984728957526396E-14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167.84261986874142</v>
      </c>
      <c r="CZ157" s="62">
        <f t="shared" si="150"/>
        <v>242.5860875239222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4.3348106656131993</v>
      </c>
      <c r="DG157" s="23">
        <f>EXP(-LN(2)/25)*DG156+(1-EXP(-LN(2)/25))/(LN(2)/25)*Calculateur!DB157*Calculateur!DD157*VLOOKUP('Données projet'!$B$13,Paramètres!$A$1:$I$88,3,0)*0.475*44/12</f>
        <v>3.2683952464040882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7.6032059120172875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1.5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5.5</v>
      </c>
      <c r="H158" s="70">
        <f t="shared" si="110"/>
        <v>234.66666666666666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projet'!$B$9,Paramètres!$A$1:$I$88,3,0)*VLOOKUP('Données projet'!$B$9,Paramètres!$A$1:$I$88,5,0)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387.16864229348823</v>
      </c>
      <c r="T158" s="62">
        <f t="shared" si="142"/>
        <v>260.88002342542893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76.316828140440819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76.316828140440819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projet'!$B$10,Paramètres!$A$1:$I$88,3,0)*VLOOKUP('Données projet'!$B$10,Paramètres!$A$1:$I$88,5,0)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291.50813984088836</v>
      </c>
      <c r="AN158" s="62">
        <f ca="1">AVERAGE(OFFSET($AM$3,0,0,'Données projet'!$E$10+1,1))-AVERAGE(OFFSET($H$3,0,0,'Données projet'!$E$10+1,1))</f>
        <v>197.84745001458262</v>
      </c>
      <c r="AO158" s="62">
        <f t="shared" si="144"/>
        <v>290.24283321060068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5.1676703949991989</v>
      </c>
      <c r="AV158" s="23">
        <f>EXP(-LN(2)/25)*AV157+(1-EXP(-LN(2)/25))/(LN(2)/25)*Calculateur!AQ158*Calculateur!AS158*VLOOKUP('Données projet'!$B$10,Paramètres!$A$1:$I$88,3,0)*0.475*44/12</f>
        <v>3.9304608114288899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9.0981312064280893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projet'!$B$11,Paramètres!$A$1:$I$88,3,0)*VLOOKUP('Données projet'!$B$11,Paramètres!$A$1:$I$88,5,0)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377.49758296179459</v>
      </c>
      <c r="BJ158" s="62">
        <f t="shared" si="146"/>
        <v>297.9972591134441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44.521032494815081</v>
      </c>
      <c r="BQ158" s="23">
        <f>EXP(-LN(2)/25)*BQ157+(1-EXP(-LN(2)/25))/(LN(2)/25)*Calculateur!BL158*Calculateur!BN158*VLOOKUP('Données projet'!$B$11,Paramètres!$A$1:$I$88,3,0)*0.475*44/12</f>
        <v>11.263427475586703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55.784459970401784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projet'!$B$12,Paramètres!$A$1:$I$88,3,0)*VLOOKUP('Données projet'!$B$12,Paramètres!$A$1:$I$88,5,0)</f>
        <v>-1.064108801074326E-13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163.77317062597106</v>
      </c>
      <c r="CE158" s="62">
        <f t="shared" si="148"/>
        <v>122.66073843071686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16.952423261158131</v>
      </c>
      <c r="CL158" s="23">
        <f>EXP(-LN(2)/25)*CL157+(1-EXP(-LN(2)/25))/(LN(2)/25)*Calculateur!CG158*Calculateur!CI158*VLOOKUP('Données projet'!$B$12,Paramètres!$A$1:$I$88,3,0)*0.475*44/12</f>
        <v>3.7413948622801478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20.69381812343828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projet'!$B$13,Paramètres!$A$1:$I$88,3,0)*VLOOKUP('Données projet'!$B$13,Paramètres!$A$1:$I$88,5,0)</f>
        <v>-6.7984728957526396E-14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167.84261986874142</v>
      </c>
      <c r="CZ158" s="62">
        <f t="shared" si="150"/>
        <v>242.5860875239222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4.2498076724339597</v>
      </c>
      <c r="DG158" s="23">
        <f>EXP(-LN(2)/25)*DG157+(1-EXP(-LN(2)/25))/(LN(2)/25)*Calculateur!DB158*Calculateur!DD158*VLOOKUP('Données projet'!$B$13,Paramètres!$A$1:$I$88,3,0)*0.475*44/12</f>
        <v>3.1790208065137322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7.4288284789476915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1.5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5.5</v>
      </c>
      <c r="H159" s="70">
        <f t="shared" si="110"/>
        <v>234.66666666666666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projet'!$B$9,Paramètres!$A$1:$I$88,3,0)*VLOOKUP('Données projet'!$B$9,Paramètres!$A$1:$I$88,5,0)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387.16864229348823</v>
      </c>
      <c r="T159" s="62">
        <f t="shared" si="142"/>
        <v>260.88002342542893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74.820301689275638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74.820301689275638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projet'!$B$10,Paramètres!$A$1:$I$88,3,0)*VLOOKUP('Données projet'!$B$10,Paramètres!$A$1:$I$88,5,0)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291.53980286746088</v>
      </c>
      <c r="AN159" s="62">
        <f ca="1">AVERAGE(OFFSET($AM$3,0,0,'Données projet'!$E$10+1,1))-AVERAGE(OFFSET($H$3,0,0,'Données projet'!$E$10+1,1))</f>
        <v>197.84745001458262</v>
      </c>
      <c r="AO159" s="62">
        <f t="shared" si="144"/>
        <v>290.24283321060068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5.0663355305209743</v>
      </c>
      <c r="AV159" s="23">
        <f>EXP(-LN(2)/25)*AV158+(1-EXP(-LN(2)/25))/(LN(2)/25)*Calculateur!AQ159*Calculateur!AS159*VLOOKUP('Données projet'!$B$10,Paramètres!$A$1:$I$88,3,0)*0.475*44/12</f>
        <v>3.8229821538464162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8.8893176843673913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projet'!$B$11,Paramètres!$A$1:$I$88,3,0)*VLOOKUP('Données projet'!$B$11,Paramètres!$A$1:$I$88,5,0)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377.49758296179459</v>
      </c>
      <c r="BJ159" s="62">
        <f t="shared" si="146"/>
        <v>297.9972591134441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43.64800220274023</v>
      </c>
      <c r="BQ159" s="23">
        <f>EXP(-LN(2)/25)*BQ158+(1-EXP(-LN(2)/25))/(LN(2)/25)*Calculateur!BL159*Calculateur!BN159*VLOOKUP('Données projet'!$B$11,Paramètres!$A$1:$I$88,3,0)*0.475*44/12</f>
        <v>10.955428458948877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54.603430661689103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projet'!$B$12,Paramètres!$A$1:$I$88,3,0)*VLOOKUP('Données projet'!$B$12,Paramètres!$A$1:$I$88,5,0)</f>
        <v>-1.064108801074326E-13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163.77317062597106</v>
      </c>
      <c r="CE159" s="62">
        <f t="shared" si="148"/>
        <v>122.66073843071686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16.619996580964024</v>
      </c>
      <c r="CL159" s="23">
        <f>EXP(-LN(2)/25)*CL158+(1-EXP(-LN(2)/25))/(LN(2)/25)*Calculateur!CG159*Calculateur!CI159*VLOOKUP('Données projet'!$B$12,Paramètres!$A$1:$I$88,3,0)*0.475*44/12</f>
        <v>3.6390862230196923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20.259082803983716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projet'!$B$13,Paramètres!$A$1:$I$88,3,0)*VLOOKUP('Données projet'!$B$13,Paramètres!$A$1:$I$88,5,0)</f>
        <v>-6.7984728957526396E-14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167.84261986874142</v>
      </c>
      <c r="CZ159" s="62">
        <f t="shared" si="150"/>
        <v>242.5860875239222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4.1664715361042584</v>
      </c>
      <c r="DG159" s="23">
        <f>EXP(-LN(2)/25)*DG158+(1-EXP(-LN(2)/25))/(LN(2)/25)*Calculateur!DB159*Calculateur!DD159*VLOOKUP('Données projet'!$B$13,Paramètres!$A$1:$I$88,3,0)*0.475*44/12</f>
        <v>3.0920903153821757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7.2585618514864336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1.5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5.5</v>
      </c>
      <c r="H160" s="70">
        <f t="shared" si="110"/>
        <v>234.66666666666666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projet'!$B$9,Paramètres!$A$1:$I$88,3,0)*VLOOKUP('Données projet'!$B$9,Paramètres!$A$1:$I$88,5,0)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387.16864229348823</v>
      </c>
      <c r="T160" s="62">
        <f t="shared" si="142"/>
        <v>260.88002342542893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73.35312120902681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73.35312120902681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projet'!$B$10,Paramètres!$A$1:$I$88,3,0)*VLOOKUP('Données projet'!$B$10,Paramètres!$A$1:$I$88,5,0)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291.57091661131039</v>
      </c>
      <c r="AN160" s="62">
        <f ca="1">AVERAGE(OFFSET($AM$3,0,0,'Données projet'!$E$10+1,1))-AVERAGE(OFFSET($H$3,0,0,'Données projet'!$E$10+1,1))</f>
        <v>197.84745001458262</v>
      </c>
      <c r="AO160" s="62">
        <f t="shared" si="144"/>
        <v>290.24283321060068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4.9669877809270035</v>
      </c>
      <c r="AV160" s="23">
        <f>EXP(-LN(2)/25)*AV159+(1-EXP(-LN(2)/25))/(LN(2)/25)*Calculateur!AQ160*Calculateur!AS160*VLOOKUP('Données projet'!$B$10,Paramètres!$A$1:$I$88,3,0)*0.475*44/12</f>
        <v>3.7184425058075918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8.6854302867345954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projet'!$B$11,Paramètres!$A$1:$I$88,3,0)*VLOOKUP('Données projet'!$B$11,Paramètres!$A$1:$I$88,5,0)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377.49758296179459</v>
      </c>
      <c r="BJ160" s="62">
        <f t="shared" si="146"/>
        <v>297.9972591134441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42.792091502197067</v>
      </c>
      <c r="BQ160" s="23">
        <f>EXP(-LN(2)/25)*BQ159+(1-EXP(-LN(2)/25))/(LN(2)/25)*Calculateur!BL160*Calculateur!BN160*VLOOKUP('Données projet'!$B$11,Paramètres!$A$1:$I$88,3,0)*0.475*44/12</f>
        <v>10.655851691617976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53.447943193815043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projet'!$B$12,Paramètres!$A$1:$I$88,3,0)*VLOOKUP('Données projet'!$B$12,Paramètres!$A$1:$I$88,5,0)</f>
        <v>-1.064108801074326E-13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163.77317062597106</v>
      </c>
      <c r="CE160" s="62">
        <f t="shared" si="148"/>
        <v>122.66073843071686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16.294088585208268</v>
      </c>
      <c r="CL160" s="23">
        <f>EXP(-LN(2)/25)*CL159+(1-EXP(-LN(2)/25))/(LN(2)/25)*Calculateur!CG160*Calculateur!CI160*VLOOKUP('Données projet'!$B$12,Paramètres!$A$1:$I$88,3,0)*0.475*44/12</f>
        <v>3.5395752188799916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19.83366380408826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projet'!$B$13,Paramètres!$A$1:$I$88,3,0)*VLOOKUP('Données projet'!$B$13,Paramètres!$A$1:$I$88,5,0)</f>
        <v>-6.7984728957526396E-14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167.84261986874142</v>
      </c>
      <c r="CZ160" s="62">
        <f t="shared" si="150"/>
        <v>242.5860875239222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4.0847695705779588</v>
      </c>
      <c r="DG160" s="23">
        <f>EXP(-LN(2)/25)*DG159+(1-EXP(-LN(2)/25))/(LN(2)/25)*Calculateur!DB160*Calculateur!DD160*VLOOKUP('Données projet'!$B$13,Paramètres!$A$1:$I$88,3,0)*0.475*44/12</f>
        <v>3.0075369431020875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7.0923065136800467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1.5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5.5</v>
      </c>
      <c r="H161" s="70">
        <f t="shared" si="110"/>
        <v>234.66666666666666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projet'!$B$9,Paramètres!$A$1:$I$88,3,0)*VLOOKUP('Données projet'!$B$9,Paramètres!$A$1:$I$88,5,0)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387.16864229348823</v>
      </c>
      <c r="T161" s="62">
        <f t="shared" si="142"/>
        <v>260.88002342542893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71.914711243103923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71.914711243103923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projet'!$B$10,Paramètres!$A$1:$I$88,3,0)*VLOOKUP('Données projet'!$B$10,Paramètres!$A$1:$I$88,5,0)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291.601490601264</v>
      </c>
      <c r="AN161" s="62">
        <f ca="1">AVERAGE(OFFSET($AM$3,0,0,'Données projet'!$E$10+1,1))-AVERAGE(OFFSET($H$3,0,0,'Données projet'!$E$10+1,1))</f>
        <v>197.84745001458262</v>
      </c>
      <c r="AO161" s="62">
        <f t="shared" si="144"/>
        <v>290.24283321060068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4.8695881801064269</v>
      </c>
      <c r="AV161" s="23">
        <f>EXP(-LN(2)/25)*AV160+(1-EXP(-LN(2)/25))/(LN(2)/25)*Calculateur!AQ161*Calculateur!AS161*VLOOKUP('Données projet'!$B$10,Paramètres!$A$1:$I$88,3,0)*0.475*44/12</f>
        <v>3.6167614999418904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8.4863496800483169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projet'!$B$11,Paramètres!$A$1:$I$88,3,0)*VLOOKUP('Données projet'!$B$11,Paramètres!$A$1:$I$88,5,0)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377.49758296179459</v>
      </c>
      <c r="BJ161" s="62">
        <f t="shared" si="146"/>
        <v>297.9972591134441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41.952964688437582</v>
      </c>
      <c r="BQ161" s="23">
        <f>EXP(-LN(2)/25)*BQ160+(1-EXP(-LN(2)/25))/(LN(2)/25)*Calculateur!BL161*Calculateur!BN161*VLOOKUP('Données projet'!$B$11,Paramètres!$A$1:$I$88,3,0)*0.475*44/12</f>
        <v>10.364466866743795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52.317431555181379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projet'!$B$12,Paramètres!$A$1:$I$88,3,0)*VLOOKUP('Données projet'!$B$12,Paramètres!$A$1:$I$88,5,0)</f>
        <v>-1.064108801074326E-13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163.77317062597106</v>
      </c>
      <c r="CE161" s="62">
        <f t="shared" si="148"/>
        <v>122.66073843071686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15.974571446465035</v>
      </c>
      <c r="CL161" s="23">
        <f>EXP(-LN(2)/25)*CL160+(1-EXP(-LN(2)/25))/(LN(2)/25)*Calculateur!CG161*Calculateur!CI161*VLOOKUP('Données projet'!$B$12,Paramètres!$A$1:$I$88,3,0)*0.475*44/12</f>
        <v>3.4427853483815474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19.417356794846583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projet'!$B$13,Paramètres!$A$1:$I$88,3,0)*VLOOKUP('Données projet'!$B$13,Paramètres!$A$1:$I$88,5,0)</f>
        <v>-6.7984728957526396E-14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167.84261986874142</v>
      </c>
      <c r="CZ161" s="62">
        <f t="shared" si="150"/>
        <v>242.5860875239222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4.0046697307623518</v>
      </c>
      <c r="DG161" s="23">
        <f>EXP(-LN(2)/25)*DG160+(1-EXP(-LN(2)/25))/(LN(2)/25)*Calculateur!DB161*Calculateur!DD161*VLOOKUP('Données projet'!$B$13,Paramètres!$A$1:$I$88,3,0)*0.475*44/12</f>
        <v>2.9252956872334668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6.9299654179958186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1.5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5.5</v>
      </c>
      <c r="H162" s="70">
        <f t="shared" si="110"/>
        <v>234.66666666666666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projet'!$B$9,Paramètres!$A$1:$I$88,3,0)*VLOOKUP('Données projet'!$B$9,Paramètres!$A$1:$I$88,5,0)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387.16864229348823</v>
      </c>
      <c r="T162" s="62">
        <f t="shared" si="142"/>
        <v>260.88002342542893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70.504507619269333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70.504507619269333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projet'!$B$10,Paramètres!$A$1:$I$88,3,0)*VLOOKUP('Données projet'!$B$10,Paramètres!$A$1:$I$88,5,0)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291.63153420084512</v>
      </c>
      <c r="AN162" s="62">
        <f ca="1">AVERAGE(OFFSET($AM$3,0,0,'Données projet'!$E$10+1,1))-AVERAGE(OFFSET($H$3,0,0,'Données projet'!$E$10+1,1))</f>
        <v>197.84745001458262</v>
      </c>
      <c r="AO162" s="62">
        <f t="shared" si="144"/>
        <v>290.24283321060068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4.774098526050051</v>
      </c>
      <c r="AV162" s="23">
        <f>EXP(-LN(2)/25)*AV161+(1-EXP(-LN(2)/25))/(LN(2)/25)*Calculateur!AQ162*Calculateur!AS162*VLOOKUP('Données projet'!$B$10,Paramètres!$A$1:$I$88,3,0)*0.475*44/12</f>
        <v>3.5178609665287586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8.29195949257881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projet'!$B$11,Paramètres!$A$1:$I$88,3,0)*VLOOKUP('Données projet'!$B$11,Paramètres!$A$1:$I$88,5,0)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377.49758296179459</v>
      </c>
      <c r="BJ162" s="62">
        <f t="shared" si="146"/>
        <v>297.9972591134441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41.130292639679098</v>
      </c>
      <c r="BQ162" s="23">
        <f>EXP(-LN(2)/25)*BQ161+(1-EXP(-LN(2)/25))/(LN(2)/25)*Calculateur!BL162*Calculateur!BN162*VLOOKUP('Données projet'!$B$11,Paramètres!$A$1:$I$88,3,0)*0.475*44/12</f>
        <v>10.081049975229062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51.211342614908162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projet'!$B$12,Paramètres!$A$1:$I$88,3,0)*VLOOKUP('Données projet'!$B$12,Paramètres!$A$1:$I$88,5,0)</f>
        <v>-1.064108801074326E-13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163.77317062597106</v>
      </c>
      <c r="CE162" s="62">
        <f t="shared" si="148"/>
        <v>122.66073843071686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15.661319843926345</v>
      </c>
      <c r="CL162" s="23">
        <f>EXP(-LN(2)/25)*CL161+(1-EXP(-LN(2)/25))/(LN(2)/25)*Calculateur!CG162*Calculateur!CI162*VLOOKUP('Données projet'!$B$12,Paramètres!$A$1:$I$88,3,0)*0.475*44/12</f>
        <v>3.3486422019818409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19.009962045908186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projet'!$B$13,Paramètres!$A$1:$I$88,3,0)*VLOOKUP('Données projet'!$B$13,Paramètres!$A$1:$I$88,5,0)</f>
        <v>-6.7984728957526396E-14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167.84261986874142</v>
      </c>
      <c r="CZ162" s="62">
        <f t="shared" si="150"/>
        <v>242.5860875239222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3.9261405999494503</v>
      </c>
      <c r="DG162" s="23">
        <f>EXP(-LN(2)/25)*DG161+(1-EXP(-LN(2)/25))/(LN(2)/25)*Calculateur!DB162*Calculateur!DD162*VLOOKUP('Données projet'!$B$13,Paramètres!$A$1:$I$88,3,0)*0.475*44/12</f>
        <v>2.8453033228314535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6.7714439227809038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1.5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5.5</v>
      </c>
      <c r="H163" s="70">
        <f t="shared" si="110"/>
        <v>234.66666666666666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projet'!$B$9,Paramètres!$A$1:$I$88,3,0)*VLOOKUP('Données projet'!$B$9,Paramètres!$A$1:$I$88,5,0)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387.16864229348823</v>
      </c>
      <c r="T163" s="62">
        <f t="shared" si="142"/>
        <v>260.88002342542893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69.121957228358866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69.121957228358866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projet'!$B$10,Paramètres!$A$1:$I$88,3,0)*VLOOKUP('Données projet'!$B$10,Paramètres!$A$1:$I$88,5,0)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291.66105661114091</v>
      </c>
      <c r="AN163" s="62">
        <f ca="1">AVERAGE(OFFSET($AM$3,0,0,'Données projet'!$E$10+1,1))-AVERAGE(OFFSET($H$3,0,0,'Données projet'!$E$10+1,1))</f>
        <v>197.84745001458262</v>
      </c>
      <c r="AO163" s="62">
        <f t="shared" si="144"/>
        <v>290.24283321060068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4.6804813658667825</v>
      </c>
      <c r="AV163" s="23">
        <f>EXP(-LN(2)/25)*AV162+(1-EXP(-LN(2)/25))/(LN(2)/25)*Calculateur!AQ163*Calculateur!AS163*VLOOKUP('Données projet'!$B$10,Paramètres!$A$1:$I$88,3,0)*0.475*44/12</f>
        <v>3.4216648734027615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8.102146239269544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projet'!$B$11,Paramètres!$A$1:$I$88,3,0)*VLOOKUP('Données projet'!$B$11,Paramètres!$A$1:$I$88,5,0)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377.49758296179459</v>
      </c>
      <c r="BJ163" s="62">
        <f t="shared" si="146"/>
        <v>297.9972591134441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40.323752688016363</v>
      </c>
      <c r="BQ163" s="23">
        <f>EXP(-LN(2)/25)*BQ162+(1-EXP(-LN(2)/25))/(LN(2)/25)*Calculateur!BL163*Calculateur!BN163*VLOOKUP('Données projet'!$B$11,Paramètres!$A$1:$I$88,3,0)*0.475*44/12</f>
        <v>9.8053831335170454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50.12913582153341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projet'!$B$12,Paramètres!$A$1:$I$88,3,0)*VLOOKUP('Données projet'!$B$12,Paramètres!$A$1:$I$88,5,0)</f>
        <v>-1.064108801074326E-13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163.77317062597106</v>
      </c>
      <c r="CE163" s="62">
        <f t="shared" si="148"/>
        <v>122.66073843071686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15.354210914248826</v>
      </c>
      <c r="CL163" s="23">
        <f>EXP(-LN(2)/25)*CL162+(1-EXP(-LN(2)/25))/(LN(2)/25)*Calculateur!CG163*Calculateur!CI163*VLOOKUP('Données projet'!$B$12,Paramètres!$A$1:$I$88,3,0)*0.475*44/12</f>
        <v>3.2570734048712073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18.611284319120035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projet'!$B$13,Paramètres!$A$1:$I$88,3,0)*VLOOKUP('Données projet'!$B$13,Paramètres!$A$1:$I$88,5,0)</f>
        <v>-6.7984728957526396E-14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167.84261986874142</v>
      </c>
      <c r="CZ163" s="62">
        <f t="shared" si="150"/>
        <v>242.5860875239222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3.8491513774937496</v>
      </c>
      <c r="DG163" s="23">
        <f>EXP(-LN(2)/25)*DG162+(1-EXP(-LN(2)/25))/(LN(2)/25)*Calculateur!DB163*Calculateur!DD163*VLOOKUP('Données projet'!$B$13,Paramètres!$A$1:$I$88,3,0)*0.475*44/12</f>
        <v>2.7674983538406286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6.6166497313343786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1.5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5.5</v>
      </c>
      <c r="H164" s="70">
        <f t="shared" si="110"/>
        <v>234.66666666666666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projet'!$B$9,Paramètres!$A$1:$I$88,3,0)*VLOOKUP('Données projet'!$B$9,Paramètres!$A$1:$I$88,5,0)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387.16864229348823</v>
      </c>
      <c r="T164" s="62">
        <f t="shared" si="142"/>
        <v>260.88002342542893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67.766517807341685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67.766517807341685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projet'!$B$10,Paramètres!$A$1:$I$88,3,0)*VLOOKUP('Données projet'!$B$10,Paramètres!$A$1:$I$88,5,0)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291.69006687362031</v>
      </c>
      <c r="AN164" s="62">
        <f ca="1">AVERAGE(OFFSET($AM$3,0,0,'Données projet'!$E$10+1,1))-AVERAGE(OFFSET($H$3,0,0,'Données projet'!$E$10+1,1))</f>
        <v>197.84745001458262</v>
      </c>
      <c r="AO164" s="62">
        <f t="shared" si="144"/>
        <v>290.24283321060068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4.5886999810938791</v>
      </c>
      <c r="AV164" s="23">
        <f>EXP(-LN(2)/25)*AV163+(1-EXP(-LN(2)/25))/(LN(2)/25)*Calculateur!AQ164*Calculateur!AS164*VLOOKUP('Données projet'!$B$10,Paramètres!$A$1:$I$88,3,0)*0.475*44/12</f>
        <v>3.3280992675020276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7.9167992485959067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projet'!$B$11,Paramètres!$A$1:$I$88,3,0)*VLOOKUP('Données projet'!$B$11,Paramètres!$A$1:$I$88,5,0)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377.49758296179459</v>
      </c>
      <c r="BJ164" s="62">
        <f t="shared" si="146"/>
        <v>297.9972591134441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39.533028492864943</v>
      </c>
      <c r="BQ164" s="23">
        <f>EXP(-LN(2)/25)*BQ163+(1-EXP(-LN(2)/25))/(LN(2)/25)*Calculateur!BL164*Calculateur!BN164*VLOOKUP('Données projet'!$B$11,Paramètres!$A$1:$I$88,3,0)*0.475*44/12</f>
        <v>9.5372544160883326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49.070282908953274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projet'!$B$12,Paramètres!$A$1:$I$88,3,0)*VLOOKUP('Données projet'!$B$12,Paramètres!$A$1:$I$88,5,0)</f>
        <v>-1.064108801074326E-13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163.77317062597106</v>
      </c>
      <c r="CE164" s="62">
        <f t="shared" si="148"/>
        <v>122.66073843071686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15.053124203364334</v>
      </c>
      <c r="CL164" s="23">
        <f>EXP(-LN(2)/25)*CL163+(1-EXP(-LN(2)/25))/(LN(2)/25)*Calculateur!CG164*Calculateur!CI164*VLOOKUP('Données projet'!$B$12,Paramètres!$A$1:$I$88,3,0)*0.475*44/12</f>
        <v>3.1680085613329578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18.221132764697291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projet'!$B$13,Paramètres!$A$1:$I$88,3,0)*VLOOKUP('Données projet'!$B$13,Paramètres!$A$1:$I$88,5,0)</f>
        <v>-6.7984728957526396E-14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167.84261986874142</v>
      </c>
      <c r="CZ164" s="62">
        <f t="shared" si="150"/>
        <v>242.5860875239222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3.7736718667316165</v>
      </c>
      <c r="DG164" s="23">
        <f>EXP(-LN(2)/25)*DG163+(1-EXP(-LN(2)/25))/(LN(2)/25)*Calculateur!DB164*Calculateur!DD164*VLOOKUP('Données projet'!$B$13,Paramètres!$A$1:$I$88,3,0)*0.475*44/12</f>
        <v>2.6918209658184433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6.4654928325500602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1.5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5.5</v>
      </c>
      <c r="H165" s="70">
        <f t="shared" si="110"/>
        <v>234.66666666666666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projet'!$B$9,Paramètres!$A$1:$I$88,3,0)*VLOOKUP('Données projet'!$B$9,Paramètres!$A$1:$I$88,5,0)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387.16864229348823</v>
      </c>
      <c r="T165" s="62">
        <f t="shared" si="142"/>
        <v>260.88002342542893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66.437657726634228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66.437657726634228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projet'!$B$10,Paramètres!$A$1:$I$88,3,0)*VLOOKUP('Données projet'!$B$10,Paramètres!$A$1:$I$88,5,0)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291.71857387290288</v>
      </c>
      <c r="AN165" s="62">
        <f ca="1">AVERAGE(OFFSET($AM$3,0,0,'Données projet'!$E$10+1,1))-AVERAGE(OFFSET($H$3,0,0,'Données projet'!$E$10+1,1))</f>
        <v>197.84745001458262</v>
      </c>
      <c r="AO165" s="62">
        <f t="shared" si="144"/>
        <v>290.24283321060068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4.4987183732952554</v>
      </c>
      <c r="AV165" s="23">
        <f>EXP(-LN(2)/25)*AV164+(1-EXP(-LN(2)/25))/(LN(2)/25)*Calculateur!AQ165*Calculateur!AS165*VLOOKUP('Données projet'!$B$10,Paramètres!$A$1:$I$88,3,0)*0.475*44/12</f>
        <v>3.2370922180150505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7.7358105913103064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projet'!$B$11,Paramètres!$A$1:$I$88,3,0)*VLOOKUP('Données projet'!$B$11,Paramètres!$A$1:$I$88,5,0)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377.49758296179459</v>
      </c>
      <c r="BJ165" s="62">
        <f t="shared" si="146"/>
        <v>297.9972591134441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38.757809916886302</v>
      </c>
      <c r="BQ165" s="23">
        <f>EXP(-LN(2)/25)*BQ164+(1-EXP(-LN(2)/25))/(LN(2)/25)*Calculateur!BL165*Calculateur!BN165*VLOOKUP('Données projet'!$B$11,Paramètres!$A$1:$I$88,3,0)*0.475*44/12</f>
        <v>9.2764576925379849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48.03426760942429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projet'!$B$12,Paramètres!$A$1:$I$88,3,0)*VLOOKUP('Données projet'!$B$12,Paramètres!$A$1:$I$88,5,0)</f>
        <v>-1.064108801074326E-13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163.77317062597106</v>
      </c>
      <c r="CE165" s="62">
        <f t="shared" si="148"/>
        <v>122.66073843071686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14.757941619235526</v>
      </c>
      <c r="CL165" s="23">
        <f>EXP(-LN(2)/25)*CL164+(1-EXP(-LN(2)/25))/(LN(2)/25)*Calculateur!CG165*Calculateur!CI165*VLOOKUP('Données projet'!$B$12,Paramètres!$A$1:$I$88,3,0)*0.475*44/12</f>
        <v>3.0813792006249785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17.839320819860504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projet'!$B$13,Paramètres!$A$1:$I$88,3,0)*VLOOKUP('Données projet'!$B$13,Paramètres!$A$1:$I$88,5,0)</f>
        <v>-6.7984728957526396E-14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167.84261986874142</v>
      </c>
      <c r="CZ165" s="62">
        <f t="shared" si="150"/>
        <v>242.5860875239222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3.6996724631375728</v>
      </c>
      <c r="DG165" s="23">
        <f>EXP(-LN(2)/25)*DG164+(1-EXP(-LN(2)/25))/(LN(2)/25)*Calculateur!DB165*Calculateur!DD165*VLOOKUP('Données projet'!$B$13,Paramètres!$A$1:$I$88,3,0)*0.475*44/12</f>
        <v>2.6182129799514255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6.3178854430889988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1.5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5.5</v>
      </c>
      <c r="H166" s="70">
        <f t="shared" si="110"/>
        <v>234.66666666666666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projet'!$B$9,Paramètres!$A$1:$I$88,3,0)*VLOOKUP('Données projet'!$B$9,Paramètres!$A$1:$I$88,5,0)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387.16864229348823</v>
      </c>
      <c r="T166" s="62">
        <f t="shared" si="142"/>
        <v>260.88002342542893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65.134855781584832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65.134855781584832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projet'!$B$10,Paramètres!$A$1:$I$88,3,0)*VLOOKUP('Données projet'!$B$10,Paramètres!$A$1:$I$88,5,0)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291.74658633948013</v>
      </c>
      <c r="AN166" s="62">
        <f ca="1">AVERAGE(OFFSET($AM$3,0,0,'Données projet'!$E$10+1,1))-AVERAGE(OFFSET($H$3,0,0,'Données projet'!$E$10+1,1))</f>
        <v>197.84745001458262</v>
      </c>
      <c r="AO166" s="62">
        <f t="shared" si="144"/>
        <v>290.24283321060068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4.4105012499422012</v>
      </c>
      <c r="AV166" s="23">
        <f>EXP(-LN(2)/25)*AV165+(1-EXP(-LN(2)/25))/(LN(2)/25)*Calculateur!AQ166*Calculateur!AS166*VLOOKUP('Données projet'!$B$10,Paramètres!$A$1:$I$88,3,0)*0.475*44/12</f>
        <v>3.1485737610821478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7.5590750110243494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projet'!$B$11,Paramètres!$A$1:$I$88,3,0)*VLOOKUP('Données projet'!$B$11,Paramètres!$A$1:$I$88,5,0)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377.49758296179459</v>
      </c>
      <c r="BJ166" s="62">
        <f t="shared" si="146"/>
        <v>297.9972591134441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37.997792904345964</v>
      </c>
      <c r="BQ166" s="23">
        <f>EXP(-LN(2)/25)*BQ165+(1-EXP(-LN(2)/25))/(LN(2)/25)*Calculateur!BL166*Calculateur!BN166*VLOOKUP('Données projet'!$B$11,Paramètres!$A$1:$I$88,3,0)*0.475*44/12</f>
        <v>9.0227924691078254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47.020585373453791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projet'!$B$12,Paramètres!$A$1:$I$88,3,0)*VLOOKUP('Données projet'!$B$12,Paramètres!$A$1:$I$88,5,0)</f>
        <v>-1.064108801074326E-13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163.77317062597106</v>
      </c>
      <c r="CE166" s="62">
        <f t="shared" si="148"/>
        <v>122.66073843071686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14.468547385537885</v>
      </c>
      <c r="CL166" s="23">
        <f>EXP(-LN(2)/25)*CL165+(1-EXP(-LN(2)/25))/(LN(2)/25)*Calculateur!CG166*Calculateur!CI166*VLOOKUP('Données projet'!$B$12,Paramètres!$A$1:$I$88,3,0)*0.475*44/12</f>
        <v>2.997118724341199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17.465666109879084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projet'!$B$13,Paramètres!$A$1:$I$88,3,0)*VLOOKUP('Données projet'!$B$13,Paramètres!$A$1:$I$88,5,0)</f>
        <v>-6.7984728957526396E-14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167.84261986874142</v>
      </c>
      <c r="CZ166" s="62">
        <f t="shared" si="150"/>
        <v>242.5860875239222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3.6271241427128289</v>
      </c>
      <c r="DG166" s="23">
        <f>EXP(-LN(2)/25)*DG165+(1-EXP(-LN(2)/25))/(LN(2)/25)*Calculateur!DB166*Calculateur!DD166*VLOOKUP('Données projet'!$B$13,Paramètres!$A$1:$I$88,3,0)*0.475*44/12</f>
        <v>2.5466178083288171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6.173741951041646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1.5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5.5</v>
      </c>
      <c r="H167" s="70">
        <f t="shared" si="110"/>
        <v>234.66666666666666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projet'!$B$9,Paramètres!$A$1:$I$88,3,0)*VLOOKUP('Données projet'!$B$9,Paramètres!$A$1:$I$88,5,0)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387.16864229348823</v>
      </c>
      <c r="T167" s="62">
        <f t="shared" si="142"/>
        <v>260.88002342542893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63.857600988047132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63.857600988047132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projet'!$B$10,Paramètres!$A$1:$I$88,3,0)*VLOOKUP('Données projet'!$B$10,Paramètres!$A$1:$I$88,5,0)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291.77411285238867</v>
      </c>
      <c r="AN167" s="62">
        <f ca="1">AVERAGE(OFFSET($AM$3,0,0,'Données projet'!$E$10+1,1))-AVERAGE(OFFSET($H$3,0,0,'Données projet'!$E$10+1,1))</f>
        <v>197.84745001458262</v>
      </c>
      <c r="AO167" s="62">
        <f t="shared" si="144"/>
        <v>290.24283321060068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4.3240140105709681</v>
      </c>
      <c r="AV167" s="23">
        <f>EXP(-LN(2)/25)*AV166+(1-EXP(-LN(2)/25))/(LN(2)/25)*Calculateur!AQ167*Calculateur!AS167*VLOOKUP('Données projet'!$B$10,Paramètres!$A$1:$I$88,3,0)*0.475*44/12</f>
        <v>3.0624758460090584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7.3864898565800265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projet'!$B$11,Paramètres!$A$1:$I$88,3,0)*VLOOKUP('Données projet'!$B$11,Paramètres!$A$1:$I$88,5,0)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377.49758296179459</v>
      </c>
      <c r="BJ167" s="62">
        <f t="shared" si="146"/>
        <v>297.9972591134441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37.252679361856934</v>
      </c>
      <c r="BQ167" s="23">
        <f>EXP(-LN(2)/25)*BQ166+(1-EXP(-LN(2)/25))/(LN(2)/25)*Calculateur!BL167*Calculateur!BN167*VLOOKUP('Données projet'!$B$11,Paramètres!$A$1:$I$88,3,0)*0.475*44/12</f>
        <v>8.7760637345520376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46.028743096408974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projet'!$B$12,Paramètres!$A$1:$I$88,3,0)*VLOOKUP('Données projet'!$B$12,Paramètres!$A$1:$I$88,5,0)</f>
        <v>-1.064108801074326E-13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163.77317062597106</v>
      </c>
      <c r="CE167" s="62">
        <f t="shared" si="148"/>
        <v>122.66073843071686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14.184827996250002</v>
      </c>
      <c r="CL167" s="23">
        <f>EXP(-LN(2)/25)*CL166+(1-EXP(-LN(2)/25))/(LN(2)/25)*Calculateur!CG167*Calculateur!CI167*VLOOKUP('Données projet'!$B$12,Paramètres!$A$1:$I$88,3,0)*0.475*44/12</f>
        <v>2.9151623552124653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17.099990351462466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projet'!$B$13,Paramètres!$A$1:$I$88,3,0)*VLOOKUP('Données projet'!$B$13,Paramètres!$A$1:$I$88,5,0)</f>
        <v>-6.7984728957526396E-14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167.84261986874142</v>
      </c>
      <c r="CZ167" s="62">
        <f t="shared" si="150"/>
        <v>242.5860875239222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3.5559984506015083</v>
      </c>
      <c r="DG167" s="23">
        <f>EXP(-LN(2)/25)*DG166+(1-EXP(-LN(2)/25))/(LN(2)/25)*Calculateur!DB167*Calculateur!DD167*VLOOKUP('Données projet'!$B$13,Paramètres!$A$1:$I$88,3,0)*0.475*44/12</f>
        <v>2.4769804104392557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6.032978861040764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1.5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5.5</v>
      </c>
      <c r="H168" s="70">
        <f t="shared" si="110"/>
        <v>234.66666666666666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projet'!$B$9,Paramètres!$A$1:$I$88,3,0)*VLOOKUP('Données projet'!$B$9,Paramètres!$A$1:$I$88,5,0)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387.16864229348823</v>
      </c>
      <c r="T168" s="62">
        <f t="shared" si="142"/>
        <v>260.88002342542893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62.605392381962204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62.605392381962204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projet'!$B$10,Paramètres!$A$1:$I$88,3,0)*VLOOKUP('Données projet'!$B$10,Paramètres!$A$1:$I$88,5,0)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291.80116184183828</v>
      </c>
      <c r="AN168" s="62">
        <f ca="1">AVERAGE(OFFSET($AM$3,0,0,'Données projet'!$E$10+1,1))-AVERAGE(OFFSET($H$3,0,0,'Données projet'!$E$10+1,1))</f>
        <v>197.84745001458262</v>
      </c>
      <c r="AO168" s="62">
        <f t="shared" si="144"/>
        <v>290.24283321060068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4.2392227332117978</v>
      </c>
      <c r="AV168" s="23">
        <f>EXP(-LN(2)/25)*AV167+(1-EXP(-LN(2)/25))/(LN(2)/25)*Calculateur!AQ168*Calculateur!AS168*VLOOKUP('Données projet'!$B$10,Paramètres!$A$1:$I$88,3,0)*0.475*44/12</f>
        <v>2.9787322829513352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7.217955016163133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projet'!$B$11,Paramètres!$A$1:$I$88,3,0)*VLOOKUP('Données projet'!$B$11,Paramètres!$A$1:$I$88,5,0)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377.49758296179459</v>
      </c>
      <c r="BJ168" s="62">
        <f t="shared" si="146"/>
        <v>297.9972591134441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36.522177041461731</v>
      </c>
      <c r="BQ168" s="23">
        <f>EXP(-LN(2)/25)*BQ167+(1-EXP(-LN(2)/25))/(LN(2)/25)*Calculateur!BL168*Calculateur!BN168*VLOOKUP('Données projet'!$B$11,Paramètres!$A$1:$I$88,3,0)*0.475*44/12</f>
        <v>8.5360818102175777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45.058258851679312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projet'!$B$12,Paramètres!$A$1:$I$88,3,0)*VLOOKUP('Données projet'!$B$12,Paramètres!$A$1:$I$88,5,0)</f>
        <v>-1.064108801074326E-13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163.77317062597106</v>
      </c>
      <c r="CE168" s="62">
        <f t="shared" si="148"/>
        <v>122.66073843071686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13.906672171134314</v>
      </c>
      <c r="CL168" s="23">
        <f>EXP(-LN(2)/25)*CL167+(1-EXP(-LN(2)/25))/(LN(2)/25)*Calculateur!CG168*Calculateur!CI168*VLOOKUP('Données projet'!$B$12,Paramètres!$A$1:$I$88,3,0)*0.475*44/12</f>
        <v>2.8354470873074549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16.742119258441768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projet'!$B$13,Paramètres!$A$1:$I$88,3,0)*VLOOKUP('Données projet'!$B$13,Paramètres!$A$1:$I$88,5,0)</f>
        <v>-6.7984728957526396E-14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167.84261986874142</v>
      </c>
      <c r="CZ168" s="62">
        <f t="shared" si="150"/>
        <v>242.5860875239222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3.486267489930102</v>
      </c>
      <c r="DG168" s="23">
        <f>EXP(-LN(2)/25)*DG167+(1-EXP(-LN(2)/25))/(LN(2)/25)*Calculateur!DB168*Calculateur!DD168*VLOOKUP('Données projet'!$B$13,Paramètres!$A$1:$I$88,3,0)*0.475*44/12</f>
        <v>2.4092472508570557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5.8955147407871582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1.5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5.5</v>
      </c>
      <c r="H169" s="70">
        <f t="shared" si="110"/>
        <v>234.66666666666666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projet'!$B$9,Paramètres!$A$1:$I$88,3,0)*VLOOKUP('Données projet'!$B$9,Paramètres!$A$1:$I$88,5,0)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387.16864229348823</v>
      </c>
      <c r="T169" s="62">
        <f t="shared" si="142"/>
        <v>260.88002342542893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61.377738822870775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61.377738822870775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projet'!$B$10,Paramètres!$A$1:$I$88,3,0)*VLOOKUP('Données projet'!$B$10,Paramètres!$A$1:$I$88,5,0)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291.82774159179343</v>
      </c>
      <c r="AN169" s="62">
        <f ca="1">AVERAGE(OFFSET($AM$3,0,0,'Données projet'!$E$10+1,1))-AVERAGE(OFFSET($H$3,0,0,'Données projet'!$E$10+1,1))</f>
        <v>197.84745001458262</v>
      </c>
      <c r="AO169" s="62">
        <f t="shared" si="144"/>
        <v>290.24283321060068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4.1560941610840683</v>
      </c>
      <c r="AV169" s="23">
        <f>EXP(-LN(2)/25)*AV168+(1-EXP(-LN(2)/25))/(LN(2)/25)*Calculateur!AQ169*Calculateur!AS169*VLOOKUP('Données projet'!$B$10,Paramètres!$A$1:$I$88,3,0)*0.475*44/12</f>
        <v>2.8972786920293081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7.0533728531133768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projet'!$B$11,Paramètres!$A$1:$I$88,3,0)*VLOOKUP('Données projet'!$B$11,Paramètres!$A$1:$I$88,5,0)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377.49758296179459</v>
      </c>
      <c r="BJ169" s="62">
        <f t="shared" si="146"/>
        <v>297.9972591134441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35.805999426007055</v>
      </c>
      <c r="BQ169" s="23">
        <f>EXP(-LN(2)/25)*BQ168+(1-EXP(-LN(2)/25))/(LN(2)/25)*Calculateur!BL169*Calculateur!BN169*VLOOKUP('Données projet'!$B$11,Paramètres!$A$1:$I$88,3,0)*0.475*44/12</f>
        <v>8.3026622042241449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44.108661630231197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projet'!$B$12,Paramètres!$A$1:$I$88,3,0)*VLOOKUP('Données projet'!$B$12,Paramètres!$A$1:$I$88,5,0)</f>
        <v>-1.064108801074326E-13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163.77317062597106</v>
      </c>
      <c r="CE169" s="62">
        <f t="shared" si="148"/>
        <v>122.66073843071686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13.633970812090844</v>
      </c>
      <c r="CL169" s="23">
        <f>EXP(-LN(2)/25)*CL168+(1-EXP(-LN(2)/25))/(LN(2)/25)*Calculateur!CG169*Calculateur!CI169*VLOOKUP('Données projet'!$B$12,Paramètres!$A$1:$I$88,3,0)*0.475*44/12</f>
        <v>2.7579116375953507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16.391882449686193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projet'!$B$13,Paramètres!$A$1:$I$88,3,0)*VLOOKUP('Données projet'!$B$13,Paramètres!$A$1:$I$88,5,0)</f>
        <v>-6.7984728957526396E-14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167.84261986874142</v>
      </c>
      <c r="CZ169" s="62">
        <f t="shared" si="150"/>
        <v>242.5860875239222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3.4179039108657756</v>
      </c>
      <c r="DG169" s="23">
        <f>EXP(-LN(2)/25)*DG168+(1-EXP(-LN(2)/25))/(LN(2)/25)*Calculateur!DB169*Calculateur!DD169*VLOOKUP('Données projet'!$B$13,Paramètres!$A$1:$I$88,3,0)*0.475*44/12</f>
        <v>2.3433662580855632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5.7612701689513388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1.5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5.5</v>
      </c>
      <c r="H170" s="70">
        <f t="shared" si="110"/>
        <v>234.66666666666666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projet'!$B$9,Paramètres!$A$1:$I$88,3,0)*VLOOKUP('Données projet'!$B$9,Paramètres!$A$1:$I$88,5,0)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387.16864229348823</v>
      </c>
      <c r="T170" s="62">
        <f t="shared" si="142"/>
        <v>260.88002342542893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60.174158801278395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60.174158801278395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projet'!$B$10,Paramètres!$A$1:$I$88,3,0)*VLOOKUP('Données projet'!$B$10,Paramètres!$A$1:$I$88,5,0)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291.85386024251028</v>
      </c>
      <c r="AN170" s="62">
        <f ca="1">AVERAGE(OFFSET($AM$3,0,0,'Données projet'!$E$10+1,1))-AVERAGE(OFFSET($H$3,0,0,'Données projet'!$E$10+1,1))</f>
        <v>197.84745001458262</v>
      </c>
      <c r="AO170" s="62">
        <f t="shared" si="144"/>
        <v>290.24283321060068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4.074595689552341</v>
      </c>
      <c r="AV170" s="23">
        <f>EXP(-LN(2)/25)*AV169+(1-EXP(-LN(2)/25))/(LN(2)/25)*Calculateur!AQ170*Calculateur!AS170*VLOOKUP('Données projet'!$B$10,Paramètres!$A$1:$I$88,3,0)*0.475*44/12</f>
        <v>2.8180524538345022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6.8926481433868432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projet'!$B$11,Paramètres!$A$1:$I$88,3,0)*VLOOKUP('Données projet'!$B$11,Paramètres!$A$1:$I$88,5,0)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377.49758296179459</v>
      </c>
      <c r="BJ170" s="62">
        <f t="shared" si="146"/>
        <v>297.9972591134441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35.103865616766235</v>
      </c>
      <c r="BQ170" s="23">
        <f>EXP(-LN(2)/25)*BQ169+(1-EXP(-LN(2)/25))/(LN(2)/25)*Calculateur!BL170*Calculateur!BN170*VLOOKUP('Données projet'!$B$11,Paramètres!$A$1:$I$88,3,0)*0.475*44/12</f>
        <v>8.075625469631607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43.179491086397846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projet'!$B$12,Paramètres!$A$1:$I$88,3,0)*VLOOKUP('Données projet'!$B$12,Paramètres!$A$1:$I$88,5,0)</f>
        <v>-1.064108801074326E-13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163.77317062597106</v>
      </c>
      <c r="CE170" s="62">
        <f t="shared" si="148"/>
        <v>122.66073843071686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13.366616960366811</v>
      </c>
      <c r="CL170" s="23">
        <f>EXP(-LN(2)/25)*CL169+(1-EXP(-LN(2)/25))/(LN(2)/25)*Calculateur!CG170*Calculateur!CI170*VLOOKUP('Données projet'!$B$12,Paramètres!$A$1:$I$88,3,0)*0.475*44/12</f>
        <v>2.6824963988330364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16.049113359199847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projet'!$B$13,Paramètres!$A$1:$I$88,3,0)*VLOOKUP('Données projet'!$B$13,Paramètres!$A$1:$I$88,5,0)</f>
        <v>-6.7984728957526396E-14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167.84261986874142</v>
      </c>
      <c r="CZ170" s="62">
        <f t="shared" si="150"/>
        <v>242.5860875239222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3.3508808998892348</v>
      </c>
      <c r="DG170" s="23">
        <f>EXP(-LN(2)/25)*DG169+(1-EXP(-LN(2)/25))/(LN(2)/25)*Calculateur!DB170*Calculateur!DD170*VLOOKUP('Données projet'!$B$13,Paramètres!$A$1:$I$88,3,0)*0.475*44/12</f>
        <v>2.2792867845259379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5.6301676844151727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1.5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5.5</v>
      </c>
      <c r="H171" s="70">
        <f t="shared" si="110"/>
        <v>234.66666666666666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projet'!$B$9,Paramètres!$A$1:$I$88,3,0)*VLOOKUP('Données projet'!$B$9,Paramètres!$A$1:$I$88,5,0)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387.16864229348823</v>
      </c>
      <c r="T171" s="62">
        <f t="shared" si="142"/>
        <v>260.88002342542893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58.994180249798113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58.994180249798113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projet'!$B$10,Paramètres!$A$1:$I$88,3,0)*VLOOKUP('Données projet'!$B$10,Paramètres!$A$1:$I$88,5,0)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291.87952579302976</v>
      </c>
      <c r="AN171" s="62">
        <f ca="1">AVERAGE(OFFSET($AM$3,0,0,'Données projet'!$E$10+1,1))-AVERAGE(OFFSET($H$3,0,0,'Données projet'!$E$10+1,1))</f>
        <v>197.84745001458262</v>
      </c>
      <c r="AO171" s="62">
        <f t="shared" si="144"/>
        <v>290.24283321060068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3.9946953533381913</v>
      </c>
      <c r="AV171" s="23">
        <f>EXP(-LN(2)/25)*AV170+(1-EXP(-LN(2)/25))/(LN(2)/25)*Calculateur!AQ171*Calculateur!AS171*VLOOKUP('Données projet'!$B$10,Paramètres!$A$1:$I$88,3,0)*0.475*44/12</f>
        <v>2.74099266128946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6.7356880146276517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projet'!$B$11,Paramètres!$A$1:$I$88,3,0)*VLOOKUP('Données projet'!$B$11,Paramètres!$A$1:$I$88,5,0)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377.49758296179459</v>
      </c>
      <c r="BJ171" s="62">
        <f t="shared" si="146"/>
        <v>297.9972591134441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34.41550022326529</v>
      </c>
      <c r="BQ171" s="23">
        <f>EXP(-LN(2)/25)*BQ170+(1-EXP(-LN(2)/25))/(LN(2)/25)*Calculateur!BL171*Calculateur!BN171*VLOOKUP('Données projet'!$B$11,Paramètres!$A$1:$I$88,3,0)*0.475*44/12</f>
        <v>7.854797066485844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42.270297289751134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projet'!$B$12,Paramètres!$A$1:$I$88,3,0)*VLOOKUP('Données projet'!$B$12,Paramètres!$A$1:$I$88,5,0)</f>
        <v>-1.064108801074326E-13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163.77317062597106</v>
      </c>
      <c r="CE171" s="62">
        <f t="shared" si="148"/>
        <v>122.66073843071686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13.104505754605338</v>
      </c>
      <c r="CL171" s="23">
        <f>EXP(-LN(2)/25)*CL170+(1-EXP(-LN(2)/25))/(LN(2)/25)*Calculateur!CG171*Calculateur!CI171*VLOOKUP('Données projet'!$B$12,Paramètres!$A$1:$I$88,3,0)*0.475*44/12</f>
        <v>2.6091433937405921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15.71364914834593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projet'!$B$13,Paramètres!$A$1:$I$88,3,0)*VLOOKUP('Données projet'!$B$13,Paramètres!$A$1:$I$88,5,0)</f>
        <v>-6.7984728957526396E-14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167.84261986874142</v>
      </c>
      <c r="CZ171" s="62">
        <f t="shared" si="150"/>
        <v>242.5860875239222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3.2851721692779439</v>
      </c>
      <c r="DG171" s="23">
        <f>EXP(-LN(2)/25)*DG170+(1-EXP(-LN(2)/25))/(LN(2)/25)*Calculateur!DB171*Calculateur!DD171*VLOOKUP('Données projet'!$B$13,Paramètres!$A$1:$I$88,3,0)*0.475*44/12</f>
        <v>2.2169595675405933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5.5021317368185372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1.5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5.5</v>
      </c>
      <c r="H172" s="70">
        <f t="shared" si="110"/>
        <v>234.66666666666666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projet'!$B$9,Paramètres!$A$1:$I$88,3,0)*VLOOKUP('Données projet'!$B$9,Paramètres!$A$1:$I$88,5,0)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387.16864229348823</v>
      </c>
      <c r="T172" s="62">
        <f t="shared" si="142"/>
        <v>260.88002342542893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57.83734035799651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57.83734035799651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projet'!$B$10,Paramètres!$A$1:$I$88,3,0)*VLOOKUP('Données projet'!$B$10,Paramètres!$A$1:$I$88,5,0)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291.9047461036273</v>
      </c>
      <c r="AN172" s="62">
        <f ca="1">AVERAGE(OFFSET($AM$3,0,0,'Données projet'!$E$10+1,1))-AVERAGE(OFFSET($H$3,0,0,'Données projet'!$E$10+1,1))</f>
        <v>197.84745001458262</v>
      </c>
      <c r="AO172" s="62">
        <f t="shared" si="144"/>
        <v>290.24283321060068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3.916361813982808</v>
      </c>
      <c r="AV172" s="23">
        <f>EXP(-LN(2)/25)*AV171+(1-EXP(-LN(2)/25))/(LN(2)/25)*Calculateur!AQ172*Calculateur!AS172*VLOOKUP('Données projet'!$B$10,Paramètres!$A$1:$I$88,3,0)*0.475*44/12</f>
        <v>2.6660400728239604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6.5824018868067684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projet'!$B$11,Paramètres!$A$1:$I$88,3,0)*VLOOKUP('Données projet'!$B$11,Paramètres!$A$1:$I$88,5,0)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377.49758296179459</v>
      </c>
      <c r="BJ172" s="62">
        <f t="shared" si="146"/>
        <v>297.9972591134441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33.740633255269465</v>
      </c>
      <c r="BQ172" s="23">
        <f>EXP(-LN(2)/25)*BQ171+(1-EXP(-LN(2)/25))/(LN(2)/25)*Calculateur!BL172*Calculateur!BN172*VLOOKUP('Données projet'!$B$11,Paramètres!$A$1:$I$88,3,0)*0.475*44/12</f>
        <v>7.6400072276369633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41.380640482906429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projet'!$B$12,Paramètres!$A$1:$I$88,3,0)*VLOOKUP('Données projet'!$B$12,Paramètres!$A$1:$I$88,5,0)</f>
        <v>-1.064108801074326E-13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163.77317062597106</v>
      </c>
      <c r="CE172" s="62">
        <f t="shared" si="148"/>
        <v>122.66073843071686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12.847534389716799</v>
      </c>
      <c r="CL172" s="23">
        <f>EXP(-LN(2)/25)*CL171+(1-EXP(-LN(2)/25))/(LN(2)/25)*Calculateur!CG172*Calculateur!CI172*VLOOKUP('Données projet'!$B$12,Paramètres!$A$1:$I$88,3,0)*0.475*44/12</f>
        <v>2.5377962304298678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15.385330620146666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projet'!$B$13,Paramètres!$A$1:$I$88,3,0)*VLOOKUP('Données projet'!$B$13,Paramètres!$A$1:$I$88,5,0)</f>
        <v>-6.7984728957526396E-14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167.84261986874142</v>
      </c>
      <c r="CZ172" s="62">
        <f t="shared" si="150"/>
        <v>242.5860875239222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3.2207519467955721</v>
      </c>
      <c r="DG172" s="23">
        <f>EXP(-LN(2)/25)*DG171+(1-EXP(-LN(2)/25))/(LN(2)/25)*Calculateur!DB172*Calculateur!DD172*VLOOKUP('Données projet'!$B$13,Paramètres!$A$1:$I$88,3,0)*0.475*44/12</f>
        <v>2.1563366915813589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5.3770886383769305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1.5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5.5</v>
      </c>
      <c r="H173" s="70">
        <f t="shared" si="110"/>
        <v>234.66666666666666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projet'!$B$9,Paramètres!$A$1:$I$88,3,0)*VLOOKUP('Données projet'!$B$9,Paramètres!$A$1:$I$88,5,0)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387.16864229348823</v>
      </c>
      <c r="T173" s="62">
        <f t="shared" si="142"/>
        <v>260.88002342542893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56.703185390870473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56.703185390870473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projet'!$B$10,Paramètres!$A$1:$I$88,3,0)*VLOOKUP('Données projet'!$B$10,Paramètres!$A$1:$I$88,5,0)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291.92952889822016</v>
      </c>
      <c r="AN173" s="62">
        <f ca="1">AVERAGE(OFFSET($AM$3,0,0,'Données projet'!$E$10+1,1))-AVERAGE(OFFSET($H$3,0,0,'Données projet'!$E$10+1,1))</f>
        <v>197.84745001458262</v>
      </c>
      <c r="AO173" s="62">
        <f t="shared" si="144"/>
        <v>290.24283321060068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3.8395643475554428</v>
      </c>
      <c r="AV173" s="23">
        <f>EXP(-LN(2)/25)*AV172+(1-EXP(-LN(2)/25))/(LN(2)/25)*Calculateur!AQ173*Calculateur!AS173*VLOOKUP('Données projet'!$B$10,Paramètres!$A$1:$I$88,3,0)*0.475*44/12</f>
        <v>2.5931370668316349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6.4327014143870773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projet'!$B$11,Paramètres!$A$1:$I$88,3,0)*VLOOKUP('Données projet'!$B$11,Paramètres!$A$1:$I$88,5,0)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377.49758296179459</v>
      </c>
      <c r="BJ173" s="62">
        <f t="shared" si="146"/>
        <v>297.9972591134441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33.079000016887832</v>
      </c>
      <c r="BQ173" s="23">
        <f>EXP(-LN(2)/25)*BQ172+(1-EXP(-LN(2)/25))/(LN(2)/25)*Calculateur!BL173*Calculateur!BN173*VLOOKUP('Données projet'!$B$11,Paramètres!$A$1:$I$88,3,0)*0.475*44/12</f>
        <v>7.4310908282267123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40.510090845114547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projet'!$B$12,Paramètres!$A$1:$I$88,3,0)*VLOOKUP('Données projet'!$B$12,Paramètres!$A$1:$I$88,5,0)</f>
        <v>-1.064108801074326E-13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163.77317062597106</v>
      </c>
      <c r="CE173" s="62">
        <f t="shared" si="148"/>
        <v>122.66073843071686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12.595602076556668</v>
      </c>
      <c r="CL173" s="23">
        <f>EXP(-LN(2)/25)*CL172+(1-EXP(-LN(2)/25))/(LN(2)/25)*Calculateur!CG173*Calculateur!CI173*VLOOKUP('Données projet'!$B$12,Paramètres!$A$1:$I$88,3,0)*0.475*44/12</f>
        <v>2.4684000590518593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15.064002135608527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projet'!$B$13,Paramètres!$A$1:$I$88,3,0)*VLOOKUP('Données projet'!$B$13,Paramètres!$A$1:$I$88,5,0)</f>
        <v>-6.7984728957526396E-14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167.84261986874142</v>
      </c>
      <c r="CZ173" s="62">
        <f t="shared" si="150"/>
        <v>242.5860875239222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3.1575949655836237</v>
      </c>
      <c r="DG173" s="23">
        <f>EXP(-LN(2)/25)*DG172+(1-EXP(-LN(2)/25))/(LN(2)/25)*Calculateur!DB173*Calculateur!DD173*VLOOKUP('Données projet'!$B$13,Paramètres!$A$1:$I$88,3,0)*0.475*44/12</f>
        <v>2.0973715513532483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5.2549665169368716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1.5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5.5</v>
      </c>
      <c r="H174" s="70">
        <f t="shared" si="110"/>
        <v>234.66666666666666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projet'!$B$9,Paramètres!$A$1:$I$88,3,0)*VLOOKUP('Données projet'!$B$9,Paramètres!$A$1:$I$88,5,0)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387.16864229348823</v>
      </c>
      <c r="T174" s="62">
        <f t="shared" si="142"/>
        <v>260.88002342542893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55.591270510883554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55.591270510883554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projet'!$B$10,Paramètres!$A$1:$I$88,3,0)*VLOOKUP('Données projet'!$B$10,Paramètres!$A$1:$I$88,5,0)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291.95388176673288</v>
      </c>
      <c r="AN174" s="62">
        <f ca="1">AVERAGE(OFFSET($AM$3,0,0,'Données projet'!$E$10+1,1))-AVERAGE(OFFSET($H$3,0,0,'Données projet'!$E$10+1,1))</f>
        <v>197.84745001458262</v>
      </c>
      <c r="AO174" s="62">
        <f t="shared" si="144"/>
        <v>290.24283321060068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3.7642728326028889</v>
      </c>
      <c r="AV174" s="23">
        <f>EXP(-LN(2)/25)*AV173+(1-EXP(-LN(2)/25))/(LN(2)/25)*Calculateur!AQ174*Calculateur!AS174*VLOOKUP('Données projet'!$B$10,Paramètres!$A$1:$I$88,3,0)*0.475*44/12</f>
        <v>2.5222275973719723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6.2865004299748612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projet'!$B$11,Paramètres!$A$1:$I$88,3,0)*VLOOKUP('Données projet'!$B$11,Paramètres!$A$1:$I$88,5,0)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377.49758296179459</v>
      </c>
      <c r="BJ174" s="62">
        <f t="shared" si="146"/>
        <v>297.9972591134441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32.430341002754439</v>
      </c>
      <c r="BQ174" s="23">
        <f>EXP(-LN(2)/25)*BQ173+(1-EXP(-LN(2)/25))/(LN(2)/25)*Calculateur!BL174*Calculateur!BN174*VLOOKUP('Données projet'!$B$11,Paramètres!$A$1:$I$88,3,0)*0.475*44/12</f>
        <v>7.2278872587447704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39.658228261499211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projet'!$B$12,Paramètres!$A$1:$I$88,3,0)*VLOOKUP('Données projet'!$B$12,Paramètres!$A$1:$I$88,5,0)</f>
        <v>-1.064108801074326E-13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163.77317062597106</v>
      </c>
      <c r="CE174" s="62">
        <f t="shared" si="148"/>
        <v>122.66073843071686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12.34861000239407</v>
      </c>
      <c r="CL174" s="23">
        <f>EXP(-LN(2)/25)*CL173+(1-EXP(-LN(2)/25))/(LN(2)/25)*Calculateur!CG174*Calculateur!CI174*VLOOKUP('Données projet'!$B$12,Paramètres!$A$1:$I$88,3,0)*0.475*44/12</f>
        <v>2.4009015296295688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14.749511532023639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projet'!$B$13,Paramètres!$A$1:$I$88,3,0)*VLOOKUP('Données projet'!$B$13,Paramètres!$A$1:$I$88,5,0)</f>
        <v>-6.7984728957526396E-14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167.84261986874142</v>
      </c>
      <c r="CZ174" s="62">
        <f t="shared" si="150"/>
        <v>242.5860875239222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3.0956764542512869</v>
      </c>
      <c r="DG174" s="23">
        <f>EXP(-LN(2)/25)*DG173+(1-EXP(-LN(2)/25))/(LN(2)/25)*Calculateur!DB174*Calculateur!DD174*VLOOKUP('Données projet'!$B$13,Paramètres!$A$1:$I$88,3,0)*0.475*44/12</f>
        <v>2.0400188159855173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5.1356952702368037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1.5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5.5</v>
      </c>
      <c r="H175" s="70">
        <f t="shared" si="110"/>
        <v>234.66666666666666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projet'!$B$9,Paramètres!$A$1:$I$88,3,0)*VLOOKUP('Données projet'!$B$9,Paramètres!$A$1:$I$88,5,0)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387.16864229348823</v>
      </c>
      <c r="T175" s="62">
        <f t="shared" si="142"/>
        <v>260.88002342542893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54.50115960349207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54.50115960349207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projet'!$B$10,Paramètres!$A$1:$I$88,3,0)*VLOOKUP('Données projet'!$B$10,Paramètres!$A$1:$I$88,5,0)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291.97781216742169</v>
      </c>
      <c r="AN175" s="62">
        <f ca="1">AVERAGE(OFFSET($AM$3,0,0,'Données projet'!$E$10+1,1))-AVERAGE(OFFSET($H$3,0,0,'Données projet'!$E$10+1,1))</f>
        <v>197.84745001458262</v>
      </c>
      <c r="AO175" s="62">
        <f t="shared" si="144"/>
        <v>290.24283321060068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3.6904577383352648</v>
      </c>
      <c r="AV175" s="23">
        <f>EXP(-LN(2)/25)*AV174+(1-EXP(-LN(2)/25))/(LN(2)/25)*Calculateur!AQ175*Calculateur!AS175*VLOOKUP('Données projet'!$B$10,Paramètres!$A$1:$I$88,3,0)*0.475*44/12</f>
        <v>2.4532571510836512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6.1437148894189164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projet'!$B$11,Paramètres!$A$1:$I$88,3,0)*VLOOKUP('Données projet'!$B$11,Paramètres!$A$1:$I$88,5,0)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377.49758296179459</v>
      </c>
      <c r="BJ175" s="62">
        <f t="shared" si="146"/>
        <v>297.9972591134441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31.794401796245268</v>
      </c>
      <c r="BQ175" s="23">
        <f>EXP(-LN(2)/25)*BQ174+(1-EXP(-LN(2)/25))/(LN(2)/25)*Calculateur!BL175*Calculateur!BN175*VLOOKUP('Données projet'!$B$11,Paramètres!$A$1:$I$88,3,0)*0.475*44/12</f>
        <v>7.0302403015563231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38.824642097801593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projet'!$B$12,Paramètres!$A$1:$I$88,3,0)*VLOOKUP('Données projet'!$B$12,Paramètres!$A$1:$I$88,5,0)</f>
        <v>-1.064108801074326E-13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163.77317062597106</v>
      </c>
      <c r="CE175" s="62">
        <f t="shared" si="148"/>
        <v>122.66073843071686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12.10646129215551</v>
      </c>
      <c r="CL175" s="23">
        <f>EXP(-LN(2)/25)*CL174+(1-EXP(-LN(2)/25))/(LN(2)/25)*Calculateur!CG175*Calculateur!CI175*VLOOKUP('Données projet'!$B$12,Paramètres!$A$1:$I$88,3,0)*0.475*44/12</f>
        <v>2.3352487510439239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14.441710043199434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projet'!$B$13,Paramètres!$A$1:$I$88,3,0)*VLOOKUP('Données projet'!$B$13,Paramètres!$A$1:$I$88,5,0)</f>
        <v>-6.7984728957526396E-14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167.84261986874142</v>
      </c>
      <c r="CZ175" s="62">
        <f t="shared" si="150"/>
        <v>242.5860875239222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3.0349721271596142</v>
      </c>
      <c r="DG175" s="23">
        <f>EXP(-LN(2)/25)*DG174+(1-EXP(-LN(2)/25))/(LN(2)/25)*Calculateur!DB175*Calculateur!DD175*VLOOKUP('Données projet'!$B$13,Paramètres!$A$1:$I$88,3,0)*0.475*44/12</f>
        <v>1.9842343941824663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5.0192065213420802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1.5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5.5</v>
      </c>
      <c r="H176" s="70">
        <f t="shared" si="110"/>
        <v>234.66666666666666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projet'!$B$9,Paramètres!$A$1:$I$88,3,0)*VLOOKUP('Données projet'!$B$9,Paramètres!$A$1:$I$88,5,0)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387.16864229348823</v>
      </c>
      <c r="T176" s="62">
        <f t="shared" si="142"/>
        <v>260.88002342542893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53.432425106092531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53.432425106092531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projet'!$B$10,Paramètres!$A$1:$I$88,3,0)*VLOOKUP('Données projet'!$B$10,Paramètres!$A$1:$I$88,5,0)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292.00132742915901</v>
      </c>
      <c r="AN176" s="62">
        <f ca="1">AVERAGE(OFFSET($AM$3,0,0,'Données projet'!$E$10+1,1))-AVERAGE(OFFSET($H$3,0,0,'Données projet'!$E$10+1,1))</f>
        <v>197.84745001458262</v>
      </c>
      <c r="AO176" s="62">
        <f t="shared" si="144"/>
        <v>290.24283321060068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3.6180901130434671</v>
      </c>
      <c r="AV176" s="23">
        <f>EXP(-LN(2)/25)*AV175+(1-EXP(-LN(2)/25))/(LN(2)/25)*Calculateur!AQ176*Calculateur!AS176*VLOOKUP('Données projet'!$B$10,Paramètres!$A$1:$I$88,3,0)*0.475*44/12</f>
        <v>2.3861727052760822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6.0042628183195497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projet'!$B$11,Paramètres!$A$1:$I$88,3,0)*VLOOKUP('Données projet'!$B$11,Paramètres!$A$1:$I$88,5,0)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377.49758296179459</v>
      </c>
      <c r="BJ176" s="62">
        <f t="shared" si="146"/>
        <v>297.9972591134441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31.170932969691126</v>
      </c>
      <c r="BQ176" s="23">
        <f>EXP(-LN(2)/25)*BQ175+(1-EXP(-LN(2)/25))/(LN(2)/25)*Calculateur!BL176*Calculateur!BN176*VLOOKUP('Données projet'!$B$11,Paramètres!$A$1:$I$88,3,0)*0.475*44/12</f>
        <v>6.8379980108059959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38.008930980497119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projet'!$B$12,Paramètres!$A$1:$I$88,3,0)*VLOOKUP('Données projet'!$B$12,Paramètres!$A$1:$I$88,5,0)</f>
        <v>-1.064108801074326E-13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163.77317062597106</v>
      </c>
      <c r="CE176" s="62">
        <f t="shared" si="148"/>
        <v>122.66073843071686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11.869060970428599</v>
      </c>
      <c r="CL176" s="23">
        <f>EXP(-LN(2)/25)*CL175+(1-EXP(-LN(2)/25))/(LN(2)/25)*Calculateur!CG176*Calculateur!CI176*VLOOKUP('Données projet'!$B$12,Paramètres!$A$1:$I$88,3,0)*0.475*44/12</f>
        <v>2.2713912511412331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14.140452221569833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projet'!$B$13,Paramètres!$A$1:$I$88,3,0)*VLOOKUP('Données projet'!$B$13,Paramètres!$A$1:$I$88,5,0)</f>
        <v>-6.7984728957526396E-14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167.84261986874142</v>
      </c>
      <c r="CZ176" s="62">
        <f t="shared" si="150"/>
        <v>242.5860875239222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2.9754581748962257</v>
      </c>
      <c r="DG176" s="23">
        <f>EXP(-LN(2)/25)*DG175+(1-EXP(-LN(2)/25))/(LN(2)/25)*Calculateur!DB176*Calculateur!DD176*VLOOKUP('Données projet'!$B$13,Paramètres!$A$1:$I$88,3,0)*0.475*44/12</f>
        <v>1.9299754003271949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4.9054335752234204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1.5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5.5</v>
      </c>
      <c r="H177" s="70">
        <f t="shared" si="110"/>
        <v>234.66666666666666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projet'!$B$9,Paramètres!$A$1:$I$88,3,0)*VLOOKUP('Données projet'!$B$9,Paramètres!$A$1:$I$88,5,0)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387.16864229348823</v>
      </c>
      <c r="T177" s="62">
        <f t="shared" si="142"/>
        <v>260.88002342542893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52.384647840323318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52.384647840323318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projet'!$B$10,Paramètres!$A$1:$I$88,3,0)*VLOOKUP('Données projet'!$B$10,Paramètres!$A$1:$I$88,5,0)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292.02443475367733</v>
      </c>
      <c r="AN177" s="62">
        <f ca="1">AVERAGE(OFFSET($AM$3,0,0,'Données projet'!$E$10+1,1))-AVERAGE(OFFSET($H$3,0,0,'Données projet'!$E$10+1,1))</f>
        <v>197.84745001458262</v>
      </c>
      <c r="AO177" s="62">
        <f t="shared" si="144"/>
        <v>290.24283321060068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3.5471415727437487</v>
      </c>
      <c r="AV177" s="23">
        <f>EXP(-LN(2)/25)*AV176+(1-EXP(-LN(2)/25))/(LN(2)/25)*Calculateur!AQ177*Calculateur!AS177*VLOOKUP('Données projet'!$B$10,Paramètres!$A$1:$I$88,3,0)*0.475*44/12</f>
        <v>2.3209226871669388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5.8680642599106871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projet'!$B$11,Paramètres!$A$1:$I$88,3,0)*VLOOKUP('Données projet'!$B$11,Paramètres!$A$1:$I$88,5,0)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377.49758296179459</v>
      </c>
      <c r="BJ177" s="62">
        <f t="shared" si="146"/>
        <v>297.9972591134441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30.559689986547276</v>
      </c>
      <c r="BQ177" s="23">
        <f>EXP(-LN(2)/25)*BQ176+(1-EXP(-LN(2)/25))/(LN(2)/25)*Calculateur!BL177*Calculateur!BN177*VLOOKUP('Données projet'!$B$11,Paramètres!$A$1:$I$88,3,0)*0.475*44/12</f>
        <v>6.6510125956058186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37.210702582153097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projet'!$B$12,Paramètres!$A$1:$I$88,3,0)*VLOOKUP('Données projet'!$B$12,Paramètres!$A$1:$I$88,5,0)</f>
        <v>-1.064108801074326E-13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163.77317062597106</v>
      </c>
      <c r="CE177" s="62">
        <f t="shared" si="148"/>
        <v>122.66073843071686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11.636315924210853</v>
      </c>
      <c r="CL177" s="23">
        <f>EXP(-LN(2)/25)*CL176+(1-EXP(-LN(2)/25))/(LN(2)/25)*Calculateur!CG177*Calculateur!CI177*VLOOKUP('Données projet'!$B$12,Paramètres!$A$1:$I$88,3,0)*0.475*44/12</f>
        <v>2.2092799379315013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13.845595862142355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projet'!$B$13,Paramètres!$A$1:$I$88,3,0)*VLOOKUP('Données projet'!$B$13,Paramètres!$A$1:$I$88,5,0)</f>
        <v>-6.7984728957526396E-14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167.84261986874142</v>
      </c>
      <c r="CZ177" s="62">
        <f t="shared" si="150"/>
        <v>242.5860875239222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2.9171112549367959</v>
      </c>
      <c r="DG177" s="23">
        <f>EXP(-LN(2)/25)*DG176+(1-EXP(-LN(2)/25))/(LN(2)/25)*Calculateur!DB177*Calculateur!DD177*VLOOKUP('Données projet'!$B$13,Paramètres!$A$1:$I$88,3,0)*0.475*44/12</f>
        <v>1.8772001215122525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4.7943113764490484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1.5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5.5</v>
      </c>
      <c r="H178" s="70">
        <f t="shared" si="110"/>
        <v>234.66666666666666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projet'!$B$9,Paramètres!$A$1:$I$88,3,0)*VLOOKUP('Données projet'!$B$9,Paramètres!$A$1:$I$88,5,0)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387.16864229348823</v>
      </c>
      <c r="T178" s="62">
        <f t="shared" si="142"/>
        <v>260.88002342542893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51.357416847654811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51.357416847654811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projet'!$B$10,Paramètres!$A$1:$I$88,3,0)*VLOOKUP('Données projet'!$B$10,Paramètres!$A$1:$I$88,5,0)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292.04714121777556</v>
      </c>
      <c r="AN178" s="62">
        <f ca="1">AVERAGE(OFFSET($AM$3,0,0,'Données projet'!$E$10+1,1))-AVERAGE(OFFSET($H$3,0,0,'Données projet'!$E$10+1,1))</f>
        <v>197.84745001458262</v>
      </c>
      <c r="AO178" s="62">
        <f t="shared" si="144"/>
        <v>290.24283321060068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3.4775842900449709</v>
      </c>
      <c r="AV178" s="23">
        <f>EXP(-LN(2)/25)*AV177+(1-EXP(-LN(2)/25))/(LN(2)/25)*Calculateur!AQ178*Calculateur!AS178*VLOOKUP('Données projet'!$B$10,Paramètres!$A$1:$I$88,3,0)*0.475*44/12</f>
        <v>2.2574569342343391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5.7350412242793105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projet'!$B$11,Paramètres!$A$1:$I$88,3,0)*VLOOKUP('Données projet'!$B$11,Paramètres!$A$1:$I$88,5,0)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377.49758296179459</v>
      </c>
      <c r="BJ178" s="62">
        <f t="shared" si="146"/>
        <v>297.9972591134441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29.960433105481471</v>
      </c>
      <c r="BQ178" s="23">
        <f>EXP(-LN(2)/25)*BQ177+(1-EXP(-LN(2)/25))/(LN(2)/25)*Calculateur!BL178*Calculateur!BN178*VLOOKUP('Données projet'!$B$11,Paramètres!$A$1:$I$88,3,0)*0.475*44/12</f>
        <v>6.469140306417426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36.4295734118989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projet'!$B$12,Paramètres!$A$1:$I$88,3,0)*VLOOKUP('Données projet'!$B$12,Paramètres!$A$1:$I$88,5,0)</f>
        <v>-1.064108801074326E-13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163.77317062597106</v>
      </c>
      <c r="CE178" s="62">
        <f t="shared" si="148"/>
        <v>122.66073843071686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11.408134866388977</v>
      </c>
      <c r="CL178" s="23">
        <f>EXP(-LN(2)/25)*CL177+(1-EXP(-LN(2)/25))/(LN(2)/25)*Calculateur!CG178*Calculateur!CI178*VLOOKUP('Données projet'!$B$12,Paramètres!$A$1:$I$88,3,0)*0.475*44/12</f>
        <v>2.1488670618477821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13.557001928236758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projet'!$B$13,Paramètres!$A$1:$I$88,3,0)*VLOOKUP('Données projet'!$B$13,Paramètres!$A$1:$I$88,5,0)</f>
        <v>-6.7984728957526396E-14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167.84261986874142</v>
      </c>
      <c r="CZ178" s="62">
        <f t="shared" si="150"/>
        <v>242.5860875239222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2.8599084824896632</v>
      </c>
      <c r="DG178" s="23">
        <f>EXP(-LN(2)/25)*DG177+(1-EXP(-LN(2)/25))/(LN(2)/25)*Calculateur!DB178*Calculateur!DD178*VLOOKUP('Données projet'!$B$13,Paramètres!$A$1:$I$88,3,0)*0.475*44/12</f>
        <v>1.8258679854718358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4.6857764679614995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1.5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5.5</v>
      </c>
      <c r="H179" s="70">
        <f t="shared" si="110"/>
        <v>234.66666666666666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projet'!$B$9,Paramètres!$A$1:$I$88,3,0)*VLOOKUP('Données projet'!$B$9,Paramètres!$A$1:$I$88,5,0)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387.16864229348823</v>
      </c>
      <c r="T179" s="62">
        <f t="shared" si="142"/>
        <v>260.88002342542893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50.350329228203499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50.350329228203499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projet'!$B$10,Paramètres!$A$1:$I$88,3,0)*VLOOKUP('Données projet'!$B$10,Paramètres!$A$1:$I$88,5,0)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292.06945377548567</v>
      </c>
      <c r="AN179" s="62">
        <f ca="1">AVERAGE(OFFSET($AM$3,0,0,'Données projet'!$E$10+1,1))-AVERAGE(OFFSET($H$3,0,0,'Données projet'!$E$10+1,1))</f>
        <v>197.84745001458262</v>
      </c>
      <c r="AO179" s="62">
        <f t="shared" si="144"/>
        <v>290.24283321060068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3.4093909832341631</v>
      </c>
      <c r="AV179" s="23">
        <f>EXP(-LN(2)/25)*AV178+(1-EXP(-LN(2)/25))/(LN(2)/25)*Calculateur!AQ179*Calculateur!AS179*VLOOKUP('Données projet'!$B$10,Paramètres!$A$1:$I$88,3,0)*0.475*44/12</f>
        <v>2.1957266556532002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5.6051176388873634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projet'!$B$11,Paramètres!$A$1:$I$88,3,0)*VLOOKUP('Données projet'!$B$11,Paramètres!$A$1:$I$88,5,0)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377.49758296179459</v>
      </c>
      <c r="BJ179" s="62">
        <f t="shared" si="146"/>
        <v>297.9972591134441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29.372927286342758</v>
      </c>
      <c r="BQ179" s="23">
        <f>EXP(-LN(2)/25)*BQ178+(1-EXP(-LN(2)/25))/(LN(2)/25)*Calculateur!BL179*Calculateur!BN179*VLOOKUP('Données projet'!$B$11,Paramètres!$A$1:$I$88,3,0)*0.475*44/12</f>
        <v>6.2922413245411386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35.665168610883896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projet'!$B$12,Paramètres!$A$1:$I$88,3,0)*VLOOKUP('Données projet'!$B$12,Paramètres!$A$1:$I$88,5,0)</f>
        <v>-1.064108801074326E-13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163.77317062597106</v>
      </c>
      <c r="CE179" s="62">
        <f t="shared" si="148"/>
        <v>122.66073843071686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11.184428299934286</v>
      </c>
      <c r="CL179" s="23">
        <f>EXP(-LN(2)/25)*CL178+(1-EXP(-LN(2)/25))/(LN(2)/25)*Calculateur!CG179*Calculateur!CI179*VLOOKUP('Données projet'!$B$12,Paramètres!$A$1:$I$88,3,0)*0.475*44/12</f>
        <v>2.090106179037547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13.274534478971834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projet'!$B$13,Paramètres!$A$1:$I$88,3,0)*VLOOKUP('Données projet'!$B$13,Paramètres!$A$1:$I$88,5,0)</f>
        <v>-6.7984728957526396E-14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167.84261986874142</v>
      </c>
      <c r="CZ179" s="62">
        <f t="shared" si="150"/>
        <v>242.5860875239222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2.8038274215199728</v>
      </c>
      <c r="DG179" s="23">
        <f>EXP(-LN(2)/25)*DG178+(1-EXP(-LN(2)/25))/(LN(2)/25)*Calculateur!DB179*Calculateur!DD179*VLOOKUP('Données projet'!$B$13,Paramètres!$A$1:$I$88,3,0)*0.475*44/12</f>
        <v>1.7759395293908842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4.5797669509108569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1.5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5.5</v>
      </c>
      <c r="H180" s="70">
        <f t="shared" si="110"/>
        <v>234.66666666666666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projet'!$B$9,Paramètres!$A$1:$I$88,3,0)*VLOOKUP('Données projet'!$B$9,Paramètres!$A$1:$I$88,5,0)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387.16864229348823</v>
      </c>
      <c r="T180" s="62">
        <f t="shared" si="142"/>
        <v>260.88002342542893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49.362989982706829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49.362989982706829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projet'!$B$10,Paramètres!$A$1:$I$88,3,0)*VLOOKUP('Données projet'!$B$10,Paramètres!$A$1:$I$88,5,0)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292.09137926020298</v>
      </c>
      <c r="AN180" s="62">
        <f ca="1">AVERAGE(OFFSET($AM$3,0,0,'Données projet'!$E$10+1,1))-AVERAGE(OFFSET($H$3,0,0,'Données projet'!$E$10+1,1))</f>
        <v>197.84745001458262</v>
      </c>
      <c r="AO180" s="62">
        <f t="shared" si="144"/>
        <v>290.24283321060068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3.3425349055761049</v>
      </c>
      <c r="AV180" s="23">
        <f>EXP(-LN(2)/25)*AV179+(1-EXP(-LN(2)/25))/(LN(2)/25)*Calculateur!AQ180*Calculateur!AS180*VLOOKUP('Données projet'!$B$10,Paramètres!$A$1:$I$88,3,0)*0.475*44/12</f>
        <v>2.135684394786117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5.4782193003622215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projet'!$B$11,Paramètres!$A$1:$I$88,3,0)*VLOOKUP('Données projet'!$B$11,Paramètres!$A$1:$I$88,5,0)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377.49758296179459</v>
      </c>
      <c r="BJ180" s="62">
        <f t="shared" si="146"/>
        <v>297.9972591134441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28.796942097974192</v>
      </c>
      <c r="BQ180" s="23">
        <f>EXP(-LN(2)/25)*BQ179+(1-EXP(-LN(2)/25))/(LN(2)/25)*Calculateur!BL180*Calculateur!BN180*VLOOKUP('Données projet'!$B$11,Paramètres!$A$1:$I$88,3,0)*0.475*44/12</f>
        <v>6.1201796546269707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34.917121752601162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projet'!$B$12,Paramètres!$A$1:$I$88,3,0)*VLOOKUP('Données projet'!$B$12,Paramètres!$A$1:$I$88,5,0)</f>
        <v>-1.064108801074326E-13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163.77317062597106</v>
      </c>
      <c r="CE180" s="62">
        <f t="shared" si="148"/>
        <v>122.66073843071686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10.965108482800238</v>
      </c>
      <c r="CL180" s="23">
        <f>EXP(-LN(2)/25)*CL179+(1-EXP(-LN(2)/25))/(LN(2)/25)*Calculateur!CG180*Calculateur!CI180*VLOOKUP('Données projet'!$B$12,Paramètres!$A$1:$I$88,3,0)*0.475*44/12</f>
        <v>2.0329521156578583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12.998060598458096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projet'!$B$13,Paramètres!$A$1:$I$88,3,0)*VLOOKUP('Données projet'!$B$13,Paramètres!$A$1:$I$88,5,0)</f>
        <v>-6.7984728957526396E-14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167.84261986874142</v>
      </c>
      <c r="CZ180" s="62">
        <f t="shared" si="150"/>
        <v>242.5860875239222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2.7488460759498285</v>
      </c>
      <c r="DG180" s="23">
        <f>EXP(-LN(2)/25)*DG179+(1-EXP(-LN(2)/25))/(LN(2)/25)*Calculateur!DB180*Calculateur!DD180*VLOOKUP('Données projet'!$B$13,Paramètres!$A$1:$I$88,3,0)*0.475*44/12</f>
        <v>1.7273763695670896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4.4762224455169184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1.5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5.5</v>
      </c>
      <c r="H181" s="70">
        <f t="shared" si="110"/>
        <v>234.66666666666666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projet'!$B$9,Paramètres!$A$1:$I$88,3,0)*VLOOKUP('Données projet'!$B$9,Paramètres!$A$1:$I$88,5,0)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387.16864229348823</v>
      </c>
      <c r="T181" s="62">
        <f t="shared" si="142"/>
        <v>260.88002342542893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48.395011857596877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48.395011857596877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projet'!$B$10,Paramètres!$A$1:$I$88,3,0)*VLOOKUP('Données projet'!$B$10,Paramètres!$A$1:$I$88,5,0)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292.11292438677845</v>
      </c>
      <c r="AN181" s="62">
        <f ca="1">AVERAGE(OFFSET($AM$3,0,0,'Données projet'!$E$10+1,1))-AVERAGE(OFFSET($H$3,0,0,'Données projet'!$E$10+1,1))</f>
        <v>197.84745001458262</v>
      </c>
      <c r="AO181" s="62">
        <f t="shared" si="144"/>
        <v>290.24283321060068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3.2769898348227406</v>
      </c>
      <c r="AV181" s="23">
        <f>EXP(-LN(2)/25)*AV180+(1-EXP(-LN(2)/25))/(LN(2)/25)*Calculateur!AQ181*Calculateur!AS181*VLOOKUP('Données projet'!$B$10,Paramètres!$A$1:$I$88,3,0)*0.475*44/12</f>
        <v>2.0772839926999294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5.35427382752267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projet'!$B$11,Paramètres!$A$1:$I$88,3,0)*VLOOKUP('Données projet'!$B$11,Paramètres!$A$1:$I$88,5,0)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377.49758296179459</v>
      </c>
      <c r="BJ181" s="62">
        <f t="shared" si="146"/>
        <v>297.9972591134441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28.232251627833257</v>
      </c>
      <c r="BQ181" s="23">
        <f>EXP(-LN(2)/25)*BQ180+(1-EXP(-LN(2)/25))/(LN(2)/25)*Calculateur!BL181*Calculateur!BN181*VLOOKUP('Données projet'!$B$11,Paramètres!$A$1:$I$88,3,0)*0.475*44/12</f>
        <v>5.9528230201249359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34.185074647958196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projet'!$B$12,Paramètres!$A$1:$I$88,3,0)*VLOOKUP('Données projet'!$B$12,Paramètres!$A$1:$I$88,5,0)</f>
        <v>-1.064108801074326E-13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163.77317062597106</v>
      </c>
      <c r="CE181" s="62">
        <f t="shared" si="148"/>
        <v>122.66073843071686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10.750089393508309</v>
      </c>
      <c r="CL181" s="23">
        <f>EXP(-LN(2)/25)*CL180+(1-EXP(-LN(2)/25))/(LN(2)/25)*Calculateur!CG181*Calculateur!CI181*VLOOKUP('Données projet'!$B$12,Paramètres!$A$1:$I$88,3,0)*0.475*44/12</f>
        <v>1.9773609331468887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12.727450326655198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projet'!$B$13,Paramètres!$A$1:$I$88,3,0)*VLOOKUP('Données projet'!$B$13,Paramètres!$A$1:$I$88,5,0)</f>
        <v>-6.7984728957526396E-14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167.84261986874142</v>
      </c>
      <c r="CZ181" s="62">
        <f t="shared" si="150"/>
        <v>242.5860875239222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2.6949428810310052</v>
      </c>
      <c r="DG181" s="23">
        <f>EXP(-LN(2)/25)*DG180+(1-EXP(-LN(2)/25))/(LN(2)/25)*Calculateur!DB181*Calculateur!DD181*VLOOKUP('Données projet'!$B$13,Paramètres!$A$1:$I$88,3,0)*0.475*44/12</f>
        <v>1.6801411719025023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4.3750840529335076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1.5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5.5</v>
      </c>
      <c r="H182" s="70">
        <f t="shared" si="110"/>
        <v>234.66666666666666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projet'!$B$9,Paramètres!$A$1:$I$88,3,0)*VLOOKUP('Données projet'!$B$9,Paramètres!$A$1:$I$88,5,0)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387.16864229348823</v>
      </c>
      <c r="T182" s="62">
        <f t="shared" si="142"/>
        <v>260.88002342542893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47.446015193111968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47.446015193111968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projet'!$B$10,Paramètres!$A$1:$I$88,3,0)*VLOOKUP('Données projet'!$B$10,Paramètres!$A$1:$I$88,5,0)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292.13409575357554</v>
      </c>
      <c r="AN182" s="62">
        <f ca="1">AVERAGE(OFFSET($AM$3,0,0,'Données projet'!$E$10+1,1))-AVERAGE(OFFSET($H$3,0,0,'Données projet'!$E$10+1,1))</f>
        <v>197.84745001458262</v>
      </c>
      <c r="AO182" s="62">
        <f t="shared" si="144"/>
        <v>290.24283321060068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3.212730062928304</v>
      </c>
      <c r="AV182" s="23">
        <f>EXP(-LN(2)/25)*AV181+(1-EXP(-LN(2)/25))/(LN(2)/25)*Calculateur!AQ182*Calculateur!AS182*VLOOKUP('Données projet'!$B$10,Paramètres!$A$1:$I$88,3,0)*0.475*44/12</f>
        <v>2.0204805526799321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5.2332106156082361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projet'!$B$11,Paramètres!$A$1:$I$88,3,0)*VLOOKUP('Données projet'!$B$11,Paramètres!$A$1:$I$88,5,0)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377.49758296179459</v>
      </c>
      <c r="BJ182" s="62">
        <f t="shared" si="146"/>
        <v>297.9972591134441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27.678634393384609</v>
      </c>
      <c r="BQ182" s="23">
        <f>EXP(-LN(2)/25)*BQ181+(1-EXP(-LN(2)/25))/(LN(2)/25)*Calculateur!BL182*Calculateur!BN182*VLOOKUP('Données projet'!$B$11,Paramètres!$A$1:$I$88,3,0)*0.475*44/12</f>
        <v>5.790042761594262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33.46867715497887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projet'!$B$12,Paramètres!$A$1:$I$88,3,0)*VLOOKUP('Données projet'!$B$12,Paramètres!$A$1:$I$88,5,0)</f>
        <v>-1.064108801074326E-13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163.77317062597106</v>
      </c>
      <c r="CE182" s="62">
        <f t="shared" si="148"/>
        <v>122.66073843071686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10.5392866974087</v>
      </c>
      <c r="CL182" s="23">
        <f>EXP(-LN(2)/25)*CL181+(1-EXP(-LN(2)/25))/(LN(2)/25)*Calculateur!CG182*Calculateur!CI182*VLOOKUP('Données projet'!$B$12,Paramètres!$A$1:$I$88,3,0)*0.475*44/12</f>
        <v>1.9232898944450949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12.462576591853795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projet'!$B$13,Paramètres!$A$1:$I$88,3,0)*VLOOKUP('Données projet'!$B$13,Paramètres!$A$1:$I$88,5,0)</f>
        <v>-6.7984728957526396E-14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167.84261986874142</v>
      </c>
      <c r="CZ182" s="62">
        <f t="shared" si="150"/>
        <v>242.5860875239222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2.6420966948868374</v>
      </c>
      <c r="DG182" s="23">
        <f>EXP(-LN(2)/25)*DG181+(1-EXP(-LN(2)/25))/(LN(2)/25)*Calculateur!DB182*Calculateur!DD182*VLOOKUP('Données projet'!$B$13,Paramètres!$A$1:$I$88,3,0)*0.475*44/12</f>
        <v>1.6341976232020441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4.2762943180888815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1.5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5.5</v>
      </c>
      <c r="H183" s="70">
        <f t="shared" si="110"/>
        <v>234.66666666666666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projet'!$B$9,Paramètres!$A$1:$I$88,3,0)*VLOOKUP('Données projet'!$B$9,Paramètres!$A$1:$I$88,5,0)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387.16864229348823</v>
      </c>
      <c r="T183" s="62">
        <f t="shared" si="142"/>
        <v>260.88002342542893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46.5156277743868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46.5156277743868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projet'!$B$10,Paramètres!$A$1:$I$88,3,0)*VLOOKUP('Données projet'!$B$10,Paramètres!$A$1:$I$88,5,0)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292.15489984449079</v>
      </c>
      <c r="AN183" s="62">
        <f ca="1">AVERAGE(OFFSET($AM$3,0,0,'Données projet'!$E$10+1,1))-AVERAGE(OFFSET($H$3,0,0,'Données projet'!$E$10+1,1))</f>
        <v>197.84745001458262</v>
      </c>
      <c r="AO183" s="62">
        <f t="shared" si="144"/>
        <v>290.24283321060068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3.1497303859661265</v>
      </c>
      <c r="AV183" s="23">
        <f>EXP(-LN(2)/25)*AV182+(1-EXP(-LN(2)/25))/(LN(2)/25)*Calculateur!AQ183*Calculateur!AS183*VLOOKUP('Données projet'!$B$10,Paramètres!$A$1:$I$88,3,0)*0.475*44/12</f>
        <v>1.965230405714445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5.1149607916805717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projet'!$B$11,Paramètres!$A$1:$I$88,3,0)*VLOOKUP('Données projet'!$B$11,Paramètres!$A$1:$I$88,5,0)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377.49758296179459</v>
      </c>
      <c r="BJ183" s="62">
        <f t="shared" si="146"/>
        <v>297.9972591134441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27.135873255230329</v>
      </c>
      <c r="BQ183" s="23">
        <f>EXP(-LN(2)/25)*BQ182+(1-EXP(-LN(2)/25))/(LN(2)/25)*Calculateur!BL183*Calculateur!BN183*VLOOKUP('Données projet'!$B$11,Paramètres!$A$1:$I$88,3,0)*0.475*44/12</f>
        <v>5.6317137377933513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32.767586993023684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projet'!$B$12,Paramètres!$A$1:$I$88,3,0)*VLOOKUP('Données projet'!$B$12,Paramètres!$A$1:$I$88,5,0)</f>
        <v>-1.064108801074326E-13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163.77317062597106</v>
      </c>
      <c r="CE183" s="62">
        <f t="shared" si="148"/>
        <v>122.66073843071686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10.332617713602657</v>
      </c>
      <c r="CL183" s="23">
        <f>EXP(-LN(2)/25)*CL182+(1-EXP(-LN(2)/25))/(LN(2)/25)*Calculateur!CG183*Calculateur!CI183*VLOOKUP('Données projet'!$B$12,Paramètres!$A$1:$I$88,3,0)*0.475*44/12</f>
        <v>1.8706974311400739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12.203315144742731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projet'!$B$13,Paramètres!$A$1:$I$88,3,0)*VLOOKUP('Données projet'!$B$13,Paramètres!$A$1:$I$88,5,0)</f>
        <v>-6.7984728957526396E-14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167.84261986874142</v>
      </c>
      <c r="CZ183" s="62">
        <f t="shared" si="150"/>
        <v>242.5860875239222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2.5902867902199662</v>
      </c>
      <c r="DG183" s="23">
        <f>EXP(-LN(2)/25)*DG182+(1-EXP(-LN(2)/25))/(LN(2)/25)*Calculateur!DB183*Calculateur!DD183*VLOOKUP('Données projet'!$B$13,Paramètres!$A$1:$I$88,3,0)*0.475*44/12</f>
        <v>1.5895104032568661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4.1797971934768325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1.5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5.5</v>
      </c>
      <c r="H184" s="70">
        <f t="shared" si="110"/>
        <v>234.66666666666666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projet'!$B$9,Paramètres!$A$1:$I$88,3,0)*VLOOKUP('Données projet'!$B$9,Paramètres!$A$1:$I$88,5,0)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387.16864229348823</v>
      </c>
      <c r="T184" s="62">
        <f t="shared" si="142"/>
        <v>260.88002342542893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45.60348468546254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45.60348468546254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projet'!$B$10,Paramètres!$A$1:$I$88,3,0)*VLOOKUP('Données projet'!$B$10,Paramètres!$A$1:$I$88,5,0)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292.17534303093964</v>
      </c>
      <c r="AN184" s="62">
        <f ca="1">AVERAGE(OFFSET($AM$3,0,0,'Données projet'!$E$10+1,1))-AVERAGE(OFFSET($H$3,0,0,'Données projet'!$E$10+1,1))</f>
        <v>197.84745001458262</v>
      </c>
      <c r="AO184" s="62">
        <f t="shared" si="144"/>
        <v>290.24283321060068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3.087966094243169</v>
      </c>
      <c r="AV184" s="23">
        <f>EXP(-LN(2)/25)*AV183+(1-EXP(-LN(2)/25))/(LN(2)/25)*Calculateur!AQ184*Calculateur!AS184*VLOOKUP('Données projet'!$B$10,Paramètres!$A$1:$I$88,3,0)*0.475*44/12</f>
        <v>1.9114910769232081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4.9994571711663767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projet'!$B$11,Paramètres!$A$1:$I$88,3,0)*VLOOKUP('Données projet'!$B$11,Paramètres!$A$1:$I$88,5,0)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377.49758296179459</v>
      </c>
      <c r="BJ184" s="62">
        <f t="shared" si="146"/>
        <v>297.9972591134441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26.603755331943649</v>
      </c>
      <c r="BQ184" s="23">
        <f>EXP(-LN(2)/25)*BQ183+(1-EXP(-LN(2)/25))/(LN(2)/25)*Calculateur!BL184*Calculateur!BN184*VLOOKUP('Données projet'!$B$11,Paramètres!$A$1:$I$88,3,0)*0.475*44/12</f>
        <v>5.4777142294744383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32.081469561418089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projet'!$B$12,Paramètres!$A$1:$I$88,3,0)*VLOOKUP('Données projet'!$B$12,Paramètres!$A$1:$I$88,5,0)</f>
        <v>-1.064108801074326E-13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163.77317062597106</v>
      </c>
      <c r="CE184" s="62">
        <f t="shared" si="148"/>
        <v>122.66073843071686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10.130001382513417</v>
      </c>
      <c r="CL184" s="23">
        <f>EXP(-LN(2)/25)*CL183+(1-EXP(-LN(2)/25))/(LN(2)/25)*Calculateur!CG184*Calculateur!CI184*VLOOKUP('Données projet'!$B$12,Paramètres!$A$1:$I$88,3,0)*0.475*44/12</f>
        <v>1.8195431115098462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11.949544494023263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projet'!$B$13,Paramètres!$A$1:$I$88,3,0)*VLOOKUP('Données projet'!$B$13,Paramètres!$A$1:$I$88,5,0)</f>
        <v>-6.7984728957526396E-14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167.84261986874142</v>
      </c>
      <c r="CZ184" s="62">
        <f t="shared" si="150"/>
        <v>242.5860875239222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2.5394928461826907</v>
      </c>
      <c r="DG184" s="23">
        <f>EXP(-LN(2)/25)*DG183+(1-EXP(-LN(2)/25))/(LN(2)/25)*Calculateur!DB184*Calculateur!DD184*VLOOKUP('Données projet'!$B$13,Paramètres!$A$1:$I$88,3,0)*0.475*44/12</f>
        <v>1.5460451576910879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4.0855380038737783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1.5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5.5</v>
      </c>
      <c r="H185" s="70">
        <f t="shared" si="110"/>
        <v>234.66666666666666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projet'!$B$9,Paramètres!$A$1:$I$88,3,0)*VLOOKUP('Données projet'!$B$9,Paramètres!$A$1:$I$88,5,0)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387.16864229348823</v>
      </c>
      <c r="T185" s="62">
        <f t="shared" si="142"/>
        <v>260.88002342542893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44.70922816615974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44.70922816615974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projet'!$B$10,Paramètres!$A$1:$I$88,3,0)*VLOOKUP('Données projet'!$B$10,Paramètres!$A$1:$I$88,5,0)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292.19543157380775</v>
      </c>
      <c r="AN185" s="62">
        <f ca="1">AVERAGE(OFFSET($AM$3,0,0,'Données projet'!$E$10+1,1))-AVERAGE(OFFSET($H$3,0,0,'Données projet'!$E$10+1,1))</f>
        <v>197.84745001458262</v>
      </c>
      <c r="AO185" s="62">
        <f t="shared" si="144"/>
        <v>290.24283321060068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3.0274129626084005</v>
      </c>
      <c r="AV185" s="23">
        <f>EXP(-LN(2)/25)*AV184+(1-EXP(-LN(2)/25))/(LN(2)/25)*Calculateur!AQ185*Calculateur!AS185*VLOOKUP('Données projet'!$B$10,Paramètres!$A$1:$I$88,3,0)*0.475*44/12</f>
        <v>1.8592212529037959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4.8866342155121965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projet'!$B$11,Paramètres!$A$1:$I$88,3,0)*VLOOKUP('Données projet'!$B$11,Paramètres!$A$1:$I$88,5,0)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377.49758296179459</v>
      </c>
      <c r="BJ185" s="62">
        <f t="shared" si="146"/>
        <v>297.9972591134441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26.082071916572733</v>
      </c>
      <c r="BQ185" s="23">
        <f>EXP(-LN(2)/25)*BQ184+(1-EXP(-LN(2)/25))/(LN(2)/25)*Calculateur!BL185*Calculateur!BN185*VLOOKUP('Données projet'!$B$11,Paramètres!$A$1:$I$88,3,0)*0.475*44/12</f>
        <v>5.3279258458089878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31.409997762381721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projet'!$B$12,Paramètres!$A$1:$I$88,3,0)*VLOOKUP('Données projet'!$B$12,Paramètres!$A$1:$I$88,5,0)</f>
        <v>-1.064108801074326E-13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163.77317062597106</v>
      </c>
      <c r="CE185" s="62">
        <f t="shared" si="148"/>
        <v>122.66073843071686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9.9313582340930768</v>
      </c>
      <c r="CL185" s="23">
        <f>EXP(-LN(2)/25)*CL184+(1-EXP(-LN(2)/25))/(LN(2)/25)*Calculateur!CG185*Calculateur!CI185*VLOOKUP('Données projet'!$B$12,Paramètres!$A$1:$I$88,3,0)*0.475*44/12</f>
        <v>1.7697876094399958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11.701145843533073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projet'!$B$13,Paramètres!$A$1:$I$88,3,0)*VLOOKUP('Données projet'!$B$13,Paramètres!$A$1:$I$88,5,0)</f>
        <v>-6.7984728957526396E-14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167.84261986874142</v>
      </c>
      <c r="CZ185" s="62">
        <f t="shared" si="150"/>
        <v>242.5860875239222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2.4896949404067392</v>
      </c>
      <c r="DG185" s="23">
        <f>EXP(-LN(2)/25)*DG184+(1-EXP(-LN(2)/25))/(LN(2)/25)*Calculateur!DB185*Calculateur!DD185*VLOOKUP('Données projet'!$B$13,Paramètres!$A$1:$I$88,3,0)*0.475*44/12</f>
        <v>1.5037684715510438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3.9934634119577828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1.5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5.5</v>
      </c>
      <c r="H186" s="70">
        <f t="shared" si="110"/>
        <v>234.66666666666666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projet'!$B$9,Paramètres!$A$1:$I$88,3,0)*VLOOKUP('Données projet'!$B$9,Paramètres!$A$1:$I$88,5,0)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387.16864229348823</v>
      </c>
      <c r="T186" s="62">
        <f t="shared" si="142"/>
        <v>260.88002342542893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43.832507471757843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43.832507471757843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projet'!$B$10,Paramètres!$A$1:$I$88,3,0)*VLOOKUP('Données projet'!$B$10,Paramètres!$A$1:$I$88,5,0)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292.21517162536827</v>
      </c>
      <c r="AN186" s="62">
        <f ca="1">AVERAGE(OFFSET($AM$3,0,0,'Données projet'!$E$10+1,1))-AVERAGE(OFFSET($H$3,0,0,'Données projet'!$E$10+1,1))</f>
        <v>197.84745001458262</v>
      </c>
      <c r="AO186" s="62">
        <f t="shared" si="144"/>
        <v>290.24283321060068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2.9680472409512264</v>
      </c>
      <c r="AV186" s="23">
        <f>EXP(-LN(2)/25)*AV185+(1-EXP(-LN(2)/25))/(LN(2)/25)*Calculateur!AQ186*Calculateur!AS186*VLOOKUP('Données projet'!$B$10,Paramètres!$A$1:$I$88,3,0)*0.475*44/12</f>
        <v>1.8083807499709452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4.7764279909221719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projet'!$B$11,Paramètres!$A$1:$I$88,3,0)*VLOOKUP('Données projet'!$B$11,Paramètres!$A$1:$I$88,5,0)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377.49758296179459</v>
      </c>
      <c r="BJ186" s="62">
        <f t="shared" si="146"/>
        <v>297.9972591134441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25.570618394781778</v>
      </c>
      <c r="BQ186" s="23">
        <f>EXP(-LN(2)/25)*BQ185+(1-EXP(-LN(2)/25))/(LN(2)/25)*Calculateur!BL186*Calculateur!BN186*VLOOKUP('Données projet'!$B$11,Paramètres!$A$1:$I$88,3,0)*0.475*44/12</f>
        <v>5.1822334333718976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30.752851828153677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projet'!$B$12,Paramètres!$A$1:$I$88,3,0)*VLOOKUP('Données projet'!$B$12,Paramètres!$A$1:$I$88,5,0)</f>
        <v>-1.064108801074326E-13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163.77317062597106</v>
      </c>
      <c r="CE186" s="62">
        <f t="shared" si="148"/>
        <v>122.66073843071686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9.7366103566529034</v>
      </c>
      <c r="CL186" s="23">
        <f>EXP(-LN(2)/25)*CL185+(1-EXP(-LN(2)/25))/(LN(2)/25)*Calculateur!CG186*Calculateur!CI186*VLOOKUP('Données projet'!$B$12,Paramètres!$A$1:$I$88,3,0)*0.475*44/12</f>
        <v>1.7213926741907737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11.458003030843678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projet'!$B$13,Paramètres!$A$1:$I$88,3,0)*VLOOKUP('Données projet'!$B$13,Paramètres!$A$1:$I$88,5,0)</f>
        <v>-6.7984728957526396E-14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167.84261986874142</v>
      </c>
      <c r="CZ186" s="62">
        <f t="shared" si="150"/>
        <v>242.5860875239222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2.440873541189331</v>
      </c>
      <c r="DG186" s="23">
        <f>EXP(-LN(2)/25)*DG185+(1-EXP(-LN(2)/25))/(LN(2)/25)*Calculateur!DB186*Calculateur!DD186*VLOOKUP('Données projet'!$B$13,Paramètres!$A$1:$I$88,3,0)*0.475*44/12</f>
        <v>1.4626478436167334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3.9035213848060644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1.5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5.5</v>
      </c>
      <c r="H187" s="70">
        <f t="shared" si="110"/>
        <v>234.66666666666666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projet'!$B$9,Paramètres!$A$1:$I$88,3,0)*VLOOKUP('Données projet'!$B$9,Paramètres!$A$1:$I$88,5,0)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387.16864229348823</v>
      </c>
      <c r="T187" s="62">
        <f t="shared" si="142"/>
        <v>260.88002342542893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42.972978735426352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42.972978735426352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projet'!$B$10,Paramètres!$A$1:$I$88,3,0)*VLOOKUP('Données projet'!$B$10,Paramètres!$A$1:$I$88,5,0)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292.23456923116646</v>
      </c>
      <c r="AN187" s="62">
        <f ca="1">AVERAGE(OFFSET($AM$3,0,0,'Données projet'!$E$10+1,1))-AVERAGE(OFFSET($H$3,0,0,'Données projet'!$E$10+1,1))</f>
        <v>197.84745001458262</v>
      </c>
      <c r="AO187" s="62">
        <f t="shared" si="144"/>
        <v>290.24283321060068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2.9098456448862344</v>
      </c>
      <c r="AV187" s="23">
        <f>EXP(-LN(2)/25)*AV186+(1-EXP(-LN(2)/25))/(LN(2)/25)*Calculateur!AQ187*Calculateur!AS187*VLOOKUP('Données projet'!$B$10,Paramètres!$A$1:$I$88,3,0)*0.475*44/12</f>
        <v>1.7589304832643793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4.6687761281506139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projet'!$B$11,Paramètres!$A$1:$I$88,3,0)*VLOOKUP('Données projet'!$B$11,Paramètres!$A$1:$I$88,5,0)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377.49758296179459</v>
      </c>
      <c r="BJ187" s="62">
        <f t="shared" si="146"/>
        <v>297.9972591134441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25.069194164597299</v>
      </c>
      <c r="BQ187" s="23">
        <f>EXP(-LN(2)/25)*BQ186+(1-EXP(-LN(2)/25))/(LN(2)/25)*Calculateur!BL187*Calculateur!BN187*VLOOKUP('Données projet'!$B$11,Paramètres!$A$1:$I$88,3,0)*0.475*44/12</f>
        <v>5.040524987614531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30.109719152211831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projet'!$B$12,Paramètres!$A$1:$I$88,3,0)*VLOOKUP('Données projet'!$B$12,Paramètres!$A$1:$I$88,5,0)</f>
        <v>-1.064108801074326E-13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163.77317062597106</v>
      </c>
      <c r="CE187" s="62">
        <f t="shared" si="148"/>
        <v>122.66073843071686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9.545681366304855</v>
      </c>
      <c r="CL187" s="23">
        <f>EXP(-LN(2)/25)*CL186+(1-EXP(-LN(2)/25))/(LN(2)/25)*Calculateur!CG187*Calculateur!CI187*VLOOKUP('Données projet'!$B$12,Paramètres!$A$1:$I$88,3,0)*0.475*44/12</f>
        <v>1.6743211009909205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11.220002467295775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projet'!$B$13,Paramètres!$A$1:$I$88,3,0)*VLOOKUP('Données projet'!$B$13,Paramètres!$A$1:$I$88,5,0)</f>
        <v>-6.7984728957526396E-14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167.84261986874142</v>
      </c>
      <c r="CZ187" s="62">
        <f t="shared" si="150"/>
        <v>242.5860875239222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2.3930094998324631</v>
      </c>
      <c r="DG187" s="23">
        <f>EXP(-LN(2)/25)*DG186+(1-EXP(-LN(2)/25))/(LN(2)/25)*Calculateur!DB187*Calculateur!DD187*VLOOKUP('Données projet'!$B$13,Paramètres!$A$1:$I$88,3,0)*0.475*44/12</f>
        <v>1.4226516614157267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3.8156611612481899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1.5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5.5</v>
      </c>
      <c r="H188" s="70">
        <f t="shared" si="110"/>
        <v>234.66666666666666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projet'!$B$9,Paramètres!$A$1:$I$88,3,0)*VLOOKUP('Données projet'!$B$9,Paramètres!$A$1:$I$88,5,0)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387.16864229348823</v>
      </c>
      <c r="T188" s="62">
        <f t="shared" si="142"/>
        <v>260.88002342542893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42.130304833353556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42.130304833353556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projet'!$B$10,Paramètres!$A$1:$I$88,3,0)*VLOOKUP('Données projet'!$B$10,Paramètres!$A$1:$I$88,5,0)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292.25363033187051</v>
      </c>
      <c r="AN188" s="62">
        <f ca="1">AVERAGE(OFFSET($AM$3,0,0,'Données projet'!$E$10+1,1))-AVERAGE(OFFSET($H$3,0,0,'Données projet'!$E$10+1,1))</f>
        <v>197.84745001458262</v>
      </c>
      <c r="AO188" s="62">
        <f t="shared" si="144"/>
        <v>290.24283321060068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2.852785346620609</v>
      </c>
      <c r="AV188" s="23">
        <f>EXP(-LN(2)/25)*AV187+(1-EXP(-LN(2)/25))/(LN(2)/25)*Calculateur!AQ188*Calculateur!AS188*VLOOKUP('Données projet'!$B$10,Paramètres!$A$1:$I$88,3,0)*0.475*44/12</f>
        <v>1.7108324367013807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4.5636177833219893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projet'!$B$11,Paramètres!$A$1:$I$88,3,0)*VLOOKUP('Données projet'!$B$11,Paramètres!$A$1:$I$88,5,0)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377.49758296179459</v>
      </c>
      <c r="BJ188" s="62">
        <f t="shared" si="146"/>
        <v>297.9972591134441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24.577602557728156</v>
      </c>
      <c r="BQ188" s="23">
        <f>EXP(-LN(2)/25)*BQ187+(1-EXP(-LN(2)/25))/(LN(2)/25)*Calculateur!BL188*Calculateur!BN188*VLOOKUP('Données projet'!$B$11,Paramètres!$A$1:$I$88,3,0)*0.475*44/12</f>
        <v>4.9026915667585227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29.480294124486679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projet'!$B$12,Paramètres!$A$1:$I$88,3,0)*VLOOKUP('Données projet'!$B$12,Paramètres!$A$1:$I$88,5,0)</f>
        <v>-1.064108801074326E-13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163.77317062597106</v>
      </c>
      <c r="CE188" s="62">
        <f t="shared" si="148"/>
        <v>122.66073843071686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9.3584963770023464</v>
      </c>
      <c r="CL188" s="23">
        <f>EXP(-LN(2)/25)*CL187+(1-EXP(-LN(2)/25))/(LN(2)/25)*Calculateur!CG188*Calculateur!CI188*VLOOKUP('Données projet'!$B$12,Paramètres!$A$1:$I$88,3,0)*0.475*44/12</f>
        <v>1.6285367024356037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10.98703307943795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projet'!$B$13,Paramètres!$A$1:$I$88,3,0)*VLOOKUP('Données projet'!$B$13,Paramètres!$A$1:$I$88,5,0)</f>
        <v>-6.7984728957526396E-14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167.84261986874142</v>
      </c>
      <c r="CZ188" s="62">
        <f t="shared" si="150"/>
        <v>242.5860875239222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2.3460840431324206</v>
      </c>
      <c r="DG188" s="23">
        <f>EXP(-LN(2)/25)*DG187+(1-EXP(-LN(2)/25))/(LN(2)/25)*Calculateur!DB188*Calculateur!DD188*VLOOKUP('Données projet'!$B$13,Paramètres!$A$1:$I$88,3,0)*0.475*44/12</f>
        <v>1.3837491769203143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3.7298332200527349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1.5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5.5</v>
      </c>
      <c r="H189" s="70">
        <f t="shared" si="110"/>
        <v>234.66666666666666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projet'!$B$9,Paramètres!$A$1:$I$88,3,0)*VLOOKUP('Données projet'!$B$9,Paramètres!$A$1:$I$88,5,0)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387.16864229348823</v>
      </c>
      <c r="T189" s="62">
        <f t="shared" si="142"/>
        <v>260.88002342542893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41.304155252520076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41.304155252520076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projet'!$B$10,Paramètres!$A$1:$I$88,3,0)*VLOOKUP('Données projet'!$B$10,Paramètres!$A$1:$I$88,5,0)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292.27236076509161</v>
      </c>
      <c r="AN189" s="62">
        <f ca="1">AVERAGE(OFFSET($AM$3,0,0,'Données projet'!$E$10+1,1))-AVERAGE(OFFSET($H$3,0,0,'Données projet'!$E$10+1,1))</f>
        <v>197.84745001458262</v>
      </c>
      <c r="AO189" s="62">
        <f t="shared" si="144"/>
        <v>290.24283321060068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2.796843966000627</v>
      </c>
      <c r="AV189" s="23">
        <f>EXP(-LN(2)/25)*AV188+(1-EXP(-LN(2)/25))/(LN(2)/25)*Calculateur!AQ189*Calculateur!AS189*VLOOKUP('Données projet'!$B$10,Paramètres!$A$1:$I$88,3,0)*0.475*44/12</f>
        <v>1.6640496337510138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4.4608935997516408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projet'!$B$11,Paramètres!$A$1:$I$88,3,0)*VLOOKUP('Données projet'!$B$11,Paramètres!$A$1:$I$88,5,0)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377.49758296179459</v>
      </c>
      <c r="BJ189" s="62">
        <f t="shared" si="146"/>
        <v>297.9972591134441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24.095650762428441</v>
      </c>
      <c r="BQ189" s="23">
        <f>EXP(-LN(2)/25)*BQ188+(1-EXP(-LN(2)/25))/(LN(2)/25)*Calculateur!BL189*Calculateur!BN189*VLOOKUP('Données projet'!$B$11,Paramètres!$A$1:$I$88,3,0)*0.475*44/12</f>
        <v>4.7686272080441663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28.864277970472607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projet'!$B$12,Paramètres!$A$1:$I$88,3,0)*VLOOKUP('Données projet'!$B$12,Paramètres!$A$1:$I$88,5,0)</f>
        <v>-1.064108801074326E-13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163.77317062597106</v>
      </c>
      <c r="CE189" s="62">
        <f t="shared" si="148"/>
        <v>122.66073843071686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9.1749819711684903</v>
      </c>
      <c r="CL189" s="23">
        <f>EXP(-LN(2)/25)*CL188+(1-EXP(-LN(2)/25))/(LN(2)/25)*Calculateur!CG189*Calculateur!CI189*VLOOKUP('Données projet'!$B$12,Paramètres!$A$1:$I$88,3,0)*0.475*44/12</f>
        <v>1.5840042806664789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10.758986251834969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projet'!$B$13,Paramètres!$A$1:$I$88,3,0)*VLOOKUP('Données projet'!$B$13,Paramètres!$A$1:$I$88,5,0)</f>
        <v>-6.7984728957526396E-14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167.84261986874142</v>
      </c>
      <c r="CZ189" s="62">
        <f t="shared" si="150"/>
        <v>242.5860875239222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2.3000787660165636</v>
      </c>
      <c r="DG189" s="23">
        <f>EXP(-LN(2)/25)*DG188+(1-EXP(-LN(2)/25))/(LN(2)/25)*Calculateur!DB189*Calculateur!DD189*VLOOKUP('Données projet'!$B$13,Paramètres!$A$1:$I$88,3,0)*0.475*44/12</f>
        <v>1.3459104829092217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3.645989248925785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1.5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5.5</v>
      </c>
      <c r="H190" s="70">
        <f t="shared" si="110"/>
        <v>234.66666666666666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projet'!$B$9,Paramètres!$A$1:$I$88,3,0)*VLOOKUP('Données projet'!$B$9,Paramètres!$A$1:$I$88,5,0)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387.16864229348823</v>
      </c>
      <c r="T190" s="62">
        <f t="shared" si="142"/>
        <v>260.88002342542893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40.494205961065255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40.494205961065255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projet'!$B$10,Paramètres!$A$1:$I$88,3,0)*VLOOKUP('Données projet'!$B$10,Paramètres!$A$1:$I$88,5,0)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292.29076626717136</v>
      </c>
      <c r="AN190" s="62">
        <f ca="1">AVERAGE(OFFSET($AM$3,0,0,'Données projet'!$E$10+1,1))-AVERAGE(OFFSET($H$3,0,0,'Données projet'!$E$10+1,1))</f>
        <v>197.84745001458262</v>
      </c>
      <c r="AO190" s="62">
        <f t="shared" si="144"/>
        <v>290.24283321060068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2.7419995617337296</v>
      </c>
      <c r="AV190" s="23">
        <f>EXP(-LN(2)/25)*AV189+(1-EXP(-LN(2)/25))/(LN(2)/25)*Calculateur!AQ190*Calculateur!AS190*VLOOKUP('Données projet'!$B$10,Paramètres!$A$1:$I$88,3,0)*0.475*44/12</f>
        <v>1.6185461090075253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4.3605456707412547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projet'!$B$11,Paramètres!$A$1:$I$88,3,0)*VLOOKUP('Données projet'!$B$11,Paramètres!$A$1:$I$88,5,0)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377.49758296179459</v>
      </c>
      <c r="BJ190" s="62">
        <f t="shared" si="146"/>
        <v>297.9972591134441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23.623149747872986</v>
      </c>
      <c r="BQ190" s="23">
        <f>EXP(-LN(2)/25)*BQ189+(1-EXP(-LN(2)/25))/(LN(2)/25)*Calculateur!BL190*Calculateur!BN190*VLOOKUP('Données projet'!$B$11,Paramètres!$A$1:$I$88,3,0)*0.475*44/12</f>
        <v>4.6382288462689925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28.261378594141981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projet'!$B$12,Paramètres!$A$1:$I$88,3,0)*VLOOKUP('Données projet'!$B$12,Paramètres!$A$1:$I$88,5,0)</f>
        <v>-1.064108801074326E-13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163.77317062597106</v>
      </c>
      <c r="CE190" s="62">
        <f t="shared" si="148"/>
        <v>122.66073843071686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8.9950661709003015</v>
      </c>
      <c r="CL190" s="23">
        <f>EXP(-LN(2)/25)*CL189+(1-EXP(-LN(2)/25))/(LN(2)/25)*Calculateur!CG190*Calculateur!CI190*VLOOKUP('Données projet'!$B$12,Paramètres!$A$1:$I$88,3,0)*0.475*44/12</f>
        <v>1.5406896003124892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10.535755771212791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projet'!$B$13,Paramètres!$A$1:$I$88,3,0)*VLOOKUP('Données projet'!$B$13,Paramètres!$A$1:$I$88,5,0)</f>
        <v>-6.7984728957526396E-14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167.84261986874142</v>
      </c>
      <c r="CZ190" s="62">
        <f t="shared" si="150"/>
        <v>242.5860875239222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2.2549756243245</v>
      </c>
      <c r="DG190" s="23">
        <f>EXP(-LN(2)/25)*DG189+(1-EXP(-LN(2)/25))/(LN(2)/25)*Calculateur!DB190*Calculateur!DD190*VLOOKUP('Données projet'!$B$13,Paramètres!$A$1:$I$88,3,0)*0.475*44/12</f>
        <v>1.3091064899757128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3.5640821143002128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1.5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5.5</v>
      </c>
      <c r="H191" s="70">
        <f t="shared" si="110"/>
        <v>234.66666666666666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projet'!$B$9,Paramètres!$A$1:$I$88,3,0)*VLOOKUP('Données projet'!$B$9,Paramètres!$A$1:$I$88,5,0)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387.16864229348823</v>
      </c>
      <c r="T191" s="62">
        <f t="shared" si="142"/>
        <v>260.88002342542893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39.700139281195575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39.700139281195575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projet'!$B$10,Paramètres!$A$1:$I$88,3,0)*VLOOKUP('Données projet'!$B$10,Paramètres!$A$1:$I$88,5,0)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292.30885247493848</v>
      </c>
      <c r="AN191" s="62">
        <f ca="1">AVERAGE(OFFSET($AM$3,0,0,'Données projet'!$E$10+1,1))-AVERAGE(OFFSET($H$3,0,0,'Données projet'!$E$10+1,1))</f>
        <v>197.84745001458262</v>
      </c>
      <c r="AO191" s="62">
        <f t="shared" si="144"/>
        <v>290.24283321060068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2.6882306227827226</v>
      </c>
      <c r="AV191" s="23">
        <f>EXP(-LN(2)/25)*AV190+(1-EXP(-LN(2)/25))/(LN(2)/25)*Calculateur!AQ191*Calculateur!AS191*VLOOKUP('Données projet'!$B$10,Paramètres!$A$1:$I$88,3,0)*0.475*44/12</f>
        <v>1.5742868805410739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4.2625175033237968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projet'!$B$11,Paramètres!$A$1:$I$88,3,0)*VLOOKUP('Données projet'!$B$11,Paramètres!$A$1:$I$88,5,0)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377.49758296179459</v>
      </c>
      <c r="BJ191" s="62">
        <f t="shared" si="146"/>
        <v>297.9972591134441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23.159914190015801</v>
      </c>
      <c r="BQ191" s="23">
        <f>EXP(-LN(2)/25)*BQ190+(1-EXP(-LN(2)/25))/(LN(2)/25)*Calculateur!BL191*Calculateur!BN191*VLOOKUP('Données projet'!$B$11,Paramètres!$A$1:$I$88,3,0)*0.475*44/12</f>
        <v>4.5113962345539127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27.671310424569715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projet'!$B$12,Paramètres!$A$1:$I$88,3,0)*VLOOKUP('Données projet'!$B$12,Paramètres!$A$1:$I$88,5,0)</f>
        <v>-1.064108801074326E-13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163.77317062597106</v>
      </c>
      <c r="CE191" s="62">
        <f t="shared" si="148"/>
        <v>122.66073843071686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8.8186784097375686</v>
      </c>
      <c r="CL191" s="23">
        <f>EXP(-LN(2)/25)*CL190+(1-EXP(-LN(2)/25))/(LN(2)/25)*Calculateur!CG191*Calculateur!CI191*VLOOKUP('Données projet'!$B$12,Paramètres!$A$1:$I$88,3,0)*0.475*44/12</f>
        <v>1.4985593621705995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10.317237771908168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projet'!$B$13,Paramètres!$A$1:$I$88,3,0)*VLOOKUP('Données projet'!$B$13,Paramètres!$A$1:$I$88,5,0)</f>
        <v>-6.7984728957526396E-14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167.84261986874142</v>
      </c>
      <c r="CZ191" s="62">
        <f t="shared" si="150"/>
        <v>242.5860875239222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2.2107569277308179</v>
      </c>
      <c r="DG191" s="23">
        <f>EXP(-LN(2)/25)*DG190+(1-EXP(-LN(2)/25))/(LN(2)/25)*Calculateur!DB191*Calculateur!DD191*VLOOKUP('Données projet'!$B$13,Paramètres!$A$1:$I$88,3,0)*0.475*44/12</f>
        <v>1.2733089041644086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3.4840658318952267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1.5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5.5</v>
      </c>
      <c r="H192" s="70">
        <f t="shared" si="110"/>
        <v>234.66666666666666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projet'!$B$9,Paramètres!$A$1:$I$88,3,0)*VLOOKUP('Données projet'!$B$9,Paramètres!$A$1:$I$88,5,0)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387.16864229348823</v>
      </c>
      <c r="T192" s="62">
        <f t="shared" si="142"/>
        <v>260.88002342542893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38.921643764585291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38.921643764585291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projet'!$B$10,Paramètres!$A$1:$I$88,3,0)*VLOOKUP('Données projet'!$B$10,Paramètres!$A$1:$I$88,5,0)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292.32662492743555</v>
      </c>
      <c r="AN192" s="62">
        <f ca="1">AVERAGE(OFFSET($AM$3,0,0,'Données projet'!$E$10+1,1))-AVERAGE(OFFSET($H$3,0,0,'Données projet'!$E$10+1,1))</f>
        <v>197.84745001458262</v>
      </c>
      <c r="AO192" s="62">
        <f t="shared" si="144"/>
        <v>290.24283321060068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2.6355160599287304</v>
      </c>
      <c r="AV192" s="23">
        <f>EXP(-LN(2)/25)*AV191+(1-EXP(-LN(2)/25))/(LN(2)/25)*Calculateur!AQ192*Calculateur!AS192*VLOOKUP('Données projet'!$B$10,Paramètres!$A$1:$I$88,3,0)*0.475*44/12</f>
        <v>1.5312379230045292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4.16675398293326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projet'!$B$11,Paramètres!$A$1:$I$88,3,0)*VLOOKUP('Données projet'!$B$11,Paramètres!$A$1:$I$88,5,0)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377.49758296179459</v>
      </c>
      <c r="BJ192" s="62">
        <f t="shared" si="146"/>
        <v>297.9972591134441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22.705762398902404</v>
      </c>
      <c r="BQ192" s="23">
        <f>EXP(-LN(2)/25)*BQ191+(1-EXP(-LN(2)/25))/(LN(2)/25)*Calculateur!BL192*Calculateur!BN192*VLOOKUP('Données projet'!$B$11,Paramètres!$A$1:$I$88,3,0)*0.475*44/12</f>
        <v>4.3880318672760188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27.093794266178424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projet'!$B$12,Paramètres!$A$1:$I$88,3,0)*VLOOKUP('Données projet'!$B$12,Paramètres!$A$1:$I$88,5,0)</f>
        <v>-1.064108801074326E-13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163.77317062597106</v>
      </c>
      <c r="CE192" s="62">
        <f t="shared" si="148"/>
        <v>122.66073843071686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8.6457495049853268</v>
      </c>
      <c r="CL192" s="23">
        <f>EXP(-LN(2)/25)*CL191+(1-EXP(-LN(2)/25))/(LN(2)/25)*Calculateur!CG192*Calculateur!CI192*VLOOKUP('Données projet'!$B$12,Paramètres!$A$1:$I$88,3,0)*0.475*44/12</f>
        <v>1.4575811776062326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10.10333068259156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projet'!$B$13,Paramètres!$A$1:$I$88,3,0)*VLOOKUP('Données projet'!$B$13,Paramètres!$A$1:$I$88,5,0)</f>
        <v>-6.7984728957526396E-14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167.84261986874142</v>
      </c>
      <c r="CZ192" s="62">
        <f t="shared" si="150"/>
        <v>242.5860875239222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2.1674053328065961</v>
      </c>
      <c r="DG192" s="23">
        <f>EXP(-LN(2)/25)*DG191+(1-EXP(-LN(2)/25))/(LN(2)/25)*Calculateur!DB192*Calculateur!DD192*VLOOKUP('Données projet'!$B$13,Paramètres!$A$1:$I$88,3,0)*0.475*44/12</f>
        <v>1.2384902052196278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3.4058955380262237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1.5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5.5</v>
      </c>
      <c r="H193" s="70">
        <f t="shared" si="110"/>
        <v>234.66666666666666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projet'!$B$9,Paramètres!$A$1:$I$88,3,0)*VLOOKUP('Données projet'!$B$9,Paramètres!$A$1:$I$88,5,0)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387.16864229348823</v>
      </c>
      <c r="T193" s="62">
        <f t="shared" si="142"/>
        <v>260.88002342542893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38.158414070220353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38.158414070220353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projet'!$B$10,Paramètres!$A$1:$I$88,3,0)*VLOOKUP('Données projet'!$B$10,Paramètres!$A$1:$I$88,5,0)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292.34408906761507</v>
      </c>
      <c r="AN193" s="62">
        <f ca="1">AVERAGE(OFFSET($AM$3,0,0,'Données projet'!$E$10+1,1))-AVERAGE(OFFSET($H$3,0,0,'Données projet'!$E$10+1,1))</f>
        <v>197.84745001458262</v>
      </c>
      <c r="AO193" s="62">
        <f t="shared" si="144"/>
        <v>290.24283321060068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2.5838351974995963</v>
      </c>
      <c r="AV193" s="23">
        <f>EXP(-LN(2)/25)*AV192+(1-EXP(-LN(2)/25))/(LN(2)/25)*Calculateur!AQ193*Calculateur!AS193*VLOOKUP('Données projet'!$B$10,Paramètres!$A$1:$I$88,3,0)*0.475*44/12</f>
        <v>1.4893661414756676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4.0732013389752639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projet'!$B$11,Paramètres!$A$1:$I$88,3,0)*VLOOKUP('Données projet'!$B$11,Paramètres!$A$1:$I$88,5,0)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377.49758296179459</v>
      </c>
      <c r="BJ193" s="62">
        <f t="shared" si="146"/>
        <v>297.9972591134441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22.260516247407502</v>
      </c>
      <c r="BQ193" s="23">
        <f>EXP(-LN(2)/25)*BQ192+(1-EXP(-LN(2)/25))/(LN(2)/25)*Calculateur!BL193*Calculateur!BN193*VLOOKUP('Données projet'!$B$11,Paramètres!$A$1:$I$88,3,0)*0.475*44/12</f>
        <v>4.2680409051087889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26.528557152516292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projet'!$B$12,Paramètres!$A$1:$I$88,3,0)*VLOOKUP('Données projet'!$B$12,Paramètres!$A$1:$I$88,5,0)</f>
        <v>-1.064108801074326E-13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163.77317062597106</v>
      </c>
      <c r="CE193" s="62">
        <f t="shared" si="148"/>
        <v>122.66073843071686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8.4762116305790585</v>
      </c>
      <c r="CL193" s="23">
        <f>EXP(-LN(2)/25)*CL192+(1-EXP(-LN(2)/25))/(LN(2)/25)*Calculateur!CG193*Calculateur!CI193*VLOOKUP('Données projet'!$B$12,Paramètres!$A$1:$I$88,3,0)*0.475*44/12</f>
        <v>1.4177235436537274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9.8939351742327855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projet'!$B$13,Paramètres!$A$1:$I$88,3,0)*VLOOKUP('Données projet'!$B$13,Paramètres!$A$1:$I$88,5,0)</f>
        <v>-6.7984728957526396E-14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167.84261986874142</v>
      </c>
      <c r="CZ193" s="62">
        <f t="shared" si="150"/>
        <v>242.5860875239222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2.1249038362169763</v>
      </c>
      <c r="DG193" s="23">
        <f>EXP(-LN(2)/25)*DG192+(1-EXP(-LN(2)/25))/(LN(2)/25)*Calculateur!DB193*Calculateur!DD193*VLOOKUP('Données projet'!$B$13,Paramètres!$A$1:$I$88,3,0)*0.475*44/12</f>
        <v>1.2046236254285279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3.3295274616455042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1.5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5.5</v>
      </c>
      <c r="H194" s="70">
        <f t="shared" si="110"/>
        <v>234.66666666666666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projet'!$B$9,Paramètres!$A$1:$I$88,3,0)*VLOOKUP('Données projet'!$B$9,Paramètres!$A$1:$I$88,5,0)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387.16864229348823</v>
      </c>
      <c r="T194" s="62">
        <f t="shared" si="142"/>
        <v>260.88002342542893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37.410150844637762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37.410150844637762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projet'!$B$10,Paramètres!$A$1:$I$88,3,0)*VLOOKUP('Données projet'!$B$10,Paramètres!$A$1:$I$88,5,0)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292.36125024400644</v>
      </c>
      <c r="AN194" s="62">
        <f ca="1">AVERAGE(OFFSET($AM$3,0,0,'Données projet'!$E$10+1,1))-AVERAGE(OFFSET($H$3,0,0,'Données projet'!$E$10+1,1))</f>
        <v>197.84745001458262</v>
      </c>
      <c r="AO194" s="62">
        <f t="shared" si="144"/>
        <v>290.24283321060068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2.533167765260484</v>
      </c>
      <c r="AV194" s="23">
        <f>EXP(-LN(2)/25)*AV193+(1-EXP(-LN(2)/25))/(LN(2)/25)*Calculateur!AQ194*Calculateur!AS194*VLOOKUP('Données projet'!$B$10,Paramètres!$A$1:$I$88,3,0)*0.475*44/12</f>
        <v>1.4486393460146541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3.9818071112751383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projet'!$B$11,Paramètres!$A$1:$I$88,3,0)*VLOOKUP('Données projet'!$B$11,Paramètres!$A$1:$I$88,5,0)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377.49758296179459</v>
      </c>
      <c r="BJ194" s="62">
        <f t="shared" si="146"/>
        <v>297.9972591134441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21.824001101370076</v>
      </c>
      <c r="BQ194" s="23">
        <f>EXP(-LN(2)/25)*BQ193+(1-EXP(-LN(2)/25))/(LN(2)/25)*Calculateur!BL194*Calculateur!BN194*VLOOKUP('Données projet'!$B$11,Paramètres!$A$1:$I$88,3,0)*0.475*44/12</f>
        <v>4.1513311021120725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25.975332203482147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projet'!$B$12,Paramètres!$A$1:$I$88,3,0)*VLOOKUP('Données projet'!$B$12,Paramètres!$A$1:$I$88,5,0)</f>
        <v>-1.064108801074326E-13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163.77317062597106</v>
      </c>
      <c r="CE194" s="62">
        <f t="shared" si="148"/>
        <v>122.66073843071686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8.3099982904820049</v>
      </c>
      <c r="CL194" s="23">
        <f>EXP(-LN(2)/25)*CL193+(1-EXP(-LN(2)/25))/(LN(2)/25)*Calculateur!CG194*Calculateur!CI194*VLOOKUP('Données projet'!$B$12,Paramètres!$A$1:$I$88,3,0)*0.475*44/12</f>
        <v>1.3789558187976754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9.6889541092796811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projet'!$B$13,Paramètres!$A$1:$I$88,3,0)*VLOOKUP('Données projet'!$B$13,Paramètres!$A$1:$I$88,5,0)</f>
        <v>-6.7984728957526396E-14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167.84261986874142</v>
      </c>
      <c r="CZ194" s="62">
        <f t="shared" si="150"/>
        <v>242.5860875239222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2.0832357680521261</v>
      </c>
      <c r="DG194" s="23">
        <f>EXP(-LN(2)/25)*DG193+(1-EXP(-LN(2)/25))/(LN(2)/25)*Calculateur!DB194*Calculateur!DD194*VLOOKUP('Données projet'!$B$13,Paramètres!$A$1:$I$88,3,0)*0.475*44/12</f>
        <v>1.1716831290427816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3.2549188970949077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1.5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5.5</v>
      </c>
      <c r="H195" s="70">
        <f t="shared" si="110"/>
        <v>234.66666666666666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projet'!$B$9,Paramètres!$A$1:$I$88,3,0)*VLOOKUP('Données projet'!$B$9,Paramètres!$A$1:$I$88,5,0)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387.16864229348823</v>
      </c>
      <c r="T195" s="62">
        <f t="shared" si="142"/>
        <v>260.88002342542893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36.676560604513348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36.676560604513348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projet'!$B$10,Paramètres!$A$1:$I$88,3,0)*VLOOKUP('Données projet'!$B$10,Paramètres!$A$1:$I$88,5,0)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292.37811371235409</v>
      </c>
      <c r="AN195" s="62">
        <f ca="1">AVERAGE(OFFSET($AM$3,0,0,'Données projet'!$E$10+1,1))-AVERAGE(OFFSET($H$3,0,0,'Données projet'!$E$10+1,1))</f>
        <v>197.84745001458262</v>
      </c>
      <c r="AO195" s="62">
        <f t="shared" si="144"/>
        <v>290.24283321060068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2.4834938904634987</v>
      </c>
      <c r="AV195" s="23">
        <f>EXP(-LN(2)/25)*AV194+(1-EXP(-LN(2)/25))/(LN(2)/25)*Calculateur!AQ195*Calculateur!AS195*VLOOKUP('Données projet'!$B$10,Paramètres!$A$1:$I$88,3,0)*0.475*44/12</f>
        <v>1.4090262269172511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3.8925201173807498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projet'!$B$11,Paramètres!$A$1:$I$88,3,0)*VLOOKUP('Données projet'!$B$11,Paramètres!$A$1:$I$88,5,0)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377.49758296179459</v>
      </c>
      <c r="BJ195" s="62">
        <f t="shared" si="146"/>
        <v>297.9972591134441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21.396045751098494</v>
      </c>
      <c r="BQ195" s="23">
        <f>EXP(-LN(2)/25)*BQ194+(1-EXP(-LN(2)/25))/(LN(2)/25)*Calculateur!BL195*Calculateur!BN195*VLOOKUP('Données projet'!$B$11,Paramètres!$A$1:$I$88,3,0)*0.475*44/12</f>
        <v>4.0378127348158035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25.4338584859143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projet'!$B$12,Paramètres!$A$1:$I$88,3,0)*VLOOKUP('Données projet'!$B$12,Paramètres!$A$1:$I$88,5,0)</f>
        <v>-1.064108801074326E-13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163.77317062597106</v>
      </c>
      <c r="CE195" s="62">
        <f t="shared" si="148"/>
        <v>122.66073843071686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8.1470442926041269</v>
      </c>
      <c r="CL195" s="23">
        <f>EXP(-LN(2)/25)*CL194+(1-EXP(-LN(2)/25))/(LN(2)/25)*Calculateur!CG195*Calculateur!CI195*VLOOKUP('Données projet'!$B$12,Paramètres!$A$1:$I$88,3,0)*0.475*44/12</f>
        <v>1.3412481994165182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9.4882924920206442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projet'!$B$13,Paramètres!$A$1:$I$88,3,0)*VLOOKUP('Données projet'!$B$13,Paramètres!$A$1:$I$88,5,0)</f>
        <v>-6.7984728957526396E-14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167.84261986874142</v>
      </c>
      <c r="CZ195" s="62">
        <f t="shared" si="150"/>
        <v>242.5860875239222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2.0423847852889763</v>
      </c>
      <c r="DG195" s="23">
        <f>EXP(-LN(2)/25)*DG194+(1-EXP(-LN(2)/25))/(LN(2)/25)*Calculateur!DB195*Calculateur!DD195*VLOOKUP('Données projet'!$B$13,Paramètres!$A$1:$I$88,3,0)*0.475*44/12</f>
        <v>1.139643392262969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3.1820281775519454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1.5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5.5</v>
      </c>
      <c r="H196" s="70">
        <f t="shared" ref="H196:H203" si="192">(B196+E196+F196)*44/12+(C196+D196)*0.475*44/12</f>
        <v>234.66666666666666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projet'!$B$9,Paramètres!$A$1:$I$88,3,0)*VLOOKUP('Données projet'!$B$9,Paramètres!$A$1:$I$88,5,0)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387.16864229348823</v>
      </c>
      <c r="T196" s="62">
        <f t="shared" si="142"/>
        <v>260.88002342542893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35.957355621551905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35.957355621551905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projet'!$B$10,Paramètres!$A$1:$I$88,3,0)*VLOOKUP('Données projet'!$B$10,Paramètres!$A$1:$I$88,5,0)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292.39468463722699</v>
      </c>
      <c r="AN196" s="62">
        <f ca="1">AVERAGE(OFFSET($AM$3,0,0,'Données projet'!$E$10+1,1))-AVERAGE(OFFSET($H$3,0,0,'Données projet'!$E$10+1,1))</f>
        <v>197.84745001458262</v>
      </c>
      <c r="AO196" s="62">
        <f t="shared" si="144"/>
        <v>290.24283321060068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2.4347940900532103</v>
      </c>
      <c r="AV196" s="23">
        <f>EXP(-LN(2)/25)*AV195+(1-EXP(-LN(2)/25))/(LN(2)/25)*Calculateur!AQ196*Calculateur!AS196*VLOOKUP('Données projet'!$B$10,Paramètres!$A$1:$I$88,3,0)*0.475*44/12</f>
        <v>1.37049633064473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3.8052904206979403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projet'!$B$11,Paramètres!$A$1:$I$88,3,0)*VLOOKUP('Données projet'!$B$11,Paramètres!$A$1:$I$88,5,0)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377.49758296179459</v>
      </c>
      <c r="BJ196" s="62">
        <f t="shared" si="146"/>
        <v>297.9972591134441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20.976482344218752</v>
      </c>
      <c r="BQ196" s="23">
        <f>EXP(-LN(2)/25)*BQ195+(1-EXP(-LN(2)/25))/(LN(2)/25)*Calculateur!BL196*Calculateur!BN196*VLOOKUP('Données projet'!$B$11,Paramètres!$A$1:$I$88,3,0)*0.475*44/12</f>
        <v>3.927398533242922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24.903880877461674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projet'!$B$12,Paramètres!$A$1:$I$88,3,0)*VLOOKUP('Données projet'!$B$12,Paramètres!$A$1:$I$88,5,0)</f>
        <v>-1.064108801074326E-13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163.77317062597106</v>
      </c>
      <c r="CE196" s="62">
        <f t="shared" si="148"/>
        <v>122.66073843071686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7.9872857232325103</v>
      </c>
      <c r="CL196" s="23">
        <f>EXP(-LN(2)/25)*CL195+(1-EXP(-LN(2)/25))/(LN(2)/25)*Calculateur!CG196*Calculateur!CI196*VLOOKUP('Données projet'!$B$12,Paramètres!$A$1:$I$88,3,0)*0.475*44/12</f>
        <v>1.3045716968702961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9.2918574201028061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projet'!$B$13,Paramètres!$A$1:$I$88,3,0)*VLOOKUP('Données projet'!$B$13,Paramètres!$A$1:$I$88,5,0)</f>
        <v>-6.7984728957526396E-14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167.84261986874142</v>
      </c>
      <c r="CZ196" s="62">
        <f t="shared" si="150"/>
        <v>242.5860875239222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2.0023348653811728</v>
      </c>
      <c r="DG196" s="23">
        <f>EXP(-LN(2)/25)*DG195+(1-EXP(-LN(2)/25))/(LN(2)/25)*Calculateur!DB196*Calculateur!DD196*VLOOKUP('Données projet'!$B$13,Paramètres!$A$1:$I$88,3,0)*0.475*44/12</f>
        <v>1.1084797837702967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3.1108146491514694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1.5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5.5</v>
      </c>
      <c r="H197" s="70">
        <f t="shared" si="192"/>
        <v>234.66666666666666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projet'!$B$9,Paramètres!$A$1:$I$88,3,0)*VLOOKUP('Données projet'!$B$9,Paramètres!$A$1:$I$88,5,0)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387.16864229348823</v>
      </c>
      <c r="T197" s="62">
        <f t="shared" ref="T197:T203" si="204">$T$3</f>
        <v>260.88002342542893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35.252253809634617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35.252253809634617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projet'!$B$10,Paramètres!$A$1:$I$88,3,0)*VLOOKUP('Données projet'!$B$10,Paramètres!$A$1:$I$88,5,0)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292.41096809360033</v>
      </c>
      <c r="AN197" s="62">
        <f ca="1">AVERAGE(OFFSET($AM$3,0,0,'Données projet'!$E$10+1,1))-AVERAGE(OFFSET($H$3,0,0,'Données projet'!$E$10+1,1))</f>
        <v>197.84745001458262</v>
      </c>
      <c r="AO197" s="62">
        <f t="shared" ref="AO197:AO203" si="205">$AO$3</f>
        <v>290.24283321060068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2.3870492630250224</v>
      </c>
      <c r="AV197" s="23">
        <f>EXP(-LN(2)/25)*AV196+(1-EXP(-LN(2)/25))/(LN(2)/25)*Calculateur!AQ197*Calculateur!AS197*VLOOKUP('Données projet'!$B$10,Paramètres!$A$1:$I$88,3,0)*0.475*44/12</f>
        <v>1.3330200364119802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3.7200692994370028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projet'!$B$11,Paramètres!$A$1:$I$88,3,0)*VLOOKUP('Données projet'!$B$11,Paramètres!$A$1:$I$88,5,0)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377.49758296179459</v>
      </c>
      <c r="BJ197" s="62">
        <f t="shared" ref="BJ197:BJ203" si="206">$BJ$3</f>
        <v>297.9972591134441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20.56514631983951</v>
      </c>
      <c r="BQ197" s="23">
        <f>EXP(-LN(2)/25)*BQ196+(1-EXP(-LN(2)/25))/(LN(2)/25)*Calculateur!BL197*Calculateur!BN197*VLOOKUP('Données projet'!$B$11,Paramètres!$A$1:$I$88,3,0)*0.475*44/12</f>
        <v>3.8200036138184816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24.385149933657992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projet'!$B$12,Paramètres!$A$1:$I$88,3,0)*VLOOKUP('Données projet'!$B$12,Paramètres!$A$1:$I$88,5,0)</f>
        <v>-1.064108801074326E-13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163.77317062597106</v>
      </c>
      <c r="CE197" s="62">
        <f t="shared" ref="CE197:CE203" si="207">$CE$3</f>
        <v>122.66073843071686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7.8306599219631652</v>
      </c>
      <c r="CL197" s="23">
        <f>EXP(-LN(2)/25)*CL196+(1-EXP(-LN(2)/25))/(LN(2)/25)*Calculateur!CG197*Calculateur!CI197*VLOOKUP('Données projet'!$B$12,Paramètres!$A$1:$I$88,3,0)*0.475*44/12</f>
        <v>1.2688981152149339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9.0995580371780989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projet'!$B$13,Paramètres!$A$1:$I$88,3,0)*VLOOKUP('Données projet'!$B$13,Paramètres!$A$1:$I$88,5,0)</f>
        <v>-6.7984728957526396E-14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167.84261986874142</v>
      </c>
      <c r="CZ197" s="62">
        <f t="shared" ref="CZ197:CZ203" si="208">$CZ$3</f>
        <v>242.5860875239222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1.963070299974722</v>
      </c>
      <c r="DG197" s="23">
        <f>EXP(-LN(2)/25)*DG196+(1-EXP(-LN(2)/25))/(LN(2)/25)*Calculateur!DB197*Calculateur!DD197*VLOOKUP('Données projet'!$B$13,Paramètres!$A$1:$I$88,3,0)*0.475*44/12</f>
        <v>1.0781683457906794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3.0412386457654015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1.5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5.5</v>
      </c>
      <c r="H198" s="70">
        <f t="shared" si="192"/>
        <v>234.66666666666666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projet'!$B$9,Paramètres!$A$1:$I$88,3,0)*VLOOKUP('Données projet'!$B$9,Paramètres!$A$1:$I$88,5,0)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387.16864229348823</v>
      </c>
      <c r="T198" s="62">
        <f t="shared" si="204"/>
        <v>260.88002342542893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34.560978614179383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34.560978614179383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projet'!$B$10,Paramètres!$A$1:$I$88,3,0)*VLOOKUP('Données projet'!$B$10,Paramètres!$A$1:$I$88,5,0)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292.42696906840996</v>
      </c>
      <c r="AN198" s="62">
        <f ca="1">AVERAGE(OFFSET($AM$3,0,0,'Données projet'!$E$10+1,1))-AVERAGE(OFFSET($H$3,0,0,'Données projet'!$E$10+1,1))</f>
        <v>197.84745001458262</v>
      </c>
      <c r="AO198" s="62">
        <f t="shared" si="205"/>
        <v>290.24283321060068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2.3402406829333886</v>
      </c>
      <c r="AV198" s="23">
        <f>EXP(-LN(2)/25)*AV197+(1-EXP(-LN(2)/25))/(LN(2)/25)*Calculateur!AQ198*Calculateur!AS198*VLOOKUP('Données projet'!$B$10,Paramètres!$A$1:$I$88,3,0)*0.475*44/12</f>
        <v>1.2965685334158175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3.6368092163492061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projet'!$B$11,Paramètres!$A$1:$I$88,3,0)*VLOOKUP('Données projet'!$B$11,Paramètres!$A$1:$I$88,5,0)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377.49758296179459</v>
      </c>
      <c r="BJ198" s="62">
        <f t="shared" si="206"/>
        <v>297.9972591134441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20.161876344008146</v>
      </c>
      <c r="BQ198" s="23">
        <f>EXP(-LN(2)/25)*BQ197+(1-EXP(-LN(2)/25))/(LN(2)/25)*Calculateur!BL198*Calculateur!BN198*VLOOKUP('Données projet'!$B$11,Paramètres!$A$1:$I$88,3,0)*0.475*44/12</f>
        <v>3.7155454141133561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23.877421758121503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projet'!$B$12,Paramètres!$A$1:$I$88,3,0)*VLOOKUP('Données projet'!$B$12,Paramètres!$A$1:$I$88,5,0)</f>
        <v>-1.064108801074326E-13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163.77317062597106</v>
      </c>
      <c r="CE198" s="62">
        <f t="shared" si="207"/>
        <v>122.66073843071686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7.677105457124406</v>
      </c>
      <c r="CL198" s="23">
        <f>EXP(-LN(2)/25)*CL197+(1-EXP(-LN(2)/25))/(LN(2)/25)*Calculateur!CG198*Calculateur!CI198*VLOOKUP('Données projet'!$B$12,Paramètres!$A$1:$I$88,3,0)*0.475*44/12</f>
        <v>1.2342000295259297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8.9113054866503347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projet'!$B$13,Paramètres!$A$1:$I$88,3,0)*VLOOKUP('Données projet'!$B$13,Paramètres!$A$1:$I$88,5,0)</f>
        <v>-6.7984728957526396E-14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167.84261986874142</v>
      </c>
      <c r="CZ198" s="62">
        <f t="shared" si="208"/>
        <v>242.5860875239222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1.9245756887468717</v>
      </c>
      <c r="DG198" s="23">
        <f>EXP(-LN(2)/25)*DG197+(1-EXP(-LN(2)/25))/(LN(2)/25)*Calculateur!DB198*Calculateur!DD198*VLOOKUP('Données projet'!$B$13,Paramètres!$A$1:$I$88,3,0)*0.475*44/12</f>
        <v>1.0486857756766241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2.973261464423496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1.5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5.5</v>
      </c>
      <c r="H199" s="70">
        <f t="shared" si="192"/>
        <v>234.66666666666666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projet'!$B$9,Paramètres!$A$1:$I$88,3,0)*VLOOKUP('Données projet'!$B$9,Paramètres!$A$1:$I$88,5,0)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387.16864229348823</v>
      </c>
      <c r="T199" s="62">
        <f t="shared" si="204"/>
        <v>260.88002342542893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33.883258903670793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33.883258903670793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projet'!$B$10,Paramètres!$A$1:$I$88,3,0)*VLOOKUP('Données projet'!$B$10,Paramètres!$A$1:$I$88,5,0)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292.44269246207944</v>
      </c>
      <c r="AN199" s="62">
        <f ca="1">AVERAGE(OFFSET($AM$3,0,0,'Données projet'!$E$10+1,1))-AVERAGE(OFFSET($H$3,0,0,'Données projet'!$E$10+1,1))</f>
        <v>197.84745001458262</v>
      </c>
      <c r="AO199" s="62">
        <f t="shared" si="205"/>
        <v>290.24283321060068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2.2943499905469369</v>
      </c>
      <c r="AV199" s="23">
        <f>EXP(-LN(2)/25)*AV198+(1-EXP(-LN(2)/25))/(LN(2)/25)*Calculateur!AQ199*Calculateur!AS199*VLOOKUP('Données projet'!$B$10,Paramètres!$A$1:$I$88,3,0)*0.475*44/12</f>
        <v>1.2611137986859862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3.5554637892329231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projet'!$B$11,Paramètres!$A$1:$I$88,3,0)*VLOOKUP('Données projet'!$B$11,Paramètres!$A$1:$I$88,5,0)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377.49758296179459</v>
      </c>
      <c r="BJ199" s="62">
        <f t="shared" si="206"/>
        <v>297.9972591134441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19.766514246432436</v>
      </c>
      <c r="BQ199" s="23">
        <f>EXP(-LN(2)/25)*BQ198+(1-EXP(-LN(2)/25))/(LN(2)/25)*Calculateur!BL199*Calculateur!BN199*VLOOKUP('Données projet'!$B$11,Paramètres!$A$1:$I$88,3,0)*0.475*44/12</f>
        <v>3.6139436293723852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23.380457875804822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projet'!$B$12,Paramètres!$A$1:$I$88,3,0)*VLOOKUP('Données projet'!$B$12,Paramètres!$A$1:$I$88,5,0)</f>
        <v>-1.064108801074326E-13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163.77317062597106</v>
      </c>
      <c r="CE199" s="62">
        <f t="shared" si="207"/>
        <v>122.66073843071686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7.5265621016821598</v>
      </c>
      <c r="CL199" s="23">
        <f>EXP(-LN(2)/25)*CL198+(1-EXP(-LN(2)/25))/(LN(2)/25)*Calculateur!CG199*Calculateur!CI199*VLOOKUP('Données projet'!$B$12,Paramètres!$A$1:$I$88,3,0)*0.475*44/12</f>
        <v>1.2004507648147844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8.7270128664969437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projet'!$B$13,Paramètres!$A$1:$I$88,3,0)*VLOOKUP('Données projet'!$B$13,Paramètres!$A$1:$I$88,5,0)</f>
        <v>-6.7984728957526396E-14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167.84261986874142</v>
      </c>
      <c r="CZ199" s="62">
        <f t="shared" si="208"/>
        <v>242.5860875239222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1.8868359333658051</v>
      </c>
      <c r="DG199" s="23">
        <f>EXP(-LN(2)/25)*DG198+(1-EXP(-LN(2)/25))/(LN(2)/25)*Calculateur!DB199*Calculateur!DD199*VLOOKUP('Données projet'!$B$13,Paramètres!$A$1:$I$88,3,0)*0.475*44/12</f>
        <v>1.0200094079927586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2.9068453413585638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1.5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5.5</v>
      </c>
      <c r="H200" s="70">
        <f t="shared" si="192"/>
        <v>234.66666666666666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projet'!$B$9,Paramètres!$A$1:$I$88,3,0)*VLOOKUP('Données projet'!$B$9,Paramètres!$A$1:$I$88,5,0)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387.16864229348823</v>
      </c>
      <c r="T200" s="62">
        <f t="shared" si="204"/>
        <v>260.88002342542893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33.218828863317071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33.218828863317071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projet'!$B$10,Paramètres!$A$1:$I$88,3,0)*VLOOKUP('Données projet'!$B$10,Paramètres!$A$1:$I$88,5,0)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292.45814309002105</v>
      </c>
      <c r="AN200" s="62">
        <f ca="1">AVERAGE(OFFSET($AM$3,0,0,'Données projet'!$E$10+1,1))-AVERAGE(OFFSET($H$3,0,0,'Données projet'!$E$10+1,1))</f>
        <v>197.84745001458262</v>
      </c>
      <c r="AO200" s="62">
        <f t="shared" si="205"/>
        <v>290.24283321060068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2.249359186647625</v>
      </c>
      <c r="AV200" s="23">
        <f>EXP(-LN(2)/25)*AV199+(1-EXP(-LN(2)/25))/(LN(2)/25)*Calculateur!AQ200*Calculateur!AS200*VLOOKUP('Données projet'!$B$10,Paramètres!$A$1:$I$88,3,0)*0.475*44/12</f>
        <v>1.2266285755418256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3.4759877621894506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projet'!$B$11,Paramètres!$A$1:$I$88,3,0)*VLOOKUP('Données projet'!$B$11,Paramètres!$A$1:$I$88,5,0)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377.49758296179459</v>
      </c>
      <c r="BJ200" s="62">
        <f t="shared" si="206"/>
        <v>297.9972591134441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19.378904958443119</v>
      </c>
      <c r="BQ200" s="23">
        <f>EXP(-LN(2)/25)*BQ199+(1-EXP(-LN(2)/25))/(LN(2)/25)*Calculateur!BL200*Calculateur!BN200*VLOOKUP('Données projet'!$B$11,Paramètres!$A$1:$I$88,3,0)*0.475*44/12</f>
        <v>3.5151201507781615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22.894025109221282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projet'!$B$12,Paramètres!$A$1:$I$88,3,0)*VLOOKUP('Données projet'!$B$12,Paramètres!$A$1:$I$88,5,0)</f>
        <v>-1.064108801074326E-13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163.77317062597106</v>
      </c>
      <c r="CE200" s="62">
        <f t="shared" si="207"/>
        <v>122.66073843071686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7.3789708096177558</v>
      </c>
      <c r="CL200" s="23">
        <f>EXP(-LN(2)/25)*CL199+(1-EXP(-LN(2)/25))/(LN(2)/25)*Calculateur!CG200*Calculateur!CI200*VLOOKUP('Données projet'!$B$12,Paramètres!$A$1:$I$88,3,0)*0.475*44/12</f>
        <v>1.167624375521962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8.5465951851397186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projet'!$B$13,Paramètres!$A$1:$I$88,3,0)*VLOOKUP('Données projet'!$B$13,Paramètres!$A$1:$I$88,5,0)</f>
        <v>-6.7984728957526396E-14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167.84261986874142</v>
      </c>
      <c r="CZ200" s="62">
        <f t="shared" si="208"/>
        <v>242.5860875239222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1.8498362315687835</v>
      </c>
      <c r="DG200" s="23">
        <f>EXP(-LN(2)/25)*DG199+(1-EXP(-LN(2)/25))/(LN(2)/25)*Calculateur!DB200*Calculateur!DD200*VLOOKUP('Données projet'!$B$13,Paramètres!$A$1:$I$88,3,0)*0.475*44/12</f>
        <v>0.99211719709123314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2.8419534286600165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1.5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5.5</v>
      </c>
      <c r="H201" s="70">
        <f t="shared" si="192"/>
        <v>234.66666666666666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projet'!$B$9,Paramètres!$A$1:$I$88,3,0)*VLOOKUP('Données projet'!$B$9,Paramètres!$A$1:$I$88,5,0)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387.16864229348823</v>
      </c>
      <c r="T201" s="62">
        <f t="shared" si="204"/>
        <v>260.88002342542893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32.567427890792374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32.567427890792374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projet'!$B$10,Paramètres!$A$1:$I$88,3,0)*VLOOKUP('Données projet'!$B$10,Paramètres!$A$1:$I$88,5,0)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292.47332568411025</v>
      </c>
      <c r="AN201" s="62">
        <f ca="1">AVERAGE(OFFSET($AM$3,0,0,'Données projet'!$E$10+1,1))-AVERAGE(OFFSET($H$3,0,0,'Données projet'!$E$10+1,1))</f>
        <v>197.84745001458262</v>
      </c>
      <c r="AO201" s="62">
        <f t="shared" si="205"/>
        <v>290.24283321060068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2.2052506249710979</v>
      </c>
      <c r="AV201" s="23">
        <f>EXP(-LN(2)/25)*AV200+(1-EXP(-LN(2)/25))/(LN(2)/25)*Calculateur!AQ201*Calculateur!AS201*VLOOKUP('Données projet'!$B$10,Paramètres!$A$1:$I$88,3,0)*0.475*44/12</f>
        <v>1.1930863526380411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3.398336977609139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projet'!$B$11,Paramètres!$A$1:$I$88,3,0)*VLOOKUP('Données projet'!$B$11,Paramètres!$A$1:$I$88,5,0)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377.49758296179459</v>
      </c>
      <c r="BJ201" s="62">
        <f t="shared" si="206"/>
        <v>297.9972591134441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18.99889645217295</v>
      </c>
      <c r="BQ201" s="23">
        <f>EXP(-LN(2)/25)*BQ200+(1-EXP(-LN(2)/25))/(LN(2)/25)*Calculateur!BL201*Calculateur!BN201*VLOOKUP('Données projet'!$B$11,Paramètres!$A$1:$I$88,3,0)*0.475*44/12</f>
        <v>3.4189990054029979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22.417895457575948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projet'!$B$12,Paramètres!$A$1:$I$88,3,0)*VLOOKUP('Données projet'!$B$12,Paramètres!$A$1:$I$88,5,0)</f>
        <v>-1.064108801074326E-13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163.77317062597106</v>
      </c>
      <c r="CE201" s="62">
        <f t="shared" si="207"/>
        <v>122.66073843071686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7.2342736927689355</v>
      </c>
      <c r="CL201" s="23">
        <f>EXP(-LN(2)/25)*CL200+(1-EXP(-LN(2)/25))/(LN(2)/25)*Calculateur!CG201*Calculateur!CI201*VLOOKUP('Données projet'!$B$12,Paramètres!$A$1:$I$88,3,0)*0.475*44/12</f>
        <v>1.1356956255706165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8.3699693183395514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projet'!$B$13,Paramètres!$A$1:$I$88,3,0)*VLOOKUP('Données projet'!$B$13,Paramètres!$A$1:$I$88,5,0)</f>
        <v>-6.7984728957526396E-14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167.84261986874142</v>
      </c>
      <c r="CZ201" s="62">
        <f t="shared" si="208"/>
        <v>242.5860875239222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1.8135620713564116</v>
      </c>
      <c r="DG201" s="23">
        <f>EXP(-LN(2)/25)*DG200+(1-EXP(-LN(2)/25))/(LN(2)/25)*Calculateur!DB201*Calculateur!DD201*VLOOKUP('Données projet'!$B$13,Paramètres!$A$1:$I$88,3,0)*0.475*44/12</f>
        <v>0.96498770016359747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2.7785497715200091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1.5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5.5</v>
      </c>
      <c r="H202" s="70">
        <f t="shared" si="192"/>
        <v>234.66666666666666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projet'!$B$9,Paramètres!$A$1:$I$88,3,0)*VLOOKUP('Données projet'!$B$9,Paramètres!$A$1:$I$88,5,0)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387.16864229348823</v>
      </c>
      <c r="T202" s="62">
        <f t="shared" si="204"/>
        <v>260.88002342542893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31.928800494023523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31.928800494023523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projet'!$B$10,Paramètres!$A$1:$I$88,3,0)*VLOOKUP('Données projet'!$B$10,Paramètres!$A$1:$I$88,5,0)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292.48824489413528</v>
      </c>
      <c r="AN202" s="62">
        <f ca="1">AVERAGE(OFFSET($AM$3,0,0,'Données projet'!$E$10+1,1))-AVERAGE(OFFSET($H$3,0,0,'Données projet'!$E$10+1,1))</f>
        <v>197.84745001458262</v>
      </c>
      <c r="AO202" s="62">
        <f t="shared" si="205"/>
        <v>290.24283321060068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2.1620070052854814</v>
      </c>
      <c r="AV202" s="23">
        <f>EXP(-LN(2)/25)*AV201+(1-EXP(-LN(2)/25))/(LN(2)/25)*Calculateur!AQ202*Calculateur!AS202*VLOOKUP('Données projet'!$B$10,Paramètres!$A$1:$I$88,3,0)*0.475*44/12</f>
        <v>1.1604613435834694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3.3224683488689508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projet'!$B$11,Paramètres!$A$1:$I$88,3,0)*VLOOKUP('Données projet'!$B$11,Paramètres!$A$1:$I$88,5,0)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377.49758296179459</v>
      </c>
      <c r="BJ202" s="62">
        <f t="shared" si="206"/>
        <v>297.9972591134441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18.626339680928435</v>
      </c>
      <c r="BQ202" s="23">
        <f>EXP(-LN(2)/25)*BQ201+(1-EXP(-LN(2)/25))/(LN(2)/25)*Calculateur!BL202*Calculateur!BN202*VLOOKUP('Données projet'!$B$11,Paramètres!$A$1:$I$88,3,0)*0.475*44/12</f>
        <v>3.3255062978029093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21.951845978731345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projet'!$B$12,Paramètres!$A$1:$I$88,3,0)*VLOOKUP('Données projet'!$B$12,Paramètres!$A$1:$I$88,5,0)</f>
        <v>-1.064108801074326E-13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163.77317062597106</v>
      </c>
      <c r="CE202" s="62">
        <f t="shared" si="207"/>
        <v>122.66073843071686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7.0924139981249938</v>
      </c>
      <c r="CL202" s="23">
        <f>EXP(-LN(2)/25)*CL201+(1-EXP(-LN(2)/25))/(LN(2)/25)*Calculateur!CG202*Calculateur!CI202*VLOOKUP('Données projet'!$B$12,Paramètres!$A$1:$I$88,3,0)*0.475*44/12</f>
        <v>1.1046399689657507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8.1970539670907439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projet'!$B$13,Paramètres!$A$1:$I$88,3,0)*VLOOKUP('Données projet'!$B$13,Paramètres!$A$1:$I$88,5,0)</f>
        <v>-6.7984728957526396E-14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167.84261986874142</v>
      </c>
      <c r="CZ202" s="62">
        <f t="shared" si="208"/>
        <v>242.5860875239222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1.7779992253007513</v>
      </c>
      <c r="DG202" s="23">
        <f>EXP(-LN(2)/25)*DG201+(1-EXP(-LN(2)/25))/(LN(2)/25)*Calculateur!DB202*Calculateur!DD202*VLOOKUP('Données projet'!$B$13,Paramètres!$A$1:$I$88,3,0)*0.475*44/12</f>
        <v>0.93860006075612623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2.7165992860568773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1.5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5.5</v>
      </c>
      <c r="H203" s="70">
        <f t="shared" si="192"/>
        <v>234.66666666666666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projet'!$B$9,Paramètres!$A$1:$I$88,3,0)*VLOOKUP('Données projet'!$B$9,Paramètres!$A$1:$I$88,5,0)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387.16864229348823</v>
      </c>
      <c r="T203" s="62">
        <f t="shared" si="204"/>
        <v>260.88002342542893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31.302696190981063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31.302696190981063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projet'!$B$10,Paramètres!$A$1:$I$88,3,0)*VLOOKUP('Données projet'!$B$10,Paramètres!$A$1:$I$88,5,0)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292.50290528922062</v>
      </c>
      <c r="AN203" s="62">
        <f ca="1">AVERAGE(OFFSET($AM$3,0,0,'Données projet'!$E$10+1,1))-AVERAGE(OFFSET($H$3,0,0,'Données projet'!$E$10+1,1))</f>
        <v>197.84745001458262</v>
      </c>
      <c r="AO203" s="62">
        <f t="shared" si="205"/>
        <v>290.24283321060068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2.1196113666058962</v>
      </c>
      <c r="AV203" s="23">
        <f>EXP(-LN(2)/25)*AV202+(1-EXP(-LN(2)/25))/(LN(2)/25)*Calculateur!AQ203*Calculateur!AS203*VLOOKUP('Données projet'!$B$10,Paramètres!$A$1:$I$88,3,0)*0.475*44/12</f>
        <v>1.1287284671171696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3.2483398337230658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projet'!$B$11,Paramètres!$A$1:$I$88,3,0)*VLOOKUP('Données projet'!$B$11,Paramètres!$A$1:$I$88,5,0)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377.49758296179459</v>
      </c>
      <c r="BJ203" s="62">
        <f t="shared" si="206"/>
        <v>297.9972591134441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18.261088520730834</v>
      </c>
      <c r="BQ203" s="23">
        <f>EXP(-LN(2)/25)*BQ202+(1-EXP(-LN(2)/25))/(LN(2)/25)*Calculateur!BL203*Calculateur!BN203*VLOOKUP('Données projet'!$B$11,Paramètres!$A$1:$I$88,3,0)*0.475*44/12</f>
        <v>3.234570153208713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21.495658673939545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projet'!$B$12,Paramètres!$A$1:$I$88,3,0)*VLOOKUP('Données projet'!$B$12,Paramètres!$A$1:$I$88,5,0)</f>
        <v>-1.064108801074326E-13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163.77317062597106</v>
      </c>
      <c r="CE203" s="62">
        <f t="shared" si="207"/>
        <v>122.66073843071686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6.95333608556715</v>
      </c>
      <c r="CL203" s="23">
        <f>EXP(-LN(2)/25)*CL202+(1-EXP(-LN(2)/25))/(LN(2)/25)*Calculateur!CG203*Calculateur!CI203*VLOOKUP('Données projet'!$B$12,Paramètres!$A$1:$I$88,3,0)*0.475*44/12</f>
        <v>1.074433530923891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8.0277696164910406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projet'!$B$13,Paramètres!$A$1:$I$88,3,0)*VLOOKUP('Données projet'!$B$13,Paramètres!$A$1:$I$88,5,0)</f>
        <v>-6.7984728957526396E-14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167.84261986874142</v>
      </c>
      <c r="CZ203" s="62">
        <f t="shared" si="208"/>
        <v>242.5860875239222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1.7431337449650481</v>
      </c>
      <c r="DG203" s="23">
        <f>EXP(-LN(2)/25)*DG202+(1-EXP(-LN(2)/25))/(LN(2)/25)*Calculateur!DB203*Calculateur!DD203*VLOOKUP('Données projet'!$B$13,Paramètres!$A$1:$I$88,3,0)*0.475*44/12</f>
        <v>0.91293399273591791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2.6560677377009663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1.1450200501108143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1.2986854880443837</v>
      </c>
      <c r="BA205" s="88">
        <f>EXP(LN('Données projet'!B88)/'Données projet'!A88)</f>
        <v>1.244502252163008</v>
      </c>
      <c r="BV205" s="88">
        <f>EXP(LN('Données projet'!B114)/'Données projet'!A114)</f>
        <v>1.1732530552752831</v>
      </c>
      <c r="CQ205" s="88">
        <f>EXP(LN('Données projet'!B140)/'Données projet'!A140)</f>
        <v>1.2754195595792377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A16"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2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3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2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4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4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3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2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3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70" zoomScaleNormal="70" workbookViewId="0">
      <selection activeCell="K25" sqref="K25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3" t="s">
        <v>271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1.2719389312977099</v>
      </c>
      <c r="C6" s="156">
        <f ca="1">IF(OR('Données projet'!B9="",'Données projet'!C9="",'Données projet'!C9=0%),0,Calculateur!S3)</f>
        <v>387.16864229348823</v>
      </c>
      <c r="D6" s="156">
        <f>IF(OR('Données projet'!B9="",'Données projet'!C9="",'Données projet'!C9=0%),0,Calculateur!T3)</f>
        <v>260.88002342542893</v>
      </c>
      <c r="E6" s="156">
        <f ca="1">MIN(C6,D6)</f>
        <v>260.88002342542893</v>
      </c>
      <c r="F6" s="156">
        <f ca="1">E6*B6</f>
        <v>331.82345819266158</v>
      </c>
      <c r="G6" s="156">
        <f ca="1">F6*(100%-'Données projet'!$C$24)*(100%-'Données projet'!$C$25)*(100%-'Données projet'!$C$26)*(100%-'Données projet'!$C$27)</f>
        <v>298.6411123733954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projet'!$B$9,Paramètres!$A$1:$I$88,9,0)*B6)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298.6411123733954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maritime</v>
      </c>
      <c r="B7" s="163">
        <f>'Données projet'!D10</f>
        <v>1.5022900763358777</v>
      </c>
      <c r="C7" s="156">
        <f ca="1">IF(OR('Données projet'!B10="",'Données projet'!C10="",'Données projet'!C10=0%),0,Calculateur!AN3)</f>
        <v>197.84745001458262</v>
      </c>
      <c r="D7" s="156">
        <f>IF(OR('Données projet'!B10="",'Données projet'!C10="",'Données projet'!C10=0%),0,Calculateur!AO3)</f>
        <v>290.24283321060068</v>
      </c>
      <c r="E7" s="156">
        <f t="shared" ref="E7:E15" ca="1" si="0">MIN(C7,D7)</f>
        <v>197.84745001458262</v>
      </c>
      <c r="F7" s="156">
        <f t="shared" ref="F7:F15" ca="1" si="1">E7*B7</f>
        <v>297.2242607852661</v>
      </c>
      <c r="G7" s="156">
        <f ca="1">F7*(100%-'Données projet'!$C$24)*(100%-'Données projet'!$C$25)*(100%-'Données projet'!$C$26)*(100%-'Données projet'!$C$27)</f>
        <v>267.50183470673949</v>
      </c>
      <c r="H7" s="164">
        <f>IF(OR('Données projet'!B10="",'Données projet'!C10="",'Données projet'!C10=0%),0,AVERAGE(Calculateur!$AX$3:$AX$33)*B7)</f>
        <v>7.4756744471262264</v>
      </c>
      <c r="I7" s="158">
        <f>H7*(100%-'Données projet'!$C$24)*(100%-'Données projet'!$C$25)*(100%-'Données projet'!$C$26)*(100%-'Données projet'!$C$27)</f>
        <v>6.728107002413604</v>
      </c>
      <c r="J7" s="159">
        <f>IF(OR('Données projet'!B10="",'Données projet'!C10="",'Données projet'!C10=0%),0,SUM(Calculateur!$AQ$3:$AQ$33)*VLOOKUP('Données projet'!$B$10,Paramètres!$A$1:$I$88,9,0)*B7)</f>
        <v>54.710864156341174</v>
      </c>
      <c r="K7" s="160">
        <f>J7*(100%-'Données projet'!$C$24)*(100%-'Données projet'!$C$25)*(100%-'Données projet'!$C$26)*(100%-'Données projet'!$C$27)</f>
        <v>49.239777740707055</v>
      </c>
      <c r="L7" s="161">
        <f t="shared" ref="L7:L15" ca="1" si="2">G7+I7+K7</f>
        <v>323.46971944986012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laricio</v>
      </c>
      <c r="B8" s="163">
        <f>'Données projet'!D11</f>
        <v>0.40061068702290076</v>
      </c>
      <c r="C8" s="156">
        <f ca="1">IF(OR('Données projet'!B11="",'Données projet'!C11="",'Données projet'!C11=0%),0,Calculateur!BI3)</f>
        <v>377.49758296179459</v>
      </c>
      <c r="D8" s="156">
        <f>IF(OR('Données projet'!B11="",'Données projet'!C11="",'Données projet'!C11=0%),0,Calculateur!BJ3)</f>
        <v>297.9972591134441</v>
      </c>
      <c r="E8" s="156">
        <f t="shared" ca="1" si="0"/>
        <v>297.9972591134441</v>
      </c>
      <c r="F8" s="156">
        <f t="shared" ca="1" si="1"/>
        <v>119.38088670437821</v>
      </c>
      <c r="G8" s="156">
        <f ca="1">F8*(100%-'Données projet'!$C$24)*(100%-'Données projet'!$C$25)*(100%-'Données projet'!$C$26)*(100%-'Données projet'!$C$27)</f>
        <v>107.44279803394039</v>
      </c>
      <c r="H8" s="164">
        <f>IF(OR('Données projet'!B11="",'Données projet'!C11="",'Données projet'!C11=0%),0,AVERAGE(Calculateur!$BS$3:$BS$33)*B8)</f>
        <v>1.0149378930836712</v>
      </c>
      <c r="I8" s="158">
        <f>H8*(100%-'Données projet'!$C$24)*(100%-'Données projet'!$C$25)*(100%-'Données projet'!$C$26)*(100%-'Données projet'!$C$27)</f>
        <v>0.91344410377530416</v>
      </c>
      <c r="J8" s="159">
        <f>IF(OR('Données projet'!B11="",'Données projet'!C11="",'Données projet'!C11=0%),0,SUM(Calculateur!$BL$3:$BL$33)*VLOOKUP('Données projet'!$B$11,Paramètres!$A$1:$I$88,9,0)*B8)</f>
        <v>11.54159389312977</v>
      </c>
      <c r="K8" s="160">
        <f>J8*(100%-'Données projet'!$C$24)*(100%-'Données projet'!$C$25)*(100%-'Données projet'!$C$26)*(100%-'Données projet'!$C$27)</f>
        <v>10.387434503816793</v>
      </c>
      <c r="L8" s="161">
        <f t="shared" ca="1" si="2"/>
        <v>118.74367664153249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Cèdre de l'Atlas</v>
      </c>
      <c r="B9" s="163">
        <f>'Données projet'!D12</f>
        <v>1.5523664122137404</v>
      </c>
      <c r="C9" s="156">
        <f ca="1">IF(OR('Données projet'!B12="",'Données projet'!C12="",'Données projet'!C12=0%),0,Calculateur!CD3)</f>
        <v>163.77317062597106</v>
      </c>
      <c r="D9" s="156">
        <f>IF(OR('Données projet'!B12="",'Données projet'!C12="",'Données projet'!C12=0%),0,Calculateur!CE3)</f>
        <v>122.66073843071686</v>
      </c>
      <c r="E9" s="156">
        <f t="shared" ca="1" si="0"/>
        <v>122.66073843071686</v>
      </c>
      <c r="F9" s="156">
        <f t="shared" ca="1" si="1"/>
        <v>190.41441043718001</v>
      </c>
      <c r="G9" s="156">
        <f ca="1">F9*(100%-'Données projet'!$C$24)*(100%-'Données projet'!$C$25)*(100%-'Données projet'!$C$26)*(100%-'Données projet'!$C$27)</f>
        <v>171.372969393462</v>
      </c>
      <c r="H9" s="164">
        <f>IF(OR('Données projet'!B12="",'Données projet'!C12="",'Données projet'!C12=0%),0,AVERAGE(Calculateur!$CN$3:$CN$33)*B9)</f>
        <v>1.4568370695131609</v>
      </c>
      <c r="I9" s="158">
        <f>H9*(100%-'Données projet'!$C$24)*(100%-'Données projet'!$C$25)*(100%-'Données projet'!$C$26)*(100%-'Données projet'!$C$27)</f>
        <v>1.3111533625618448</v>
      </c>
      <c r="J9" s="159">
        <f>IF(OR('Données projet'!B12="",'Données projet'!C12="",'Données projet'!C12=0%),0,SUM(Calculateur!$CG$3:$CG$33)*VLOOKUP('Données projet'!$B$12,Paramètres!$A$1:$I$88,9,0)*B9)</f>
        <v>14.969891805153024</v>
      </c>
      <c r="K9" s="160">
        <f>J9*(100%-'Données projet'!$C$24)*(100%-'Données projet'!$C$25)*(100%-'Données projet'!$C$26)*(100%-'Données projet'!$C$27)</f>
        <v>13.472902624637722</v>
      </c>
      <c r="L9" s="161">
        <f t="shared" ca="1" si="2"/>
        <v>186.15702538066157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Pin maritime</v>
      </c>
      <c r="B10" s="163">
        <f>'Données projet'!D13</f>
        <v>1.8327938931297709</v>
      </c>
      <c r="C10" s="156">
        <f ca="1">IF(OR('Données projet'!B13="",'Données projet'!C13="",'Données projet'!C13=0%),0,Calculateur!CY3)</f>
        <v>167.84261986874142</v>
      </c>
      <c r="D10" s="156">
        <f>IF(OR('Données projet'!B13="",'Données projet'!C13="",'Données projet'!C13=0%),0,Calculateur!CZ3)</f>
        <v>242.5860875239222</v>
      </c>
      <c r="E10" s="156">
        <f t="shared" ca="1" si="0"/>
        <v>167.84261986874142</v>
      </c>
      <c r="F10" s="156">
        <f t="shared" ca="1" si="1"/>
        <v>307.62092870233084</v>
      </c>
      <c r="G10" s="156">
        <f ca="1">F10*(100%-'Données projet'!$C$24)*(100%-'Données projet'!$C$25)*(100%-'Données projet'!$C$26)*(100%-'Données projet'!$C$27)</f>
        <v>276.85883583209778</v>
      </c>
      <c r="H10" s="164">
        <f>IF(OR('Données projet'!B13="",'Données projet'!C13="",'Données projet'!C13=0%),0,AVERAGE(Calculateur!$DI$3:$DI$33)*B10)</f>
        <v>6.284386395584141</v>
      </c>
      <c r="I10" s="158">
        <f>H10*(100%-'Données projet'!$C$24)*(100%-'Données projet'!$C$25)*(100%-'Données projet'!$C$26)*(100%-'Données projet'!$C$27)</f>
        <v>5.6559477560257267</v>
      </c>
      <c r="J10" s="159">
        <f>IF(OR('Données projet'!B13="",'Données projet'!C13="",'Données projet'!C13=0%),0,SUM(Calculateur!$DB$3:$DB$33)*VLOOKUP('Données projet'!$B$13,Paramètres!$A$1:$I$88,9,0)*B10)</f>
        <v>44.081601659791744</v>
      </c>
      <c r="K10" s="160">
        <f>J10*(100%-'Données projet'!$C$24)*(100%-'Données projet'!$C$25)*(100%-'Données projet'!$C$26)*(100%-'Données projet'!$C$27)</f>
        <v>39.673441493812568</v>
      </c>
      <c r="L10" s="161">
        <f t="shared" ca="1" si="2"/>
        <v>322.18822508193608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1246.4639448218168</v>
      </c>
      <c r="G16" s="175">
        <f t="shared" ca="1" si="3"/>
        <v>1121.8175503396351</v>
      </c>
      <c r="H16" s="176">
        <f t="shared" si="3"/>
        <v>16.231835805307199</v>
      </c>
      <c r="I16" s="176">
        <f t="shared" si="3"/>
        <v>14.608652224776479</v>
      </c>
      <c r="J16" s="177">
        <f t="shared" si="3"/>
        <v>125.30395151441571</v>
      </c>
      <c r="K16" s="177">
        <f t="shared" si="3"/>
        <v>112.77355636297415</v>
      </c>
      <c r="L16" s="178">
        <f t="shared" ca="1" si="3"/>
        <v>1249.1997589273856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5" t="s">
        <v>246</v>
      </c>
      <c r="G17" s="316"/>
      <c r="H17" s="316"/>
      <c r="I17" s="316"/>
      <c r="J17" s="316"/>
      <c r="K17" s="316"/>
      <c r="L17" s="31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7"/>
      <c r="G18" s="317"/>
      <c r="H18" s="317"/>
      <c r="I18" s="317"/>
      <c r="J18" s="317"/>
      <c r="K18" s="317"/>
      <c r="L18" s="31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Pin maritime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70" zoomScaleNormal="70" workbookViewId="0">
      <selection activeCell="C91" sqref="C9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3" t="s">
        <v>272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5" t="s">
        <v>316</v>
      </c>
      <c r="I4" s="335"/>
      <c r="K4" s="332" t="s">
        <v>253</v>
      </c>
      <c r="L4" s="33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4" t="s">
        <v>311</v>
      </c>
      <c r="S7" s="325"/>
      <c r="T7" s="325"/>
      <c r="U7" s="325"/>
      <c r="V7" s="32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-2278.7625563452316</v>
      </c>
      <c r="U10" s="190">
        <f>'Données projet'!D9</f>
        <v>1.2719389312977099</v>
      </c>
      <c r="V10" s="189">
        <f>U10*T10</f>
        <v>-2898.4468105989913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-2073.1520296112071</v>
      </c>
      <c r="U11" s="190">
        <f>'Données projet'!D10</f>
        <v>1.5022900763358777</v>
      </c>
      <c r="V11" s="189">
        <f t="shared" ref="V11" si="0">U11*T11</f>
        <v>-3114.4757208205001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-2086.380274641901</v>
      </c>
      <c r="U12" s="190">
        <f>'Données projet'!D11</f>
        <v>0.40061068702290076</v>
      </c>
      <c r="V12" s="189">
        <f t="shared" ref="V12:V19" si="1">U12*T12</f>
        <v>-835.82623521532037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1210.4955706024448</v>
      </c>
      <c r="U13" s="190">
        <f>'Données projet'!D12</f>
        <v>1.5523664122137404</v>
      </c>
      <c r="V13" s="189">
        <f t="shared" si="1"/>
        <v>1879.1326659367417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maritime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-2044.4517615553086</v>
      </c>
      <c r="U14" s="190">
        <f>'Données projet'!D13</f>
        <v>1.8327938931297709</v>
      </c>
      <c r="V14" s="189">
        <f t="shared" si="1"/>
        <v>-3747.0587033769721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36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6"/>
      <c r="H16" s="203"/>
      <c r="I16" s="204"/>
      <c r="J16" s="216"/>
      <c r="K16" s="225"/>
      <c r="L16" s="332" t="s">
        <v>254</v>
      </c>
      <c r="M16" s="333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400</v>
      </c>
      <c r="F17" s="261"/>
      <c r="G17" s="336"/>
      <c r="J17" s="216"/>
      <c r="K17" s="225"/>
      <c r="L17" s="290" t="s">
        <v>290</v>
      </c>
      <c r="M17" s="292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>
        <v>3200</v>
      </c>
      <c r="F18" s="261"/>
      <c r="G18" s="336"/>
      <c r="J18" s="216"/>
      <c r="K18" s="225"/>
      <c r="L18" s="290" t="s">
        <v>255</v>
      </c>
      <c r="M18" s="292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>
        <v>219.99999999999997</v>
      </c>
      <c r="F19" s="261"/>
      <c r="G19" s="336"/>
      <c r="H19" s="232" t="s">
        <v>178</v>
      </c>
      <c r="I19" s="232" t="s">
        <v>288</v>
      </c>
      <c r="J19" s="260"/>
      <c r="K19" s="183"/>
      <c r="L19" s="332" t="s">
        <v>289</v>
      </c>
      <c r="M19" s="333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>
        <v>400</v>
      </c>
      <c r="F20" s="261"/>
      <c r="G20" s="336"/>
      <c r="H20" s="203">
        <v>0</v>
      </c>
      <c r="I20" s="204">
        <v>18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>
        <v>219.99999999999997</v>
      </c>
      <c r="F21" s="261"/>
      <c r="H21" s="203">
        <f>H20+1</f>
        <v>1</v>
      </c>
      <c r="I21" s="204">
        <v>18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f t="shared" ref="H22:H80" si="2">H21+1</f>
        <v>2</v>
      </c>
      <c r="I22" s="204">
        <v>18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36</v>
      </c>
      <c r="B23" s="193">
        <f>'Données projet'!D36</f>
        <v>36</v>
      </c>
      <c r="C23" s="206">
        <v>10</v>
      </c>
      <c r="D23" s="194">
        <f>B23*C23</f>
        <v>360</v>
      </c>
      <c r="E23" s="206"/>
      <c r="F23" s="261"/>
      <c r="H23" s="203">
        <f t="shared" si="2"/>
        <v>3</v>
      </c>
      <c r="I23" s="204">
        <v>18</v>
      </c>
      <c r="K23" s="225"/>
      <c r="L23" s="334" t="s">
        <v>260</v>
      </c>
      <c r="M23" s="334"/>
      <c r="N23" s="334"/>
      <c r="O23" s="25"/>
      <c r="P23" s="25"/>
      <c r="Q23" s="265"/>
      <c r="R23" s="25"/>
      <c r="S23" s="185" t="s">
        <v>264</v>
      </c>
      <c r="T23" s="32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-11010.999296502709</v>
      </c>
      <c r="U23" s="329"/>
      <c r="V23" s="32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42</v>
      </c>
      <c r="B24" s="193">
        <f>'Données projet'!D37</f>
        <v>41</v>
      </c>
      <c r="C24" s="206">
        <v>58</v>
      </c>
      <c r="D24" s="194">
        <f t="shared" ref="D24:D42" si="3">B24*C24</f>
        <v>2378</v>
      </c>
      <c r="E24" s="206"/>
      <c r="F24" s="264"/>
      <c r="H24" s="203">
        <f t="shared" si="2"/>
        <v>4</v>
      </c>
      <c r="I24" s="204">
        <v>18</v>
      </c>
      <c r="K24" s="225"/>
      <c r="O24" s="25"/>
      <c r="P24" s="25"/>
      <c r="Q24" s="265"/>
      <c r="R24" s="25"/>
      <c r="S24" s="185" t="s">
        <v>261</v>
      </c>
      <c r="T24" s="33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0"/>
      <c r="V24" s="33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48</v>
      </c>
      <c r="B25" s="193">
        <f>'Données projet'!D38</f>
        <v>41</v>
      </c>
      <c r="C25" s="206">
        <v>58</v>
      </c>
      <c r="D25" s="194">
        <f t="shared" si="3"/>
        <v>2378</v>
      </c>
      <c r="E25" s="206"/>
      <c r="F25" s="264"/>
      <c r="G25" s="1"/>
      <c r="H25" s="203">
        <f t="shared" si="2"/>
        <v>5</v>
      </c>
      <c r="I25" s="204">
        <v>18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1">
        <f ca="1">T23-T24</f>
        <v>-11010.999296502709</v>
      </c>
      <c r="U25" s="331"/>
      <c r="V25" s="33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54</v>
      </c>
      <c r="B26" s="193">
        <f>'Données projet'!D39</f>
        <v>31</v>
      </c>
      <c r="C26" s="206">
        <v>58</v>
      </c>
      <c r="D26" s="194">
        <f t="shared" si="3"/>
        <v>1798</v>
      </c>
      <c r="E26" s="206"/>
      <c r="F26" s="264"/>
      <c r="G26" s="259"/>
      <c r="H26" s="203">
        <f t="shared" si="2"/>
        <v>6</v>
      </c>
      <c r="I26" s="204">
        <v>18</v>
      </c>
      <c r="K26" s="225"/>
      <c r="L26" s="318" t="s">
        <v>258</v>
      </c>
      <c r="M26" s="319"/>
      <c r="N26" s="319"/>
      <c r="O26" s="319"/>
      <c r="P26" s="320"/>
      <c r="Q26" s="265"/>
      <c r="R26" s="25"/>
      <c r="S26" s="198" t="s">
        <v>265</v>
      </c>
      <c r="T26" s="328" t="str">
        <f ca="1">IF(T25&lt;0,"Votre projet est additionnel","Votre projet n'est pas additionnel")</f>
        <v>Votre projet est additionnel</v>
      </c>
      <c r="U26" s="328"/>
      <c r="V26" s="32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62</v>
      </c>
      <c r="B27" s="193">
        <f>'Données projet'!D40</f>
        <v>39</v>
      </c>
      <c r="C27" s="206">
        <v>106</v>
      </c>
      <c r="D27" s="194">
        <f t="shared" si="3"/>
        <v>4134</v>
      </c>
      <c r="E27" s="206"/>
      <c r="F27" s="264"/>
      <c r="G27" s="259"/>
      <c r="H27" s="203">
        <f t="shared" si="2"/>
        <v>7</v>
      </c>
      <c r="I27" s="204">
        <v>18</v>
      </c>
      <c r="K27" s="225"/>
      <c r="L27" s="321"/>
      <c r="M27" s="322"/>
      <c r="N27" s="322"/>
      <c r="O27" s="322"/>
      <c r="P27" s="323"/>
      <c r="Q27" s="265"/>
      <c r="R27" s="25"/>
      <c r="S27" s="327" t="s">
        <v>267</v>
      </c>
      <c r="T27" s="327"/>
      <c r="U27" s="327"/>
      <c r="V27" s="32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53</v>
      </c>
      <c r="C28" s="206">
        <v>106</v>
      </c>
      <c r="D28" s="194">
        <f t="shared" si="3"/>
        <v>5618</v>
      </c>
      <c r="E28" s="206"/>
      <c r="F28" s="264"/>
      <c r="G28" s="222"/>
      <c r="H28" s="203">
        <f t="shared" si="2"/>
        <v>8</v>
      </c>
      <c r="I28" s="204">
        <v>18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78</v>
      </c>
      <c r="B29" s="193">
        <f>'Données projet'!D42</f>
        <v>42</v>
      </c>
      <c r="C29" s="206">
        <v>106</v>
      </c>
      <c r="D29" s="194">
        <f t="shared" si="3"/>
        <v>4452</v>
      </c>
      <c r="E29" s="206"/>
      <c r="F29" s="264"/>
      <c r="G29" s="218"/>
      <c r="H29" s="203">
        <f t="shared" si="2"/>
        <v>9</v>
      </c>
      <c r="I29" s="204">
        <v>18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87</v>
      </c>
      <c r="B30" s="193">
        <f>'Données projet'!D43</f>
        <v>39</v>
      </c>
      <c r="C30" s="206">
        <v>106</v>
      </c>
      <c r="D30" s="194">
        <f t="shared" si="3"/>
        <v>4134</v>
      </c>
      <c r="E30" s="206"/>
      <c r="F30" s="264"/>
      <c r="G30" s="218"/>
      <c r="H30" s="203">
        <f t="shared" si="2"/>
        <v>10</v>
      </c>
      <c r="I30" s="204">
        <v>18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97</v>
      </c>
      <c r="B31" s="193">
        <f>'Données projet'!D44</f>
        <v>42</v>
      </c>
      <c r="C31" s="206">
        <v>106</v>
      </c>
      <c r="D31" s="194">
        <f t="shared" si="3"/>
        <v>4452</v>
      </c>
      <c r="E31" s="206"/>
      <c r="F31" s="264"/>
      <c r="G31" s="218"/>
      <c r="H31" s="203">
        <f t="shared" si="2"/>
        <v>11</v>
      </c>
      <c r="I31" s="204">
        <v>18</v>
      </c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107</v>
      </c>
      <c r="B32" s="193">
        <f>'Données projet'!D45</f>
        <v>46</v>
      </c>
      <c r="C32" s="206">
        <v>106</v>
      </c>
      <c r="D32" s="194">
        <f t="shared" si="3"/>
        <v>4876</v>
      </c>
      <c r="E32" s="206"/>
      <c r="F32" s="264"/>
      <c r="G32" s="218"/>
      <c r="H32" s="203">
        <f t="shared" si="2"/>
        <v>12</v>
      </c>
      <c r="I32" s="204">
        <v>18</v>
      </c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117</v>
      </c>
      <c r="B33" s="193">
        <f>'Données projet'!D46</f>
        <v>45</v>
      </c>
      <c r="C33" s="206">
        <v>106</v>
      </c>
      <c r="D33" s="194">
        <f t="shared" si="3"/>
        <v>4770</v>
      </c>
      <c r="E33" s="206"/>
      <c r="F33" s="264"/>
      <c r="G33" s="218"/>
      <c r="H33" s="203">
        <f t="shared" si="2"/>
        <v>13</v>
      </c>
      <c r="I33" s="204">
        <v>18</v>
      </c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129</v>
      </c>
      <c r="B34" s="193">
        <f>'Données projet'!D47</f>
        <v>337</v>
      </c>
      <c r="C34" s="206">
        <v>106</v>
      </c>
      <c r="D34" s="194">
        <f t="shared" si="3"/>
        <v>35722</v>
      </c>
      <c r="E34" s="206"/>
      <c r="F34" s="264"/>
      <c r="G34" s="218"/>
      <c r="H34" s="203">
        <f t="shared" si="2"/>
        <v>14</v>
      </c>
      <c r="I34" s="204">
        <v>18</v>
      </c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3"/>
        <v>0</v>
      </c>
      <c r="E35" s="206"/>
      <c r="F35" s="264"/>
      <c r="G35" s="218"/>
      <c r="H35" s="203">
        <f t="shared" si="2"/>
        <v>15</v>
      </c>
      <c r="I35" s="204">
        <v>18</v>
      </c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3"/>
        <v>0</v>
      </c>
      <c r="E36" s="206"/>
      <c r="F36" s="264"/>
      <c r="G36" s="218"/>
      <c r="H36" s="203">
        <f t="shared" si="2"/>
        <v>16</v>
      </c>
      <c r="I36" s="204">
        <v>18</v>
      </c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3"/>
        <v>0</v>
      </c>
      <c r="E37" s="206"/>
      <c r="F37" s="264"/>
      <c r="G37" s="218"/>
      <c r="H37" s="203">
        <f t="shared" si="2"/>
        <v>17</v>
      </c>
      <c r="I37" s="204">
        <v>18</v>
      </c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>
        <f t="shared" si="2"/>
        <v>18</v>
      </c>
      <c r="I38" s="204">
        <v>18</v>
      </c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>
        <f t="shared" si="2"/>
        <v>19</v>
      </c>
      <c r="I39" s="204">
        <v>18</v>
      </c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>
        <f t="shared" si="2"/>
        <v>20</v>
      </c>
      <c r="I40" s="204">
        <v>18</v>
      </c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>
        <f t="shared" si="2"/>
        <v>21</v>
      </c>
      <c r="I41" s="204">
        <v>18</v>
      </c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>
        <f t="shared" si="2"/>
        <v>22</v>
      </c>
      <c r="I42" s="204">
        <v>18</v>
      </c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>
        <f t="shared" si="2"/>
        <v>23</v>
      </c>
      <c r="I43" s="204">
        <v>18</v>
      </c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>
        <f t="shared" si="2"/>
        <v>24</v>
      </c>
      <c r="I44" s="204">
        <v>18</v>
      </c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>
        <f t="shared" si="2"/>
        <v>25</v>
      </c>
      <c r="I45" s="204">
        <v>18</v>
      </c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2"/>
      <c r="G46" s="218"/>
      <c r="H46" s="203">
        <f t="shared" si="2"/>
        <v>26</v>
      </c>
      <c r="I46" s="204">
        <v>18</v>
      </c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>
        <f t="shared" si="2"/>
        <v>27</v>
      </c>
      <c r="I47" s="204">
        <v>18</v>
      </c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400</v>
      </c>
      <c r="F48" s="262"/>
      <c r="G48" s="218"/>
      <c r="H48" s="203">
        <f t="shared" si="2"/>
        <v>28</v>
      </c>
      <c r="I48" s="204">
        <v>18</v>
      </c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>
        <v>2080</v>
      </c>
      <c r="F49" s="262"/>
      <c r="G49" s="219"/>
      <c r="H49" s="203">
        <f t="shared" si="2"/>
        <v>29</v>
      </c>
      <c r="I49" s="204">
        <v>18</v>
      </c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>
        <v>220</v>
      </c>
      <c r="F50" s="262"/>
      <c r="G50" s="221"/>
      <c r="H50" s="203">
        <f t="shared" si="2"/>
        <v>30</v>
      </c>
      <c r="I50" s="204">
        <v>18</v>
      </c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>
        <v>400</v>
      </c>
      <c r="F51" s="262"/>
      <c r="G51" s="221"/>
      <c r="H51" s="203">
        <f t="shared" si="2"/>
        <v>31</v>
      </c>
      <c r="I51" s="204">
        <v>18</v>
      </c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>
        <v>220</v>
      </c>
      <c r="F52" s="262"/>
      <c r="G52" s="221"/>
      <c r="H52" s="203">
        <f t="shared" si="2"/>
        <v>32</v>
      </c>
      <c r="I52" s="204">
        <v>18</v>
      </c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>
        <f t="shared" si="2"/>
        <v>33</v>
      </c>
      <c r="I53" s="204">
        <v>18</v>
      </c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15.124501481777171</v>
      </c>
      <c r="C54" s="206">
        <v>5.0000012500844173</v>
      </c>
      <c r="D54" s="191">
        <f>B54*C54</f>
        <v>75.622526315789486</v>
      </c>
      <c r="E54" s="206"/>
      <c r="F54" s="262"/>
      <c r="G54" s="222"/>
      <c r="H54" s="203">
        <f t="shared" si="2"/>
        <v>34</v>
      </c>
      <c r="I54" s="204">
        <v>18</v>
      </c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46.601445917980769</v>
      </c>
      <c r="C55" s="206">
        <v>8.5000005469065734</v>
      </c>
      <c r="D55" s="191">
        <f t="shared" ref="D55:D73" si="5">B55*C55</f>
        <v>396.11231578947366</v>
      </c>
      <c r="E55" s="206"/>
      <c r="F55" s="262"/>
      <c r="G55" s="222"/>
      <c r="H55" s="203">
        <f t="shared" si="2"/>
        <v>35</v>
      </c>
      <c r="I55" s="204">
        <v>18</v>
      </c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80.160601887827937</v>
      </c>
      <c r="C56" s="206">
        <v>15.499999831939144</v>
      </c>
      <c r="D56" s="191">
        <f t="shared" si="5"/>
        <v>1242.4893157894737</v>
      </c>
      <c r="E56" s="206"/>
      <c r="F56" s="262"/>
      <c r="G56" s="222"/>
      <c r="H56" s="203">
        <f t="shared" si="2"/>
        <v>36</v>
      </c>
      <c r="I56" s="204">
        <v>18</v>
      </c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45</v>
      </c>
      <c r="B57" s="193">
        <f>'Données projet'!D65</f>
        <v>350.0000355233642</v>
      </c>
      <c r="C57" s="206">
        <v>15.499999930581849</v>
      </c>
      <c r="D57" s="191">
        <f t="shared" si="5"/>
        <v>5425.00052631579</v>
      </c>
      <c r="E57" s="206"/>
      <c r="F57" s="262"/>
      <c r="G57" s="222"/>
      <c r="H57" s="203">
        <f t="shared" si="2"/>
        <v>37</v>
      </c>
      <c r="I57" s="204">
        <v>18</v>
      </c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5"/>
        <v>0</v>
      </c>
      <c r="E58" s="206"/>
      <c r="F58" s="262"/>
      <c r="G58" s="222"/>
      <c r="H58" s="203">
        <f t="shared" si="2"/>
        <v>38</v>
      </c>
      <c r="I58" s="204">
        <v>18</v>
      </c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5"/>
        <v>0</v>
      </c>
      <c r="E59" s="206"/>
      <c r="F59" s="262"/>
      <c r="G59" s="222"/>
      <c r="H59" s="203">
        <f t="shared" si="2"/>
        <v>39</v>
      </c>
      <c r="I59" s="204">
        <v>18</v>
      </c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5"/>
        <v>0</v>
      </c>
      <c r="E60" s="206"/>
      <c r="F60" s="262"/>
      <c r="G60" s="223"/>
      <c r="H60" s="203">
        <f t="shared" si="2"/>
        <v>40</v>
      </c>
      <c r="I60" s="204">
        <v>18</v>
      </c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5"/>
        <v>0</v>
      </c>
      <c r="E61" s="206"/>
      <c r="F61" s="263"/>
      <c r="G61" s="223"/>
      <c r="H61" s="203">
        <f t="shared" si="2"/>
        <v>41</v>
      </c>
      <c r="I61" s="204">
        <v>18</v>
      </c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5"/>
        <v>0</v>
      </c>
      <c r="E62" s="206"/>
      <c r="F62" s="263"/>
      <c r="G62" s="223"/>
      <c r="H62" s="203">
        <f t="shared" si="2"/>
        <v>42</v>
      </c>
      <c r="I62" s="204">
        <v>18</v>
      </c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>
        <f t="shared" si="2"/>
        <v>43</v>
      </c>
      <c r="I63" s="204">
        <v>18</v>
      </c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>
        <f t="shared" si="2"/>
        <v>44</v>
      </c>
      <c r="I64" s="204">
        <v>18</v>
      </c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>
        <f t="shared" si="2"/>
        <v>45</v>
      </c>
      <c r="I65" s="204">
        <v>18</v>
      </c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>
        <f t="shared" si="2"/>
        <v>46</v>
      </c>
      <c r="I66" s="204">
        <v>18</v>
      </c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>
        <f t="shared" si="2"/>
        <v>47</v>
      </c>
      <c r="I67" s="204">
        <v>18</v>
      </c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>
        <f t="shared" si="2"/>
        <v>48</v>
      </c>
      <c r="I68" s="204">
        <v>18</v>
      </c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>
        <f t="shared" si="2"/>
        <v>49</v>
      </c>
      <c r="I69" s="204">
        <v>18</v>
      </c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>
        <f t="shared" si="2"/>
        <v>50</v>
      </c>
      <c r="I70" s="204">
        <v>18</v>
      </c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>
        <f t="shared" si="2"/>
        <v>51</v>
      </c>
      <c r="I71" s="204">
        <v>18</v>
      </c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>
        <f t="shared" si="2"/>
        <v>52</v>
      </c>
      <c r="I72" s="204">
        <v>18</v>
      </c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>
        <f t="shared" si="2"/>
        <v>53</v>
      </c>
      <c r="I73" s="204">
        <v>18</v>
      </c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3"/>
      <c r="G74" s="223"/>
      <c r="H74" s="203">
        <f t="shared" si="2"/>
        <v>54</v>
      </c>
      <c r="I74" s="204">
        <v>18</v>
      </c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3"/>
      <c r="G75" s="223"/>
      <c r="H75" s="203">
        <f t="shared" si="2"/>
        <v>55</v>
      </c>
      <c r="I75" s="204">
        <v>18</v>
      </c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3"/>
      <c r="G76" s="223"/>
      <c r="H76" s="203">
        <f t="shared" si="2"/>
        <v>56</v>
      </c>
      <c r="I76" s="204">
        <v>18</v>
      </c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3"/>
      <c r="G77" s="223"/>
      <c r="H77" s="203">
        <f t="shared" si="2"/>
        <v>57</v>
      </c>
      <c r="I77" s="204">
        <v>18</v>
      </c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3"/>
      <c r="G78" s="223"/>
      <c r="H78" s="203">
        <f t="shared" si="2"/>
        <v>58</v>
      </c>
      <c r="I78" s="204">
        <v>18</v>
      </c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400</v>
      </c>
      <c r="F79" s="263"/>
      <c r="G79" s="223"/>
      <c r="H79" s="203">
        <f t="shared" si="2"/>
        <v>59</v>
      </c>
      <c r="I79" s="204">
        <v>18</v>
      </c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6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>
        <v>2655</v>
      </c>
      <c r="F80" s="263"/>
      <c r="G80" s="221"/>
      <c r="H80" s="203">
        <f t="shared" si="2"/>
        <v>60</v>
      </c>
      <c r="I80" s="204">
        <v>18</v>
      </c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6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>
        <v>220</v>
      </c>
      <c r="F81" s="263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6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>
        <v>400</v>
      </c>
      <c r="F82" s="263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6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>
        <v>220</v>
      </c>
      <c r="F83" s="263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6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3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6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22</v>
      </c>
      <c r="B85" s="193">
        <f>'Données projet'!D88</f>
        <v>16</v>
      </c>
      <c r="C85" s="206">
        <v>8.5</v>
      </c>
      <c r="D85" s="191">
        <f>B85*C85</f>
        <v>136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6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17</v>
      </c>
      <c r="C86" s="206">
        <v>15.5</v>
      </c>
      <c r="D86" s="191">
        <f t="shared" ref="D86:D104" si="7">B86*C86</f>
        <v>263.5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6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34</v>
      </c>
      <c r="C87" s="206">
        <v>15.5</v>
      </c>
      <c r="D87" s="191">
        <f t="shared" si="7"/>
        <v>527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6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41</v>
      </c>
      <c r="C88" s="206">
        <v>15.5</v>
      </c>
      <c r="D88" s="191">
        <f t="shared" si="7"/>
        <v>635.5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6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41</v>
      </c>
      <c r="C89" s="204">
        <v>15.5</v>
      </c>
      <c r="D89" s="191">
        <f t="shared" si="7"/>
        <v>635.5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6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53</v>
      </c>
      <c r="C90" s="204">
        <v>15.5</v>
      </c>
      <c r="D90" s="191">
        <f t="shared" si="7"/>
        <v>821.5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6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53</v>
      </c>
      <c r="C91" s="204">
        <v>29.5</v>
      </c>
      <c r="D91" s="191">
        <f t="shared" si="7"/>
        <v>1563.5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6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58</v>
      </c>
      <c r="B92" s="193">
        <f>'Données projet'!D95</f>
        <v>78</v>
      </c>
      <c r="C92" s="204">
        <v>29.5</v>
      </c>
      <c r="D92" s="191">
        <f t="shared" si="7"/>
        <v>2301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6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66</v>
      </c>
      <c r="B93" s="193">
        <f>'Données projet'!D96</f>
        <v>65</v>
      </c>
      <c r="C93" s="204">
        <v>29.5</v>
      </c>
      <c r="D93" s="191">
        <f t="shared" si="7"/>
        <v>1917.5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6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74</v>
      </c>
      <c r="B94" s="193">
        <f>'Données projet'!D97</f>
        <v>37</v>
      </c>
      <c r="C94" s="204">
        <v>29.5</v>
      </c>
      <c r="D94" s="191">
        <f t="shared" si="7"/>
        <v>1091.5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6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82</v>
      </c>
      <c r="B95" s="193">
        <f>'Données projet'!D98</f>
        <v>567</v>
      </c>
      <c r="C95" s="204">
        <v>29.5</v>
      </c>
      <c r="D95" s="191">
        <f t="shared" si="7"/>
        <v>16726.5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6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6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7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1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400</v>
      </c>
      <c r="F110" s="261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>
        <v>2655</v>
      </c>
      <c r="F111" s="261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>
        <v>220</v>
      </c>
      <c r="F112" s="261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>
        <v>400</v>
      </c>
      <c r="F113" s="261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>
        <v>220</v>
      </c>
      <c r="F114" s="261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1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7.3274882621320367</v>
      </c>
      <c r="C116" s="206">
        <v>5.0000018061843141</v>
      </c>
      <c r="D116" s="191">
        <f>B116*C116</f>
        <v>36.637454545454545</v>
      </c>
      <c r="E116" s="206"/>
      <c r="F116" s="262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15.098726063648872</v>
      </c>
      <c r="C117" s="206">
        <v>5.0000004003908662</v>
      </c>
      <c r="D117" s="191">
        <f t="shared" ref="D117:D135" si="9">B117*C117</f>
        <v>75.493636363636369</v>
      </c>
      <c r="E117" s="206"/>
      <c r="F117" s="262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40</v>
      </c>
      <c r="B118" s="193">
        <f>'Données projet'!D116</f>
        <v>32.153765654014386</v>
      </c>
      <c r="C118" s="206">
        <v>32.499999939749337</v>
      </c>
      <c r="D118" s="191">
        <f t="shared" si="9"/>
        <v>1044.9973818181818</v>
      </c>
      <c r="E118" s="206"/>
      <c r="F118" s="262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60</v>
      </c>
      <c r="B119" s="193">
        <f>'Données projet'!D117</f>
        <v>449.99997715771997</v>
      </c>
      <c r="C119" s="206">
        <v>43.500000026268886</v>
      </c>
      <c r="D119" s="191">
        <f t="shared" si="9"/>
        <v>19574.999018181818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Pin maritime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650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>
        <v>1871.9999999999998</v>
      </c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>
        <v>220</v>
      </c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>
        <v>400</v>
      </c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>
        <v>220</v>
      </c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11.532337640531871</v>
      </c>
      <c r="C147" s="206">
        <v>5.0000050145155717</v>
      </c>
      <c r="D147" s="194">
        <f>B147*C147</f>
        <v>57.661746031746034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7">
        <f>'Données projet'!D141</f>
        <v>29.233063949063361</v>
      </c>
      <c r="C148" s="206">
        <v>8.5000023105368872</v>
      </c>
      <c r="D148" s="194">
        <f t="shared" ref="D148:D166" si="11">B148*C148</f>
        <v>248.48111111111115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7">
        <f>'Données projet'!D142</f>
        <v>53.578525918643912</v>
      </c>
      <c r="C149" s="206">
        <v>15.499999834227657</v>
      </c>
      <c r="D149" s="194">
        <f t="shared" si="11"/>
        <v>830.46714285714279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45</v>
      </c>
      <c r="B150" s="187">
        <f>'Données projet'!D143</f>
        <v>300.00003649240455</v>
      </c>
      <c r="C150" s="206">
        <v>15.500000230961186</v>
      </c>
      <c r="D150" s="194">
        <f t="shared" si="11"/>
        <v>4650.0006349206351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1" ma:contentTypeDescription="Crée un document." ma:contentTypeScope="" ma:versionID="a55dd56dd0c35a8863f1fdb6cf23ba49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35b8e7cb453b19f972219f41c485328e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FF1F1D-C4D0-4238-8F4A-41AEFCDECB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281D3-A012-4F80-B8E7-650474AC3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B7E3E-96E5-40CA-84A5-ECC42F2145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2022-04-01T14:17:06Z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</Properties>
</file>