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rte\Dropbox\Fransylva Services\LBC\Dossiers LBC\Manon Lopez\De Langle\"/>
    </mc:Choice>
  </mc:AlternateContent>
  <xr:revisionPtr revIDLastSave="0" documentId="13_ncr:1_{F294E788-DAE6-447B-95DA-4FAD2CF734F5}" xr6:coauthVersionLast="47" xr6:coauthVersionMax="47" xr10:uidLastSave="{00000000-0000-0000-0000-000000000000}"/>
  <bookViews>
    <workbookView xWindow="3848" yWindow="98" windowWidth="13702" windowHeight="10424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32" i="1" l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H160" i="2"/>
  <c r="EY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HH162" i="2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X164" i="2"/>
  <c r="HH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HH202" i="2"/>
  <c r="FZ6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47" i="2" a="1"/>
  <c r="BC47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192" i="2" a="1"/>
  <c r="BC192" i="2" s="1"/>
  <c r="BC164" i="2" a="1"/>
  <c r="BC164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30" i="2" l="1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BC84" i="2" a="1"/>
  <c r="BC84" i="2" s="1"/>
  <c r="BC114" i="2" a="1"/>
  <c r="BC114" i="2" s="1"/>
  <c r="BC32" i="2" a="1"/>
  <c r="BC32" i="2" s="1"/>
  <c r="BC126" i="2" a="1"/>
  <c r="BC126" i="2" s="1"/>
  <c r="HG203" i="2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74" i="2" l="1"/>
  <c r="CD174" i="2"/>
  <c r="CD60" i="2"/>
  <c r="CD154" i="2"/>
  <c r="CD136" i="2"/>
  <c r="CD190" i="2"/>
  <c r="CD180" i="2"/>
  <c r="CD161" i="2"/>
  <c r="CD47" i="2"/>
  <c r="CD52" i="2"/>
  <c r="CD164" i="2"/>
  <c r="CD43" i="2"/>
  <c r="CD56" i="2"/>
  <c r="CD193" i="2"/>
  <c r="CD182" i="2"/>
  <c r="CD113" i="2"/>
  <c r="CD13" i="2"/>
  <c r="CD153" i="2"/>
  <c r="CD49" i="2"/>
  <c r="CD73" i="2"/>
  <c r="CD78" i="2"/>
  <c r="CD141" i="2"/>
  <c r="CD145" i="2"/>
  <c r="CD57" i="2"/>
  <c r="CD86" i="2"/>
  <c r="CD35" i="2"/>
  <c r="CD121" i="2"/>
  <c r="CD138" i="2"/>
  <c r="CD101" i="2"/>
  <c r="CD7" i="2"/>
  <c r="CD71" i="2"/>
  <c r="CD116" i="2"/>
  <c r="CD195" i="2"/>
  <c r="CD119" i="2"/>
  <c r="CD117" i="2"/>
  <c r="CD94" i="2"/>
  <c r="CD87" i="2"/>
  <c r="CD100" i="2"/>
  <c r="CD70" i="2"/>
  <c r="CD17" i="2"/>
  <c r="CD137" i="2"/>
  <c r="CD128" i="2"/>
  <c r="CD126" i="2"/>
  <c r="CD185" i="2"/>
  <c r="CD176" i="2"/>
  <c r="CD192" i="2"/>
  <c r="CD28" i="2"/>
  <c r="CD158" i="2"/>
  <c r="CD198" i="2"/>
  <c r="CD98" i="2"/>
  <c r="CD184" i="2"/>
  <c r="CD144" i="2"/>
  <c r="CD167" i="2"/>
  <c r="CD29" i="2"/>
  <c r="CD125" i="2"/>
  <c r="CD146" i="2"/>
  <c r="CD105" i="2"/>
  <c r="CD67" i="2"/>
  <c r="CD129" i="2"/>
  <c r="CD8" i="2"/>
  <c r="CD6" i="2"/>
  <c r="CD159" i="2"/>
  <c r="CD172" i="2"/>
  <c r="CD80" i="2"/>
  <c r="CD199" i="2"/>
  <c r="CD16" i="2"/>
  <c r="CD61" i="2"/>
  <c r="CD45" i="2"/>
  <c r="CD18" i="2"/>
  <c r="CD130" i="2"/>
  <c r="CD163" i="2"/>
  <c r="CD26" i="2"/>
  <c r="CD147" i="2"/>
  <c r="CD38" i="2"/>
  <c r="CD51" i="2"/>
  <c r="CD75" i="2"/>
  <c r="CD135" i="2"/>
  <c r="CD202" i="2"/>
  <c r="CD79" i="2"/>
  <c r="CD23" i="2"/>
  <c r="CD31" i="2"/>
  <c r="CD157" i="2"/>
  <c r="CD175" i="2"/>
  <c r="CD15" i="2"/>
  <c r="CD201" i="2"/>
  <c r="CD171" i="2"/>
  <c r="CD196" i="2"/>
  <c r="CD186" i="2"/>
  <c r="CD50" i="2"/>
  <c r="CD81" i="2"/>
  <c r="CD109" i="2"/>
  <c r="CD33" i="2"/>
  <c r="CD122" i="2"/>
  <c r="CD151" i="2"/>
  <c r="CD103" i="2"/>
  <c r="CD189" i="2"/>
  <c r="CD53" i="2"/>
  <c r="CD194" i="2"/>
  <c r="CD12" i="2"/>
  <c r="CD96" i="2"/>
  <c r="CD156" i="2"/>
  <c r="CD9" i="2"/>
  <c r="CD197" i="2"/>
  <c r="CD183" i="2"/>
  <c r="CD143" i="2"/>
  <c r="CD165" i="2"/>
  <c r="CD4" i="2"/>
  <c r="CD90" i="2"/>
  <c r="CD170" i="2"/>
  <c r="CD188" i="2"/>
  <c r="CD37" i="2"/>
  <c r="CD178" i="2"/>
  <c r="CD112" i="2"/>
  <c r="CD160" i="2"/>
  <c r="CD63" i="2"/>
  <c r="CD95" i="2"/>
  <c r="CD14" i="2"/>
  <c r="CD150" i="2"/>
  <c r="CD84" i="2"/>
  <c r="CD152" i="2"/>
  <c r="CD62" i="2"/>
  <c r="CD173" i="2"/>
  <c r="CD22" i="2"/>
  <c r="CD41" i="2"/>
  <c r="CD92" i="2"/>
  <c r="CD21" i="2"/>
  <c r="CD106" i="2"/>
  <c r="CD97" i="2"/>
  <c r="CD77" i="2"/>
  <c r="CD27" i="2"/>
  <c r="CD200" i="2"/>
  <c r="CD68" i="2"/>
  <c r="CD85" i="2"/>
  <c r="CD132" i="2"/>
  <c r="CD36" i="2"/>
  <c r="CD162" i="2"/>
  <c r="CD203" i="2"/>
  <c r="CD114" i="2"/>
  <c r="CD88" i="2"/>
  <c r="CD42" i="2"/>
  <c r="CD58" i="2"/>
  <c r="CD46" i="2"/>
  <c r="CD123" i="2"/>
  <c r="CD55" i="2"/>
  <c r="CD179" i="2"/>
  <c r="CD187" i="2"/>
  <c r="CD30" i="2"/>
  <c r="CD148" i="2"/>
  <c r="CD118" i="2"/>
  <c r="CD20" i="2"/>
  <c r="CD168" i="2"/>
  <c r="CD83" i="2"/>
  <c r="CD99" i="2"/>
  <c r="CD89" i="2"/>
  <c r="CD39" i="2"/>
  <c r="CD120" i="2"/>
  <c r="CD93" i="2"/>
  <c r="CD69" i="2"/>
  <c r="CD140" i="2"/>
  <c r="CD3" i="2"/>
  <c r="C9" i="4" s="1"/>
  <c r="E9" i="4" s="1"/>
  <c r="F9" i="4" s="1"/>
  <c r="G9" i="4" s="1"/>
  <c r="L9" i="4" s="1"/>
  <c r="CD142" i="2"/>
  <c r="CD181" i="2"/>
  <c r="CD166" i="2"/>
  <c r="CD91" i="2"/>
  <c r="CD19" i="2"/>
  <c r="CD155" i="2"/>
  <c r="CD72" i="2"/>
  <c r="CD110" i="2"/>
  <c r="CD34" i="2"/>
  <c r="CD102" i="2"/>
  <c r="CD169" i="2"/>
  <c r="CD25" i="2"/>
  <c r="CD191" i="2"/>
  <c r="CD5" i="2"/>
  <c r="CD10" i="2"/>
  <c r="CD108" i="2"/>
  <c r="CD139" i="2"/>
  <c r="CD149" i="2"/>
  <c r="CD11" i="2"/>
  <c r="CD82" i="2"/>
  <c r="CD177" i="2"/>
  <c r="CD115" i="2"/>
  <c r="CD76" i="2"/>
  <c r="CD65" i="2"/>
  <c r="CD133" i="2"/>
  <c r="CD40" i="2"/>
  <c r="CD44" i="2"/>
  <c r="CD104" i="2"/>
  <c r="CD134" i="2"/>
  <c r="CD59" i="2"/>
  <c r="CD107" i="2"/>
  <c r="CD111" i="2"/>
  <c r="CD64" i="2"/>
  <c r="CD24" i="2"/>
  <c r="CD131" i="2"/>
  <c r="CD124" i="2"/>
  <c r="CD48" i="2"/>
  <c r="CD32" i="2"/>
  <c r="CD66" i="2"/>
  <c r="CD54" i="2"/>
  <c r="CD127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CY178" i="2" l="1"/>
  <c r="CY149" i="2"/>
  <c r="CY179" i="2"/>
  <c r="CY181" i="2"/>
  <c r="CY85" i="2"/>
  <c r="CY10" i="2"/>
  <c r="CY57" i="2"/>
  <c r="CY35" i="2"/>
  <c r="CY191" i="2"/>
  <c r="CY63" i="2"/>
  <c r="CY186" i="2"/>
  <c r="CY117" i="2"/>
  <c r="CY114" i="2"/>
  <c r="CY65" i="2"/>
  <c r="CY71" i="2"/>
  <c r="CY160" i="2"/>
  <c r="CY32" i="2"/>
  <c r="CY107" i="2"/>
  <c r="CY102" i="2"/>
  <c r="CY66" i="2"/>
  <c r="CY180" i="2"/>
  <c r="CY200" i="2"/>
  <c r="CY123" i="2"/>
  <c r="CY192" i="2"/>
  <c r="CY143" i="2"/>
  <c r="CY51" i="2"/>
  <c r="CY182" i="2"/>
  <c r="CY98" i="2"/>
  <c r="CY18" i="2"/>
  <c r="CY173" i="2"/>
  <c r="CY176" i="2"/>
  <c r="CY175" i="2"/>
  <c r="CY162" i="2"/>
  <c r="CY148" i="2"/>
  <c r="CY14" i="2"/>
  <c r="CY203" i="2"/>
  <c r="CY92" i="2"/>
  <c r="CY145" i="2"/>
  <c r="CY169" i="2"/>
  <c r="CY38" i="2"/>
  <c r="CY195" i="2"/>
  <c r="CY41" i="2"/>
  <c r="CY168" i="2"/>
  <c r="CY103" i="2"/>
  <c r="CY86" i="2"/>
  <c r="CY72" i="2"/>
  <c r="CY193" i="2"/>
  <c r="CY151" i="2"/>
  <c r="CY190" i="2"/>
  <c r="CY9" i="2"/>
  <c r="CY142" i="2"/>
  <c r="CY80" i="2"/>
  <c r="CY36" i="2"/>
  <c r="CY96" i="2"/>
  <c r="CY164" i="2"/>
  <c r="CY187" i="2"/>
  <c r="CY111" i="2"/>
  <c r="CY127" i="2"/>
  <c r="CY120" i="2"/>
  <c r="CY56" i="2"/>
  <c r="CY201" i="2"/>
  <c r="CY116" i="2"/>
  <c r="CY158" i="2"/>
  <c r="CY113" i="2"/>
  <c r="CY194" i="2"/>
  <c r="CY198" i="2"/>
  <c r="CY24" i="2"/>
  <c r="CY118" i="2"/>
  <c r="CY13" i="2"/>
  <c r="CY15" i="2"/>
  <c r="CY137" i="2"/>
  <c r="CY135" i="2"/>
  <c r="CY81" i="2"/>
  <c r="CY12" i="2"/>
  <c r="CY47" i="2"/>
  <c r="CY166" i="2"/>
  <c r="CY44" i="2"/>
  <c r="CY140" i="2"/>
  <c r="CY124" i="2"/>
  <c r="CY101" i="2"/>
  <c r="CY141" i="2"/>
  <c r="CY95" i="2"/>
  <c r="CY49" i="2"/>
  <c r="CY188" i="2"/>
  <c r="CY110" i="2"/>
  <c r="CY136" i="2"/>
  <c r="CY78" i="2"/>
  <c r="CY155" i="2"/>
  <c r="CY88" i="2"/>
  <c r="CY31" i="2"/>
  <c r="CY30" i="2"/>
  <c r="CY154" i="2"/>
  <c r="CY131" i="2"/>
  <c r="CY64" i="2"/>
  <c r="CY67" i="2"/>
  <c r="CY104" i="2"/>
  <c r="CY29" i="2"/>
  <c r="CY17" i="2"/>
  <c r="CY146" i="2"/>
  <c r="CY83" i="2"/>
  <c r="CY7" i="2"/>
  <c r="CY109" i="2"/>
  <c r="CY27" i="2"/>
  <c r="CY74" i="2"/>
  <c r="CY87" i="2"/>
  <c r="CY68" i="2"/>
  <c r="CY53" i="2"/>
  <c r="CY19" i="2"/>
  <c r="CY45" i="2"/>
  <c r="CY48" i="2"/>
  <c r="CY40" i="2"/>
  <c r="CY58" i="2"/>
  <c r="CY75" i="2"/>
  <c r="CY84" i="2"/>
  <c r="CY16" i="2"/>
  <c r="CY50" i="2"/>
  <c r="CY22" i="2"/>
  <c r="CY144" i="2"/>
  <c r="CY138" i="2"/>
  <c r="CY150" i="2"/>
  <c r="CY4" i="2"/>
  <c r="CY129" i="2"/>
  <c r="CY174" i="2"/>
  <c r="CY39" i="2"/>
  <c r="CY130" i="2"/>
  <c r="CY70" i="2"/>
  <c r="CY77" i="2"/>
  <c r="CY6" i="2"/>
  <c r="CY172" i="2"/>
  <c r="CY82" i="2"/>
  <c r="CY3" i="2"/>
  <c r="C10" i="4" s="1"/>
  <c r="E10" i="4" s="1"/>
  <c r="F10" i="4" s="1"/>
  <c r="G10" i="4" s="1"/>
  <c r="L10" i="4" s="1"/>
  <c r="CY171" i="2"/>
  <c r="CY93" i="2"/>
  <c r="CY152" i="2"/>
  <c r="CY161" i="2"/>
  <c r="CY106" i="2"/>
  <c r="CY59" i="2"/>
  <c r="CY202" i="2"/>
  <c r="CY167" i="2"/>
  <c r="CY121" i="2"/>
  <c r="CY177" i="2"/>
  <c r="CY54" i="2"/>
  <c r="CY183" i="2"/>
  <c r="CY61" i="2"/>
  <c r="CY37" i="2"/>
  <c r="CY185" i="2"/>
  <c r="CY79" i="2"/>
  <c r="CY99" i="2"/>
  <c r="CY89" i="2"/>
  <c r="CY91" i="2"/>
  <c r="CY25" i="2"/>
  <c r="CY112" i="2"/>
  <c r="CY55" i="2"/>
  <c r="CY5" i="2"/>
  <c r="CY62" i="2"/>
  <c r="CY94" i="2"/>
  <c r="CY34" i="2"/>
  <c r="CY165" i="2"/>
  <c r="CY133" i="2"/>
  <c r="CY42" i="2"/>
  <c r="CY189" i="2"/>
  <c r="CY153" i="2"/>
  <c r="CY139" i="2"/>
  <c r="CY46" i="2"/>
  <c r="CY90" i="2"/>
  <c r="CY157" i="2"/>
  <c r="CY159" i="2"/>
  <c r="CY156" i="2"/>
  <c r="CY100" i="2"/>
  <c r="CY52" i="2"/>
  <c r="CY73" i="2"/>
  <c r="CY76" i="2"/>
  <c r="CY11" i="2"/>
  <c r="CY147" i="2"/>
  <c r="CY20" i="2"/>
  <c r="CY122" i="2"/>
  <c r="CY184" i="2"/>
  <c r="CY8" i="2"/>
  <c r="CY69" i="2"/>
  <c r="CY119" i="2"/>
  <c r="CY115" i="2"/>
  <c r="CY33" i="2"/>
  <c r="CY126" i="2"/>
  <c r="CY21" i="2"/>
  <c r="CY197" i="2"/>
  <c r="CY108" i="2"/>
  <c r="CY134" i="2"/>
  <c r="CY60" i="2"/>
  <c r="CY132" i="2"/>
  <c r="CY125" i="2"/>
  <c r="CY199" i="2"/>
  <c r="CY163" i="2"/>
  <c r="CY128" i="2"/>
  <c r="CY196" i="2"/>
  <c r="CY26" i="2"/>
  <c r="CY28" i="2"/>
  <c r="CY170" i="2"/>
  <c r="CY43" i="2"/>
  <c r="CY105" i="2"/>
  <c r="CY23" i="2"/>
  <c r="CY97" i="2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BI133" i="2" l="1"/>
  <c r="BI198" i="2"/>
  <c r="BI47" i="2"/>
  <c r="BI6" i="2"/>
  <c r="BI152" i="2"/>
  <c r="BI169" i="2"/>
  <c r="BI155" i="2"/>
  <c r="BI88" i="2"/>
  <c r="BI202" i="2"/>
  <c r="BI97" i="2"/>
  <c r="BI34" i="2"/>
  <c r="BI3" i="2"/>
  <c r="C8" i="4" s="1"/>
  <c r="E8" i="4" s="1"/>
  <c r="F8" i="4" s="1"/>
  <c r="G8" i="4" s="1"/>
  <c r="L8" i="4" s="1"/>
  <c r="BI44" i="2"/>
  <c r="BI145" i="2"/>
  <c r="BI77" i="2"/>
  <c r="BI190" i="2"/>
  <c r="BI199" i="2"/>
  <c r="BI116" i="2"/>
  <c r="BI21" i="2"/>
  <c r="BI41" i="2"/>
  <c r="BI50" i="2"/>
  <c r="BI160" i="2"/>
  <c r="BI153" i="2"/>
  <c r="BI43" i="2"/>
  <c r="BI114" i="2"/>
  <c r="BI188" i="2"/>
  <c r="BI194" i="2"/>
  <c r="BI111" i="2"/>
  <c r="BI156" i="2"/>
  <c r="BI159" i="2"/>
  <c r="BI130" i="2"/>
  <c r="BI35" i="2"/>
  <c r="BI118" i="2"/>
  <c r="BI52" i="2"/>
  <c r="BI106" i="2"/>
  <c r="BI63" i="2"/>
  <c r="BI108" i="2"/>
  <c r="BI185" i="2"/>
  <c r="BI175" i="2"/>
  <c r="BI103" i="2"/>
  <c r="BI84" i="2"/>
  <c r="BI115" i="2"/>
  <c r="BI72" i="2"/>
  <c r="BI158" i="2"/>
  <c r="BI136" i="2"/>
  <c r="BI140" i="2"/>
  <c r="BI8" i="2"/>
  <c r="BI170" i="2"/>
  <c r="BI142" i="2"/>
  <c r="BI196" i="2"/>
  <c r="BI143" i="2"/>
  <c r="BI9" i="2"/>
  <c r="BI163" i="2"/>
  <c r="BI55" i="2"/>
  <c r="BI37" i="2"/>
  <c r="BI125" i="2"/>
  <c r="BI22" i="2"/>
  <c r="BI105" i="2"/>
  <c r="BI165" i="2"/>
  <c r="BI74" i="2"/>
  <c r="BI157" i="2"/>
  <c r="BI174" i="2"/>
  <c r="BI124" i="2"/>
  <c r="BI167" i="2"/>
  <c r="BI139" i="2"/>
  <c r="BI80" i="2"/>
  <c r="BI117" i="2"/>
  <c r="BI132" i="2"/>
  <c r="BI56" i="2"/>
  <c r="BI12" i="2"/>
  <c r="BI91" i="2"/>
  <c r="BI26" i="2"/>
  <c r="BI162" i="2"/>
  <c r="BI64" i="2"/>
  <c r="BI82" i="2"/>
  <c r="BI79" i="2"/>
  <c r="BI86" i="2"/>
  <c r="BI14" i="2"/>
  <c r="BI181" i="2"/>
  <c r="BI95" i="2"/>
  <c r="BI144" i="2"/>
  <c r="BI150" i="2"/>
  <c r="BI147" i="2"/>
  <c r="BI123" i="2"/>
  <c r="BI32" i="2"/>
  <c r="BI17" i="2"/>
  <c r="BI100" i="2"/>
  <c r="BI195" i="2"/>
  <c r="BI49" i="2"/>
  <c r="BI89" i="2"/>
  <c r="BI127" i="2"/>
  <c r="BI48" i="2"/>
  <c r="BI46" i="2"/>
  <c r="BI33" i="2"/>
  <c r="BI203" i="2"/>
  <c r="BI182" i="2"/>
  <c r="BI122" i="2"/>
  <c r="BI36" i="2"/>
  <c r="BI121" i="2"/>
  <c r="BI42" i="2"/>
  <c r="BI149" i="2"/>
  <c r="BI141" i="2"/>
  <c r="BI85" i="2"/>
  <c r="BI96" i="2"/>
  <c r="BI119" i="2"/>
  <c r="BI99" i="2"/>
  <c r="BI10" i="2"/>
  <c r="BI107" i="2"/>
  <c r="BI186" i="2"/>
  <c r="BI27" i="2"/>
  <c r="BI83" i="2"/>
  <c r="BI13" i="2"/>
  <c r="BI20" i="2"/>
  <c r="BI200" i="2"/>
  <c r="BI176" i="2"/>
  <c r="BI65" i="2"/>
  <c r="BI38" i="2"/>
  <c r="BI134" i="2"/>
  <c r="BI164" i="2"/>
  <c r="BI51" i="2"/>
  <c r="BI25" i="2"/>
  <c r="BI7" i="2"/>
  <c r="BI87" i="2"/>
  <c r="BI60" i="2"/>
  <c r="BI187" i="2"/>
  <c r="BI172" i="2"/>
  <c r="BI61" i="2"/>
  <c r="BI57" i="2"/>
  <c r="BI78" i="2"/>
  <c r="BI93" i="2"/>
  <c r="BI148" i="2"/>
  <c r="BI18" i="2"/>
  <c r="BI110" i="2"/>
  <c r="BI70" i="2"/>
  <c r="BI58" i="2"/>
  <c r="BI146" i="2"/>
  <c r="BI168" i="2"/>
  <c r="BI138" i="2"/>
  <c r="BI166" i="2"/>
  <c r="BI73" i="2"/>
  <c r="BI75" i="2"/>
  <c r="BI173" i="2"/>
  <c r="BI120" i="2"/>
  <c r="BI102" i="2"/>
  <c r="BI59" i="2"/>
  <c r="BI71" i="2"/>
  <c r="BI192" i="2"/>
  <c r="BI131" i="2"/>
  <c r="BI67" i="2"/>
  <c r="BI16" i="2"/>
  <c r="BI5" i="2"/>
  <c r="BI112" i="2"/>
  <c r="BI68" i="2"/>
  <c r="BI193" i="2"/>
  <c r="BI171" i="2"/>
  <c r="BI76" i="2"/>
  <c r="BI189" i="2"/>
  <c r="BI178" i="2"/>
  <c r="BI29" i="2"/>
  <c r="BI53" i="2"/>
  <c r="BI179" i="2"/>
  <c r="BI62" i="2"/>
  <c r="BI197" i="2"/>
  <c r="BI92" i="2"/>
  <c r="BI31" i="2"/>
  <c r="BI54" i="2"/>
  <c r="BI161" i="2"/>
  <c r="BI180" i="2"/>
  <c r="BI81" i="2"/>
  <c r="BI183" i="2"/>
  <c r="BI128" i="2"/>
  <c r="BI177" i="2"/>
  <c r="BI11" i="2"/>
  <c r="BI129" i="2"/>
  <c r="BI126" i="2"/>
  <c r="BI101" i="2"/>
  <c r="BI154" i="2"/>
  <c r="BI151" i="2"/>
  <c r="BI24" i="2"/>
  <c r="BI15" i="2"/>
  <c r="BI135" i="2"/>
  <c r="BI39" i="2"/>
  <c r="BI184" i="2"/>
  <c r="BI109" i="2"/>
  <c r="BI191" i="2"/>
  <c r="BI137" i="2"/>
  <c r="BI23" i="2"/>
  <c r="BI40" i="2"/>
  <c r="BI90" i="2"/>
  <c r="BI94" i="2"/>
  <c r="BI98" i="2"/>
  <c r="BI201" i="2"/>
  <c r="BI45" i="2"/>
  <c r="BI66" i="2"/>
  <c r="BI19" i="2"/>
  <c r="BI30" i="2"/>
  <c r="BI4" i="2"/>
  <c r="BI69" i="2"/>
  <c r="BI28" i="2"/>
  <c r="BI113" i="2"/>
  <c r="BI104" i="2"/>
  <c r="FE202" i="2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<sst xmlns="http://schemas.openxmlformats.org/spreadsheetml/2006/main" count="1176" uniqueCount="325">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</sst>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0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14" borderId="1" xfId="0" applyFont="1" applyFill="1" applyBorder="1" applyAlignment="1" applyProtection="1">
      <alignment horizontal="center"/>
      <protection locked="0"/>
    </xf>
    <xf numFmtId="9" fontId="32" fillId="14" borderId="1" xfId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5.4660230907994141</c:v>
                </c:pt>
                <c:pt idx="2">
                  <c:v>10.681323473939329</c:v>
                </c:pt>
                <c:pt idx="3">
                  <c:v>15.815653007997854</c:v>
                </c:pt>
                <c:pt idx="4">
                  <c:v>20.900070226698777</c:v>
                </c:pt>
                <c:pt idx="5">
                  <c:v>25.94865187569178</c:v>
                </c:pt>
                <c:pt idx="6">
                  <c:v>30.969427918415988</c:v>
                </c:pt>
                <c:pt idx="7">
                  <c:v>35.967574961817526</c:v>
                </c:pt>
                <c:pt idx="8">
                  <c:v>40.946698717006726</c:v>
                </c:pt>
                <c:pt idx="9">
                  <c:v>45.909449427517977</c:v>
                </c:pt>
                <c:pt idx="10">
                  <c:v>50.857853843459729</c:v>
                </c:pt>
                <c:pt idx="11">
                  <c:v>55.793509908396324</c:v>
                </c:pt>
                <c:pt idx="12">
                  <c:v>60.717708366555691</c:v>
                </c:pt>
                <c:pt idx="13">
                  <c:v>65.63151257084742</c:v>
                </c:pt>
                <c:pt idx="14">
                  <c:v>70.535812988304585</c:v>
                </c:pt>
                <c:pt idx="15">
                  <c:v>75.431365668089654</c:v>
                </c:pt>
                <c:pt idx="16">
                  <c:v>80.318820149717823</c:v>
                </c:pt>
                <c:pt idx="17">
                  <c:v>85.198740191253449</c:v>
                </c:pt>
                <c:pt idx="18">
                  <c:v>90.071619479564632</c:v>
                </c:pt>
                <c:pt idx="19">
                  <c:v>94.937893749321418</c:v>
                </c:pt>
                <c:pt idx="20">
                  <c:v>99.797950277841281</c:v>
                </c:pt>
                <c:pt idx="21">
                  <c:v>104.652135427</c:v>
                </c:pt>
                <c:pt idx="22">
                  <c:v>109.50076070788542</c:v>
                </c:pt>
                <c:pt idx="23">
                  <c:v>114.34410771161743</c:v>
                </c:pt>
                <c:pt idx="24">
                  <c:v>119.18243215843677</c:v>
                </c:pt>
                <c:pt idx="25">
                  <c:v>124.01596725292983</c:v>
                </c:pt>
                <c:pt idx="26">
                  <c:v>128.8449264873062</c:v>
                </c:pt>
                <c:pt idx="27">
                  <c:v>133.66950600127205</c:v>
                </c:pt>
                <c:pt idx="28">
                  <c:v>138.48988658246478</c:v>
                </c:pt>
                <c:pt idx="29">
                  <c:v>143.30623537308037</c:v>
                </c:pt>
                <c:pt idx="30">
                  <c:v>148.11870733449055</c:v>
                </c:pt>
                <c:pt idx="31">
                  <c:v>152.92744651109214</c:v>
                </c:pt>
                <c:pt idx="32">
                  <c:v>157.7325871264978</c:v>
                </c:pt>
                <c:pt idx="33">
                  <c:v>162.53425453885362</c:v>
                </c:pt>
                <c:pt idx="34">
                  <c:v>167.33256607710749</c:v>
                </c:pt>
                <c:pt idx="35">
                  <c:v>172.12763177612814</c:v>
                </c:pt>
                <c:pt idx="36">
                  <c:v>176.91955502544894</c:v>
                </c:pt>
                <c:pt idx="37">
                  <c:v>181.70843314390311</c:v>
                </c:pt>
                <c:pt idx="38">
                  <c:v>186.49435789038873</c:v>
                </c:pt>
                <c:pt idx="39">
                  <c:v>191.27741591935674</c:v>
                </c:pt>
                <c:pt idx="40">
                  <c:v>196.05768918826797</c:v>
                </c:pt>
                <c:pt idx="41">
                  <c:v>200.83525532315684</c:v>
                </c:pt>
                <c:pt idx="42">
                  <c:v>205.61018794752695</c:v>
                </c:pt>
                <c:pt idx="43">
                  <c:v>210.38255697904034</c:v>
                </c:pt>
                <c:pt idx="44">
                  <c:v>215.15242889783022</c:v>
                </c:pt>
                <c:pt idx="45">
                  <c:v>219.91986698973434</c:v>
                </c:pt>
                <c:pt idx="46">
                  <c:v>224.68493156729764</c:v>
                </c:pt>
                <c:pt idx="47">
                  <c:v>229.44768017101543</c:v>
                </c:pt>
                <c:pt idx="48">
                  <c:v>234.20816775296598</c:v>
                </c:pt>
                <c:pt idx="49">
                  <c:v>238.96644684470857</c:v>
                </c:pt>
                <c:pt idx="50">
                  <c:v>243.72256771108889</c:v>
                </c:pt>
                <c:pt idx="51">
                  <c:v>248.47657849139151</c:v>
                </c:pt>
                <c:pt idx="52">
                  <c:v>253.22852532910977</c:v>
                </c:pt>
                <c:pt idx="53">
                  <c:v>208.6354867238299</c:v>
                </c:pt>
                <c:pt idx="54">
                  <c:v>220.59537347449944</c:v>
                </c:pt>
                <c:pt idx="55">
                  <c:v>232.54037687936662</c:v>
                </c:pt>
                <c:pt idx="56">
                  <c:v>244.47136960550881</c:v>
                </c:pt>
                <c:pt idx="57">
                  <c:v>256.38913212364326</c:v>
                </c:pt>
                <c:pt idx="58">
                  <c:v>268.29436637384839</c:v>
                </c:pt>
                <c:pt idx="59">
                  <c:v>280.1877068763726</c:v>
                </c:pt>
                <c:pt idx="60">
                  <c:v>292.06972985560316</c:v>
                </c:pt>
                <c:pt idx="61">
                  <c:v>245.68806155403334</c:v>
                </c:pt>
                <c:pt idx="62">
                  <c:v>257.60451473454003</c:v>
                </c:pt>
                <c:pt idx="63">
                  <c:v>269.50850731507103</c:v>
                </c:pt>
                <c:pt idx="64">
                  <c:v>281.40066747860004</c:v>
                </c:pt>
                <c:pt idx="65">
                  <c:v>293.28156594925059</c:v>
                </c:pt>
                <c:pt idx="66">
                  <c:v>305.15172341265009</c:v>
                </c:pt>
                <c:pt idx="67">
                  <c:v>317.01161672057395</c:v>
                </c:pt>
                <c:pt idx="68">
                  <c:v>328.86168411801799</c:v>
                </c:pt>
                <c:pt idx="69">
                  <c:v>280.23622755830678</c:v>
                </c:pt>
                <c:pt idx="70">
                  <c:v>291.68191860662404</c:v>
                </c:pt>
                <c:pt idx="71">
                  <c:v>303.11758094856515</c:v>
                </c:pt>
                <c:pt idx="72">
                  <c:v>314.54364642285998</c:v>
                </c:pt>
                <c:pt idx="73">
                  <c:v>325.9605129186765</c:v>
                </c:pt>
                <c:pt idx="74">
                  <c:v>337.3685481657111</c:v>
                </c:pt>
                <c:pt idx="75">
                  <c:v>348.76809298461347</c:v>
                </c:pt>
                <c:pt idx="76">
                  <c:v>360.15946409007773</c:v>
                </c:pt>
                <c:pt idx="77">
                  <c:v>371.5429565206544</c:v>
                </c:pt>
                <c:pt idx="78">
                  <c:v>382.91884575514445</c:v>
                </c:pt>
                <c:pt idx="79">
                  <c:v>332.14899550797418</c:v>
                </c:pt>
                <c:pt idx="80">
                  <c:v>343.16596745045581</c:v>
                </c:pt>
                <c:pt idx="81">
                  <c:v>354.17516791892012</c:v>
                </c:pt>
                <c:pt idx="82">
                  <c:v>365.17687261995815</c:v>
                </c:pt>
                <c:pt idx="83">
                  <c:v>376.17133928605472</c:v>
                </c:pt>
                <c:pt idx="84">
                  <c:v>387.15880934971273</c:v>
                </c:pt>
                <c:pt idx="85">
                  <c:v>398.13950941756428</c:v>
                </c:pt>
                <c:pt idx="86">
                  <c:v>409.11365257333472</c:v>
                </c:pt>
                <c:pt idx="87">
                  <c:v>420.08143953368364</c:v>
                </c:pt>
                <c:pt idx="88">
                  <c:v>431.04305967702004</c:v>
                </c:pt>
                <c:pt idx="89">
                  <c:v>374.62868369592616</c:v>
                </c:pt>
                <c:pt idx="90">
                  <c:v>385.61712174318728</c:v>
                </c:pt>
                <c:pt idx="91">
                  <c:v>396.59875883419824</c:v>
                </c:pt>
                <c:pt idx="92">
                  <c:v>407.57380987776543</c:v>
                </c:pt>
                <c:pt idx="93">
                  <c:v>418.54247726149282</c:v>
                </c:pt>
                <c:pt idx="94">
                  <c:v>429.50495189733937</c:v>
                </c:pt>
                <c:pt idx="95">
                  <c:v>440.46141415485243</c:v>
                </c:pt>
                <c:pt idx="96">
                  <c:v>451.41203469669296</c:v>
                </c:pt>
                <c:pt idx="97">
                  <c:v>462.35697522885613</c:v>
                </c:pt>
                <c:pt idx="98">
                  <c:v>473.29638917614921</c:v>
                </c:pt>
                <c:pt idx="99">
                  <c:v>418.92722924422122</c:v>
                </c:pt>
                <c:pt idx="100">
                  <c:v>429.88948992506386</c:v>
                </c:pt>
                <c:pt idx="101">
                  <c:v>440.8457443754441</c:v>
                </c:pt>
                <c:pt idx="102">
                  <c:v>451.79616293151918</c:v>
                </c:pt>
                <c:pt idx="103">
                  <c:v>462.74090699768914</c:v>
                </c:pt>
                <c:pt idx="104">
                  <c:v>473.68012971962617</c:v>
                </c:pt>
                <c:pt idx="105">
                  <c:v>484.61397659189061</c:v>
                </c:pt>
                <c:pt idx="106">
                  <c:v>495.54258600785471</c:v>
                </c:pt>
                <c:pt idx="107">
                  <c:v>506.46608975859249</c:v>
                </c:pt>
                <c:pt idx="108">
                  <c:v>517.38461348648923</c:v>
                </c:pt>
                <c:pt idx="109">
                  <c:v>453.33260608565246</c:v>
                </c:pt>
                <c:pt idx="110">
                  <c:v>464.08461470595802</c:v>
                </c:pt>
                <c:pt idx="111">
                  <c:v>474.83131166809085</c:v>
                </c:pt>
                <c:pt idx="112">
                  <c:v>485.5728341470313</c:v>
                </c:pt>
                <c:pt idx="113">
                  <c:v>496.30931275327663</c:v>
                </c:pt>
                <c:pt idx="114">
                  <c:v>507.04087198522149</c:v>
                </c:pt>
                <c:pt idx="115">
                  <c:v>517.76763064124964</c:v>
                </c:pt>
                <c:pt idx="116">
                  <c:v>528.48970219589671</c:v>
                </c:pt>
                <c:pt idx="117">
                  <c:v>539.20719514390601</c:v>
                </c:pt>
                <c:pt idx="118">
                  <c:v>549.92021331550563</c:v>
                </c:pt>
                <c:pt idx="119">
                  <c:v>484.03864272240298</c:v>
                </c:pt>
                <c:pt idx="120">
                  <c:v>494.77583412162261</c:v>
                </c:pt>
                <c:pt idx="121">
                  <c:v>505.50808871924067</c:v>
                </c:pt>
                <c:pt idx="122">
                  <c:v>516.23552610410309</c:v>
                </c:pt>
                <c:pt idx="123">
                  <c:v>526.95826048952051</c:v>
                </c:pt>
                <c:pt idx="124">
                  <c:v>537.67640106169449</c:v>
                </c:pt>
                <c:pt idx="125">
                  <c:v>548.39005229891859</c:v>
                </c:pt>
                <c:pt idx="126">
                  <c:v>559.09931426454011</c:v>
                </c:pt>
                <c:pt idx="127">
                  <c:v>569.80428287631287</c:v>
                </c:pt>
                <c:pt idx="128">
                  <c:v>580.50505015445833</c:v>
                </c:pt>
                <c:pt idx="129">
                  <c:v>516.81007653469214</c:v>
                </c:pt>
                <c:pt idx="130">
                  <c:v>527.72399304120324</c:v>
                </c:pt>
                <c:pt idx="131">
                  <c:v>538.63315807993115</c:v>
                </c:pt>
                <c:pt idx="132">
                  <c:v>549.53768144295771</c:v>
                </c:pt>
                <c:pt idx="133">
                  <c:v>560.4376682101705</c:v>
                </c:pt>
                <c:pt idx="134">
                  <c:v>571.33321904116895</c:v>
                </c:pt>
                <c:pt idx="135">
                  <c:v>582.22443044374438</c:v>
                </c:pt>
                <c:pt idx="136">
                  <c:v>593.11139502123308</c:v>
                </c:pt>
                <c:pt idx="137">
                  <c:v>603.99420170076939</c:v>
                </c:pt>
                <c:pt idx="138">
                  <c:v>614.87293594423477</c:v>
                </c:pt>
                <c:pt idx="139">
                  <c:v>551.45028504666311</c:v>
                </c:pt>
                <c:pt idx="140">
                  <c:v>562.54066075244293</c:v>
                </c:pt>
                <c:pt idx="141">
                  <c:v>573.62646310732623</c:v>
                </c:pt>
                <c:pt idx="142">
                  <c:v>584.70779293898988</c:v>
                </c:pt>
                <c:pt idx="143">
                  <c:v>595.7847469423931</c:v>
                </c:pt>
                <c:pt idx="144">
                  <c:v>606.85741792448357</c:v>
                </c:pt>
                <c:pt idx="145">
                  <c:v>617.92589503011789</c:v>
                </c:pt>
                <c:pt idx="146">
                  <c:v>628.99026395095905</c:v>
                </c:pt>
                <c:pt idx="147">
                  <c:v>640.05060711891667</c:v>
                </c:pt>
                <c:pt idx="148">
                  <c:v>651.10700388552539</c:v>
                </c:pt>
                <c:pt idx="149">
                  <c:v>566.22893530693568</c:v>
                </c:pt>
                <c:pt idx="150">
                  <c:v>559.59417563033344</c:v>
                </c:pt>
                <c:pt idx="151">
                  <c:v>552.95776867276652</c:v>
                </c:pt>
                <c:pt idx="152">
                  <c:v>546.31969183109879</c:v>
                </c:pt>
                <c:pt idx="153">
                  <c:v>539.67992190690325</c:v>
                </c:pt>
                <c:pt idx="154">
                  <c:v>533.03843508308489</c:v>
                </c:pt>
                <c:pt idx="155">
                  <c:v>526.39520689927519</c:v>
                </c:pt>
                <c:pt idx="156">
                  <c:v>519.75021222591761</c:v>
                </c:pt>
                <c:pt idx="157">
                  <c:v>513.10342523695556</c:v>
                </c:pt>
                <c:pt idx="158">
                  <c:v>506.45481938102847</c:v>
                </c:pt>
                <c:pt idx="159">
                  <c:v>499.80436735107361</c:v>
                </c:pt>
                <c:pt idx="160">
                  <c:v>493.15204105222142</c:v>
                </c:pt>
                <c:pt idx="161">
                  <c:v>486.49781156786486</c:v>
                </c:pt>
                <c:pt idx="162">
                  <c:v>479.84164912377219</c:v>
                </c:pt>
                <c:pt idx="163">
                  <c:v>473.18352305009688</c:v>
                </c:pt>
                <c:pt idx="164">
                  <c:v>466.52340174113743</c:v>
                </c:pt>
                <c:pt idx="165">
                  <c:v>459.86125261266892</c:v>
                </c:pt>
                <c:pt idx="166">
                  <c:v>453.19704205667063</c:v>
                </c:pt>
                <c:pt idx="167">
                  <c:v>446.53073539324333</c:v>
                </c:pt>
                <c:pt idx="168">
                  <c:v>439.86229681949789</c:v>
                </c:pt>
                <c:pt idx="169">
                  <c:v>367.34077868072421</c:v>
                </c:pt>
                <c:pt idx="170">
                  <c:v>373.77033257265776</c:v>
                </c:pt>
                <c:pt idx="171">
                  <c:v>380.19747642454655</c:v>
                </c:pt>
                <c:pt idx="172">
                  <c:v>386.62225676278376</c:v>
                </c:pt>
                <c:pt idx="173">
                  <c:v>393.0447184398742</c:v>
                </c:pt>
                <c:pt idx="174">
                  <c:v>399.4649047216335</c:v>
                </c:pt>
                <c:pt idx="175">
                  <c:v>405.88285736848405</c:v>
                </c:pt>
                <c:pt idx="176">
                  <c:v>412.29861671133852</c:v>
                </c:pt>
                <c:pt idx="177">
                  <c:v>418.71222172251049</c:v>
                </c:pt>
                <c:pt idx="178">
                  <c:v>425.12371008205287</c:v>
                </c:pt>
                <c:pt idx="179">
                  <c:v>431.53311823988116</c:v>
                </c:pt>
                <c:pt idx="180">
                  <c:v>437.9404814740148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254.10050561748869</c:v>
                </c:pt>
                <c:pt idx="27">
                  <c:v>278.48936400091276</c:v>
                </c:pt>
                <c:pt idx="28">
                  <c:v>302.83030487228285</c:v>
                </c:pt>
                <c:pt idx="29">
                  <c:v>327.12771904371101</c:v>
                </c:pt>
                <c:pt idx="30">
                  <c:v>351.38529181133845</c:v>
                </c:pt>
                <c:pt idx="31">
                  <c:v>291.97612129761018</c:v>
                </c:pt>
                <c:pt idx="32">
                  <c:v>314.79730475594641</c:v>
                </c:pt>
                <c:pt idx="33">
                  <c:v>337.58182519139035</c:v>
                </c:pt>
                <c:pt idx="34">
                  <c:v>360.33250350315166</c:v>
                </c:pt>
                <c:pt idx="35">
                  <c:v>383.05177541071208</c:v>
                </c:pt>
                <c:pt idx="36">
                  <c:v>324.88660171920714</c:v>
                </c:pt>
                <c:pt idx="37">
                  <c:v>345.04466702323003</c:v>
                </c:pt>
                <c:pt idx="38">
                  <c:v>365.17687261995815</c:v>
                </c:pt>
                <c:pt idx="39">
                  <c:v>385.28484395959771</c:v>
                </c:pt>
                <c:pt idx="40">
                  <c:v>405.37002304691242</c:v>
                </c:pt>
                <c:pt idx="41">
                  <c:v>351.0123838279564</c:v>
                </c:pt>
                <c:pt idx="42">
                  <c:v>369.27485695721407</c:v>
                </c:pt>
                <c:pt idx="43">
                  <c:v>387.5176312788667</c:v>
                </c:pt>
                <c:pt idx="44">
                  <c:v>405.7417642472314</c:v>
                </c:pt>
                <c:pt idx="45">
                  <c:v>423.9482106076091</c:v>
                </c:pt>
                <c:pt idx="46">
                  <c:v>373.37184903581334</c:v>
                </c:pt>
                <c:pt idx="47">
                  <c:v>389.75013922020406</c:v>
                </c:pt>
                <c:pt idx="48">
                  <c:v>406.11349808426445</c:v>
                </c:pt>
                <c:pt idx="49">
                  <c:v>422.46261177230537</c:v>
                </c:pt>
                <c:pt idx="50">
                  <c:v>438.7981090039209</c:v>
                </c:pt>
                <c:pt idx="51">
                  <c:v>391.98236961231743</c:v>
                </c:pt>
                <c:pt idx="52">
                  <c:v>406.48522456571527</c:v>
                </c:pt>
                <c:pt idx="53">
                  <c:v>420.97690043878242</c:v>
                </c:pt>
                <c:pt idx="54">
                  <c:v>435.45783620208516</c:v>
                </c:pt>
                <c:pt idx="55">
                  <c:v>449.92843925372966</c:v>
                </c:pt>
                <c:pt idx="56">
                  <c:v>408.71542941668878</c:v>
                </c:pt>
                <c:pt idx="57">
                  <c:v>421.34833884363542</c:v>
                </c:pt>
                <c:pt idx="58">
                  <c:v>433.97309421022049</c:v>
                </c:pt>
                <c:pt idx="59">
                  <c:v>446.58996615169809</c:v>
                </c:pt>
                <c:pt idx="60">
                  <c:v>459.19920876443319</c:v>
                </c:pt>
                <c:pt idx="61">
                  <c:v>422.09119450330468</c:v>
                </c:pt>
                <c:pt idx="62">
                  <c:v>433.23068233058763</c:v>
                </c:pt>
                <c:pt idx="63">
                  <c:v>444.36402075569396</c:v>
                </c:pt>
                <c:pt idx="64">
                  <c:v>455.49138558575584</c:v>
                </c:pt>
                <c:pt idx="65">
                  <c:v>466.61294333655468</c:v>
                </c:pt>
                <c:pt idx="66">
                  <c:v>433.60189168293124</c:v>
                </c:pt>
                <c:pt idx="67">
                  <c:v>443.25095855050807</c:v>
                </c:pt>
                <c:pt idx="68">
                  <c:v>452.89552584845842</c:v>
                </c:pt>
                <c:pt idx="69">
                  <c:v>462.53570293273214</c:v>
                </c:pt>
                <c:pt idx="70">
                  <c:v>472.17159422788467</c:v>
                </c:pt>
                <c:pt idx="71">
                  <c:v>4.566883036574213E-12</c:v>
                </c:pt>
                <c:pt idx="72">
                  <c:v>4.566883036574213E-12</c:v>
                </c:pt>
                <c:pt idx="73">
                  <c:v>4.566883036574213E-12</c:v>
                </c:pt>
                <c:pt idx="74">
                  <c:v>4.566883036574213E-12</c:v>
                </c:pt>
                <c:pt idx="75">
                  <c:v>4.566883036574213E-12</c:v>
                </c:pt>
                <c:pt idx="76">
                  <c:v>4.566883036574213E-12</c:v>
                </c:pt>
                <c:pt idx="77">
                  <c:v>4.566883036574213E-12</c:v>
                </c:pt>
                <c:pt idx="78">
                  <c:v>4.566883036574213E-12</c:v>
                </c:pt>
                <c:pt idx="79">
                  <c:v>4.566883036574213E-12</c:v>
                </c:pt>
                <c:pt idx="80">
                  <c:v>4.566883036574213E-12</c:v>
                </c:pt>
                <c:pt idx="81">
                  <c:v>4.566883036574213E-12</c:v>
                </c:pt>
                <c:pt idx="82">
                  <c:v>4.566883036574213E-12</c:v>
                </c:pt>
                <c:pt idx="83">
                  <c:v>4.566883036574213E-12</c:v>
                </c:pt>
                <c:pt idx="84">
                  <c:v>4.566883036574213E-12</c:v>
                </c:pt>
                <c:pt idx="85">
                  <c:v>4.566883036574213E-12</c:v>
                </c:pt>
                <c:pt idx="86">
                  <c:v>4.566883036574213E-12</c:v>
                </c:pt>
                <c:pt idx="87">
                  <c:v>4.566883036574213E-12</c:v>
                </c:pt>
                <c:pt idx="88">
                  <c:v>4.566883036574213E-12</c:v>
                </c:pt>
                <c:pt idx="89">
                  <c:v>4.566883036574213E-12</c:v>
                </c:pt>
                <c:pt idx="90">
                  <c:v>4.566883036574213E-12</c:v>
                </c:pt>
                <c:pt idx="91">
                  <c:v>4.566883036574213E-12</c:v>
                </c:pt>
                <c:pt idx="92">
                  <c:v>4.566883036574213E-12</c:v>
                </c:pt>
                <c:pt idx="93">
                  <c:v>4.566883036574213E-12</c:v>
                </c:pt>
                <c:pt idx="94">
                  <c:v>4.566883036574213E-12</c:v>
                </c:pt>
                <c:pt idx="95">
                  <c:v>4.566883036574213E-12</c:v>
                </c:pt>
                <c:pt idx="96">
                  <c:v>4.566883036574213E-12</c:v>
                </c:pt>
                <c:pt idx="97">
                  <c:v>4.566883036574213E-12</c:v>
                </c:pt>
                <c:pt idx="98">
                  <c:v>4.566883036574213E-12</c:v>
                </c:pt>
                <c:pt idx="99">
                  <c:v>4.566883036574213E-12</c:v>
                </c:pt>
                <c:pt idx="100">
                  <c:v>4.566883036574213E-12</c:v>
                </c:pt>
                <c:pt idx="101">
                  <c:v>4.566883036574213E-12</c:v>
                </c:pt>
                <c:pt idx="102">
                  <c:v>4.566883036574213E-12</c:v>
                </c:pt>
                <c:pt idx="103">
                  <c:v>4.566883036574213E-12</c:v>
                </c:pt>
                <c:pt idx="104">
                  <c:v>4.566883036574213E-12</c:v>
                </c:pt>
                <c:pt idx="105">
                  <c:v>4.566883036574213E-12</c:v>
                </c:pt>
                <c:pt idx="106">
                  <c:v>4.566883036574213E-12</c:v>
                </c:pt>
                <c:pt idx="107">
                  <c:v>4.566883036574213E-12</c:v>
                </c:pt>
                <c:pt idx="108">
                  <c:v>4.566883036574213E-12</c:v>
                </c:pt>
                <c:pt idx="109">
                  <c:v>4.566883036574213E-12</c:v>
                </c:pt>
                <c:pt idx="110">
                  <c:v>4.566883036574213E-12</c:v>
                </c:pt>
                <c:pt idx="111">
                  <c:v>4.566883036574213E-12</c:v>
                </c:pt>
                <c:pt idx="112">
                  <c:v>4.566883036574213E-12</c:v>
                </c:pt>
                <c:pt idx="113">
                  <c:v>4.566883036574213E-12</c:v>
                </c:pt>
                <c:pt idx="114">
                  <c:v>4.566883036574213E-12</c:v>
                </c:pt>
                <c:pt idx="115">
                  <c:v>4.566883036574213E-12</c:v>
                </c:pt>
                <c:pt idx="116">
                  <c:v>4.566883036574213E-12</c:v>
                </c:pt>
                <c:pt idx="117">
                  <c:v>4.566883036574213E-12</c:v>
                </c:pt>
                <c:pt idx="118">
                  <c:v>4.566883036574213E-12</c:v>
                </c:pt>
                <c:pt idx="119">
                  <c:v>4.566883036574213E-12</c:v>
                </c:pt>
                <c:pt idx="120">
                  <c:v>4.566883036574213E-12</c:v>
                </c:pt>
                <c:pt idx="121">
                  <c:v>4.566883036574213E-12</c:v>
                </c:pt>
                <c:pt idx="122">
                  <c:v>4.566883036574213E-12</c:v>
                </c:pt>
                <c:pt idx="123">
                  <c:v>4.566883036574213E-12</c:v>
                </c:pt>
                <c:pt idx="124">
                  <c:v>4.566883036574213E-12</c:v>
                </c:pt>
                <c:pt idx="125">
                  <c:v>4.566883036574213E-12</c:v>
                </c:pt>
                <c:pt idx="126">
                  <c:v>4.566883036574213E-12</c:v>
                </c:pt>
                <c:pt idx="127">
                  <c:v>4.566883036574213E-12</c:v>
                </c:pt>
                <c:pt idx="128">
                  <c:v>4.566883036574213E-12</c:v>
                </c:pt>
                <c:pt idx="129">
                  <c:v>4.566883036574213E-12</c:v>
                </c:pt>
                <c:pt idx="130">
                  <c:v>4.566883036574213E-12</c:v>
                </c:pt>
                <c:pt idx="131">
                  <c:v>4.566883036574213E-12</c:v>
                </c:pt>
                <c:pt idx="132">
                  <c:v>4.566883036574213E-12</c:v>
                </c:pt>
                <c:pt idx="133">
                  <c:v>4.566883036574213E-12</c:v>
                </c:pt>
                <c:pt idx="134">
                  <c:v>4.566883036574213E-12</c:v>
                </c:pt>
                <c:pt idx="135">
                  <c:v>4.566883036574213E-12</c:v>
                </c:pt>
                <c:pt idx="136">
                  <c:v>4.566883036574213E-12</c:v>
                </c:pt>
                <c:pt idx="137">
                  <c:v>4.566883036574213E-12</c:v>
                </c:pt>
                <c:pt idx="138">
                  <c:v>4.566883036574213E-12</c:v>
                </c:pt>
                <c:pt idx="139">
                  <c:v>4.566883036574213E-12</c:v>
                </c:pt>
                <c:pt idx="140">
                  <c:v>4.566883036574213E-12</c:v>
                </c:pt>
                <c:pt idx="141">
                  <c:v>4.566883036574213E-12</c:v>
                </c:pt>
                <c:pt idx="142">
                  <c:v>4.566883036574213E-12</c:v>
                </c:pt>
                <c:pt idx="143">
                  <c:v>4.566883036574213E-12</c:v>
                </c:pt>
                <c:pt idx="144">
                  <c:v>4.566883036574213E-12</c:v>
                </c:pt>
                <c:pt idx="145">
                  <c:v>4.566883036574213E-12</c:v>
                </c:pt>
                <c:pt idx="146">
                  <c:v>4.566883036574213E-12</c:v>
                </c:pt>
                <c:pt idx="147">
                  <c:v>4.566883036574213E-12</c:v>
                </c:pt>
                <c:pt idx="148">
                  <c:v>4.566883036574213E-12</c:v>
                </c:pt>
                <c:pt idx="149">
                  <c:v>4.566883036574213E-12</c:v>
                </c:pt>
                <c:pt idx="150">
                  <c:v>4.566883036574213E-12</c:v>
                </c:pt>
                <c:pt idx="151">
                  <c:v>4.566883036574213E-12</c:v>
                </c:pt>
                <c:pt idx="152">
                  <c:v>4.566883036574213E-12</c:v>
                </c:pt>
                <c:pt idx="153">
                  <c:v>4.566883036574213E-12</c:v>
                </c:pt>
                <c:pt idx="154">
                  <c:v>4.566883036574213E-12</c:v>
                </c:pt>
                <c:pt idx="155">
                  <c:v>4.566883036574213E-12</c:v>
                </c:pt>
                <c:pt idx="156">
                  <c:v>4.566883036574213E-12</c:v>
                </c:pt>
                <c:pt idx="157">
                  <c:v>4.566883036574213E-12</c:v>
                </c:pt>
                <c:pt idx="158">
                  <c:v>4.566883036574213E-12</c:v>
                </c:pt>
                <c:pt idx="159">
                  <c:v>4.566883036574213E-12</c:v>
                </c:pt>
                <c:pt idx="160">
                  <c:v>4.566883036574213E-12</c:v>
                </c:pt>
                <c:pt idx="161">
                  <c:v>4.566883036574213E-12</c:v>
                </c:pt>
                <c:pt idx="162">
                  <c:v>4.566883036574213E-12</c:v>
                </c:pt>
                <c:pt idx="163">
                  <c:v>4.566883036574213E-12</c:v>
                </c:pt>
                <c:pt idx="164">
                  <c:v>4.566883036574213E-12</c:v>
                </c:pt>
                <c:pt idx="165">
                  <c:v>4.566883036574213E-12</c:v>
                </c:pt>
                <c:pt idx="166">
                  <c:v>4.566883036574213E-12</c:v>
                </c:pt>
                <c:pt idx="167">
                  <c:v>4.566883036574213E-12</c:v>
                </c:pt>
                <c:pt idx="168">
                  <c:v>4.566883036574213E-12</c:v>
                </c:pt>
                <c:pt idx="169">
                  <c:v>4.566883036574213E-12</c:v>
                </c:pt>
                <c:pt idx="170">
                  <c:v>4.566883036574213E-12</c:v>
                </c:pt>
                <c:pt idx="171">
                  <c:v>4.566883036574213E-12</c:v>
                </c:pt>
                <c:pt idx="172">
                  <c:v>4.566883036574213E-12</c:v>
                </c:pt>
                <c:pt idx="173">
                  <c:v>4.566883036574213E-12</c:v>
                </c:pt>
                <c:pt idx="174">
                  <c:v>4.566883036574213E-12</c:v>
                </c:pt>
                <c:pt idx="175">
                  <c:v>4.566883036574213E-12</c:v>
                </c:pt>
                <c:pt idx="176">
                  <c:v>4.566883036574213E-12</c:v>
                </c:pt>
                <c:pt idx="177">
                  <c:v>4.566883036574213E-12</c:v>
                </c:pt>
                <c:pt idx="178">
                  <c:v>4.566883036574213E-12</c:v>
                </c:pt>
                <c:pt idx="179">
                  <c:v>4.566883036574213E-12</c:v>
                </c:pt>
                <c:pt idx="180">
                  <c:v>4.566883036574213E-12</c:v>
                </c:pt>
                <c:pt idx="181">
                  <c:v>4.566883036574213E-12</c:v>
                </c:pt>
                <c:pt idx="182">
                  <c:v>4.566883036574213E-12</c:v>
                </c:pt>
                <c:pt idx="183">
                  <c:v>4.566883036574213E-12</c:v>
                </c:pt>
                <c:pt idx="184">
                  <c:v>4.566883036574213E-12</c:v>
                </c:pt>
                <c:pt idx="185">
                  <c:v>4.566883036574213E-12</c:v>
                </c:pt>
                <c:pt idx="186">
                  <c:v>4.566883036574213E-12</c:v>
                </c:pt>
                <c:pt idx="187">
                  <c:v>4.566883036574213E-12</c:v>
                </c:pt>
                <c:pt idx="188">
                  <c:v>4.566883036574213E-12</c:v>
                </c:pt>
                <c:pt idx="189">
                  <c:v>4.566883036574213E-12</c:v>
                </c:pt>
                <c:pt idx="190">
                  <c:v>4.566883036574213E-12</c:v>
                </c:pt>
                <c:pt idx="191">
                  <c:v>4.566883036574213E-12</c:v>
                </c:pt>
                <c:pt idx="192">
                  <c:v>4.566883036574213E-12</c:v>
                </c:pt>
                <c:pt idx="193">
                  <c:v>4.566883036574213E-12</c:v>
                </c:pt>
                <c:pt idx="194">
                  <c:v>4.566883036574213E-12</c:v>
                </c:pt>
                <c:pt idx="195">
                  <c:v>4.566883036574213E-12</c:v>
                </c:pt>
                <c:pt idx="196">
                  <c:v>4.566883036574213E-12</c:v>
                </c:pt>
                <c:pt idx="197">
                  <c:v>4.566883036574213E-12</c:v>
                </c:pt>
                <c:pt idx="198">
                  <c:v>4.566883036574213E-12</c:v>
                </c:pt>
                <c:pt idx="199">
                  <c:v>4.566883036574213E-12</c:v>
                </c:pt>
                <c:pt idx="200">
                  <c:v>4.566883036574213E-12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1.5762207879902295</c:v>
                </c:pt>
                <c:pt idx="2">
                  <c:v>1.9750431346802968</c:v>
                </c:pt>
                <c:pt idx="3">
                  <c:v>2.4751796802471793</c:v>
                </c:pt>
                <c:pt idx="4">
                  <c:v>3.1024643203282296</c:v>
                </c:pt>
                <c:pt idx="5">
                  <c:v>3.8893414289120436</c:v>
                </c:pt>
                <c:pt idx="6">
                  <c:v>4.8765628932523635</c:v>
                </c:pt>
                <c:pt idx="7">
                  <c:v>6.1153221214442874</c:v>
                </c:pt>
                <c:pt idx="8">
                  <c:v>7.6699378502433211</c:v>
                </c:pt>
                <c:pt idx="9">
                  <c:v>9.6212297864751175</c:v>
                </c:pt>
                <c:pt idx="10">
                  <c:v>12.070764898431419</c:v>
                </c:pt>
                <c:pt idx="11">
                  <c:v>15.146199503919187</c:v>
                </c:pt>
                <c:pt idx="12">
                  <c:v>19.00800066216641</c:v>
                </c:pt>
                <c:pt idx="13">
                  <c:v>23.857903897593783</c:v>
                </c:pt>
                <c:pt idx="14">
                  <c:v>29.949556910346235</c:v>
                </c:pt>
                <c:pt idx="15">
                  <c:v>37.601915636028352</c:v>
                </c:pt>
                <c:pt idx="16">
                  <c:v>47.216106077312048</c:v>
                </c:pt>
                <c:pt idx="17">
                  <c:v>59.296650651311523</c:v>
                </c:pt>
                <c:pt idx="18">
                  <c:v>74.478191351037054</c:v>
                </c:pt>
                <c:pt idx="19">
                  <c:v>93.559136382283143</c:v>
                </c:pt>
                <c:pt idx="20">
                  <c:v>117.54402796822266</c:v>
                </c:pt>
                <c:pt idx="21">
                  <c:v>147.6968967144951</c:v>
                </c:pt>
                <c:pt idx="22">
                  <c:v>185.60845752541505</c:v>
                </c:pt>
                <c:pt idx="23">
                  <c:v>233.28074537804628</c:v>
                </c:pt>
                <c:pt idx="24">
                  <c:v>293.23372643484055</c:v>
                </c:pt>
                <c:pt idx="25">
                  <c:v>368.63960164289864</c:v>
                </c:pt>
                <c:pt idx="26">
                  <c:v>368.84470413599291</c:v>
                </c:pt>
                <c:pt idx="27">
                  <c:v>390.57175619871106</c:v>
                </c:pt>
                <c:pt idx="28">
                  <c:v>412.2725936680884</c:v>
                </c:pt>
                <c:pt idx="29">
                  <c:v>433.94878949151558</c:v>
                </c:pt>
                <c:pt idx="30">
                  <c:v>455.60174675120015</c:v>
                </c:pt>
                <c:pt idx="31">
                  <c:v>429.04305448170095</c:v>
                </c:pt>
                <c:pt idx="32">
                  <c:v>451.51800180438863</c:v>
                </c:pt>
                <c:pt idx="33">
                  <c:v>473.96903346292311</c:v>
                </c:pt>
                <c:pt idx="34">
                  <c:v>496.39744065529925</c:v>
                </c:pt>
                <c:pt idx="35">
                  <c:v>518.80438847936091</c:v>
                </c:pt>
                <c:pt idx="36">
                  <c:v>478.25253025624767</c:v>
                </c:pt>
                <c:pt idx="37">
                  <c:v>499.86170680225081</c:v>
                </c:pt>
                <c:pt idx="38">
                  <c:v>521.45111470089762</c:v>
                </c:pt>
                <c:pt idx="39">
                  <c:v>543.02168685576123</c:v>
                </c:pt>
                <c:pt idx="40">
                  <c:v>564.57427607529121</c:v>
                </c:pt>
                <c:pt idx="41">
                  <c:v>517.58272655458029</c:v>
                </c:pt>
                <c:pt idx="42">
                  <c:v>536.71520912753044</c:v>
                </c:pt>
                <c:pt idx="43">
                  <c:v>555.83336083280631</c:v>
                </c:pt>
                <c:pt idx="44">
                  <c:v>574.93774359362226</c:v>
                </c:pt>
                <c:pt idx="45">
                  <c:v>594.02887897365815</c:v>
                </c:pt>
                <c:pt idx="46">
                  <c:v>541.59777862719704</c:v>
                </c:pt>
                <c:pt idx="47">
                  <c:v>559.28941295549282</c:v>
                </c:pt>
                <c:pt idx="48">
                  <c:v>576.96933633284277</c:v>
                </c:pt>
                <c:pt idx="49">
                  <c:v>594.63795789191602</c:v>
                </c:pt>
                <c:pt idx="50">
                  <c:v>612.29566048724098</c:v>
                </c:pt>
                <c:pt idx="51">
                  <c:v>556.64658995485752</c:v>
                </c:pt>
                <c:pt idx="52">
                  <c:v>575.14090960267561</c:v>
                </c:pt>
                <c:pt idx="53">
                  <c:v>593.62281914234063</c:v>
                </c:pt>
                <c:pt idx="54">
                  <c:v>612.09275904653725</c:v>
                </c:pt>
                <c:pt idx="55">
                  <c:v>630.5511410594662</c:v>
                </c:pt>
                <c:pt idx="56">
                  <c:v>579.00077978337322</c:v>
                </c:pt>
                <c:pt idx="57">
                  <c:v>596.4651168216202</c:v>
                </c:pt>
                <c:pt idx="58">
                  <c:v>613.91882183995131</c:v>
                </c:pt>
                <c:pt idx="59">
                  <c:v>631.36223944629705</c:v>
                </c:pt>
                <c:pt idx="60">
                  <c:v>648.79569366895066</c:v>
                </c:pt>
                <c:pt idx="61">
                  <c:v>603.36666994933148</c:v>
                </c:pt>
                <c:pt idx="62">
                  <c:v>619.80203758695313</c:v>
                </c:pt>
                <c:pt idx="63">
                  <c:v>636.22837830407423</c:v>
                </c:pt>
                <c:pt idx="64">
                  <c:v>652.64595782060917</c:v>
                </c:pt>
                <c:pt idx="65">
                  <c:v>669.05502740777467</c:v>
                </c:pt>
                <c:pt idx="66">
                  <c:v>4.337729178434667E-12</c:v>
                </c:pt>
                <c:pt idx="67">
                  <c:v>4.337729178434667E-12</c:v>
                </c:pt>
                <c:pt idx="68">
                  <c:v>4.337729178434667E-12</c:v>
                </c:pt>
                <c:pt idx="69">
                  <c:v>4.337729178434667E-12</c:v>
                </c:pt>
                <c:pt idx="70">
                  <c:v>4.337729178434667E-12</c:v>
                </c:pt>
                <c:pt idx="71">
                  <c:v>4.337729178434667E-12</c:v>
                </c:pt>
                <c:pt idx="72">
                  <c:v>4.337729178434667E-12</c:v>
                </c:pt>
                <c:pt idx="73">
                  <c:v>4.337729178434667E-12</c:v>
                </c:pt>
                <c:pt idx="74">
                  <c:v>4.337729178434667E-12</c:v>
                </c:pt>
                <c:pt idx="75">
                  <c:v>4.337729178434667E-12</c:v>
                </c:pt>
                <c:pt idx="76">
                  <c:v>4.337729178434667E-12</c:v>
                </c:pt>
                <c:pt idx="77">
                  <c:v>4.337729178434667E-12</c:v>
                </c:pt>
                <c:pt idx="78">
                  <c:v>4.337729178434667E-12</c:v>
                </c:pt>
                <c:pt idx="79">
                  <c:v>4.337729178434667E-12</c:v>
                </c:pt>
                <c:pt idx="80">
                  <c:v>4.337729178434667E-12</c:v>
                </c:pt>
                <c:pt idx="81">
                  <c:v>4.337729178434667E-12</c:v>
                </c:pt>
                <c:pt idx="82">
                  <c:v>4.337729178434667E-12</c:v>
                </c:pt>
                <c:pt idx="83">
                  <c:v>4.337729178434667E-12</c:v>
                </c:pt>
                <c:pt idx="84">
                  <c:v>4.337729178434667E-12</c:v>
                </c:pt>
                <c:pt idx="85">
                  <c:v>4.337729178434667E-12</c:v>
                </c:pt>
                <c:pt idx="86">
                  <c:v>4.337729178434667E-12</c:v>
                </c:pt>
                <c:pt idx="87">
                  <c:v>4.337729178434667E-12</c:v>
                </c:pt>
                <c:pt idx="88">
                  <c:v>4.337729178434667E-12</c:v>
                </c:pt>
                <c:pt idx="89">
                  <c:v>4.337729178434667E-12</c:v>
                </c:pt>
                <c:pt idx="90">
                  <c:v>4.337729178434667E-12</c:v>
                </c:pt>
                <c:pt idx="91">
                  <c:v>4.337729178434667E-12</c:v>
                </c:pt>
                <c:pt idx="92">
                  <c:v>4.337729178434667E-12</c:v>
                </c:pt>
                <c:pt idx="93">
                  <c:v>4.337729178434667E-12</c:v>
                </c:pt>
                <c:pt idx="94">
                  <c:v>4.337729178434667E-12</c:v>
                </c:pt>
                <c:pt idx="95">
                  <c:v>4.337729178434667E-12</c:v>
                </c:pt>
                <c:pt idx="96">
                  <c:v>4.337729178434667E-12</c:v>
                </c:pt>
                <c:pt idx="97">
                  <c:v>4.337729178434667E-12</c:v>
                </c:pt>
                <c:pt idx="98">
                  <c:v>4.337729178434667E-12</c:v>
                </c:pt>
                <c:pt idx="99">
                  <c:v>4.337729178434667E-12</c:v>
                </c:pt>
                <c:pt idx="100">
                  <c:v>4.337729178434667E-12</c:v>
                </c:pt>
                <c:pt idx="101">
                  <c:v>4.337729178434667E-12</c:v>
                </c:pt>
                <c:pt idx="102">
                  <c:v>4.337729178434667E-12</c:v>
                </c:pt>
                <c:pt idx="103">
                  <c:v>4.337729178434667E-12</c:v>
                </c:pt>
                <c:pt idx="104">
                  <c:v>4.337729178434667E-12</c:v>
                </c:pt>
                <c:pt idx="105">
                  <c:v>4.337729178434667E-12</c:v>
                </c:pt>
                <c:pt idx="106">
                  <c:v>4.337729178434667E-12</c:v>
                </c:pt>
                <c:pt idx="107">
                  <c:v>4.337729178434667E-12</c:v>
                </c:pt>
                <c:pt idx="108">
                  <c:v>4.337729178434667E-12</c:v>
                </c:pt>
                <c:pt idx="109">
                  <c:v>4.337729178434667E-12</c:v>
                </c:pt>
                <c:pt idx="110">
                  <c:v>4.337729178434667E-12</c:v>
                </c:pt>
                <c:pt idx="111">
                  <c:v>4.337729178434667E-12</c:v>
                </c:pt>
                <c:pt idx="112">
                  <c:v>4.337729178434667E-12</c:v>
                </c:pt>
                <c:pt idx="113">
                  <c:v>4.337729178434667E-12</c:v>
                </c:pt>
                <c:pt idx="114">
                  <c:v>4.337729178434667E-12</c:v>
                </c:pt>
                <c:pt idx="115">
                  <c:v>4.337729178434667E-12</c:v>
                </c:pt>
                <c:pt idx="116">
                  <c:v>4.337729178434667E-12</c:v>
                </c:pt>
                <c:pt idx="117">
                  <c:v>4.337729178434667E-12</c:v>
                </c:pt>
                <c:pt idx="118">
                  <c:v>4.337729178434667E-12</c:v>
                </c:pt>
                <c:pt idx="119">
                  <c:v>4.337729178434667E-12</c:v>
                </c:pt>
                <c:pt idx="120">
                  <c:v>4.337729178434667E-12</c:v>
                </c:pt>
                <c:pt idx="121">
                  <c:v>4.337729178434667E-12</c:v>
                </c:pt>
                <c:pt idx="122">
                  <c:v>4.337729178434667E-12</c:v>
                </c:pt>
                <c:pt idx="123">
                  <c:v>4.337729178434667E-12</c:v>
                </c:pt>
                <c:pt idx="124">
                  <c:v>4.337729178434667E-12</c:v>
                </c:pt>
                <c:pt idx="125">
                  <c:v>4.337729178434667E-12</c:v>
                </c:pt>
                <c:pt idx="126">
                  <c:v>4.337729178434667E-12</c:v>
                </c:pt>
                <c:pt idx="127">
                  <c:v>4.337729178434667E-12</c:v>
                </c:pt>
                <c:pt idx="128">
                  <c:v>4.337729178434667E-12</c:v>
                </c:pt>
                <c:pt idx="129">
                  <c:v>4.337729178434667E-12</c:v>
                </c:pt>
                <c:pt idx="130">
                  <c:v>4.337729178434667E-12</c:v>
                </c:pt>
                <c:pt idx="131">
                  <c:v>4.337729178434667E-12</c:v>
                </c:pt>
                <c:pt idx="132">
                  <c:v>4.337729178434667E-12</c:v>
                </c:pt>
                <c:pt idx="133">
                  <c:v>4.337729178434667E-12</c:v>
                </c:pt>
                <c:pt idx="134">
                  <c:v>4.337729178434667E-12</c:v>
                </c:pt>
                <c:pt idx="135">
                  <c:v>4.337729178434667E-12</c:v>
                </c:pt>
                <c:pt idx="136">
                  <c:v>4.337729178434667E-12</c:v>
                </c:pt>
                <c:pt idx="137">
                  <c:v>4.337729178434667E-12</c:v>
                </c:pt>
                <c:pt idx="138">
                  <c:v>4.337729178434667E-12</c:v>
                </c:pt>
                <c:pt idx="139">
                  <c:v>4.337729178434667E-12</c:v>
                </c:pt>
                <c:pt idx="140">
                  <c:v>4.337729178434667E-12</c:v>
                </c:pt>
                <c:pt idx="141">
                  <c:v>4.337729178434667E-12</c:v>
                </c:pt>
                <c:pt idx="142">
                  <c:v>4.337729178434667E-12</c:v>
                </c:pt>
                <c:pt idx="143">
                  <c:v>4.337729178434667E-12</c:v>
                </c:pt>
                <c:pt idx="144">
                  <c:v>4.337729178434667E-12</c:v>
                </c:pt>
                <c:pt idx="145">
                  <c:v>4.337729178434667E-12</c:v>
                </c:pt>
                <c:pt idx="146">
                  <c:v>4.337729178434667E-12</c:v>
                </c:pt>
                <c:pt idx="147">
                  <c:v>4.337729178434667E-12</c:v>
                </c:pt>
                <c:pt idx="148">
                  <c:v>4.337729178434667E-12</c:v>
                </c:pt>
                <c:pt idx="149">
                  <c:v>4.337729178434667E-12</c:v>
                </c:pt>
                <c:pt idx="150">
                  <c:v>4.337729178434667E-12</c:v>
                </c:pt>
                <c:pt idx="151">
                  <c:v>4.337729178434667E-12</c:v>
                </c:pt>
                <c:pt idx="152">
                  <c:v>4.337729178434667E-12</c:v>
                </c:pt>
                <c:pt idx="153">
                  <c:v>4.337729178434667E-12</c:v>
                </c:pt>
                <c:pt idx="154">
                  <c:v>4.337729178434667E-12</c:v>
                </c:pt>
                <c:pt idx="155">
                  <c:v>4.337729178434667E-12</c:v>
                </c:pt>
                <c:pt idx="156">
                  <c:v>4.337729178434667E-12</c:v>
                </c:pt>
                <c:pt idx="157">
                  <c:v>4.337729178434667E-12</c:v>
                </c:pt>
                <c:pt idx="158">
                  <c:v>4.337729178434667E-12</c:v>
                </c:pt>
                <c:pt idx="159">
                  <c:v>4.337729178434667E-12</c:v>
                </c:pt>
                <c:pt idx="160">
                  <c:v>4.337729178434667E-12</c:v>
                </c:pt>
                <c:pt idx="161">
                  <c:v>4.337729178434667E-12</c:v>
                </c:pt>
                <c:pt idx="162">
                  <c:v>4.337729178434667E-12</c:v>
                </c:pt>
                <c:pt idx="163">
                  <c:v>4.337729178434667E-12</c:v>
                </c:pt>
                <c:pt idx="164">
                  <c:v>4.337729178434667E-12</c:v>
                </c:pt>
                <c:pt idx="165">
                  <c:v>4.337729178434667E-12</c:v>
                </c:pt>
                <c:pt idx="166">
                  <c:v>4.337729178434667E-12</c:v>
                </c:pt>
                <c:pt idx="167">
                  <c:v>4.337729178434667E-12</c:v>
                </c:pt>
                <c:pt idx="168">
                  <c:v>4.337729178434667E-12</c:v>
                </c:pt>
                <c:pt idx="169">
                  <c:v>4.337729178434667E-12</c:v>
                </c:pt>
                <c:pt idx="170">
                  <c:v>4.337729178434667E-12</c:v>
                </c:pt>
                <c:pt idx="171">
                  <c:v>4.337729178434667E-12</c:v>
                </c:pt>
                <c:pt idx="172">
                  <c:v>4.337729178434667E-12</c:v>
                </c:pt>
                <c:pt idx="173">
                  <c:v>4.337729178434667E-12</c:v>
                </c:pt>
                <c:pt idx="174">
                  <c:v>4.337729178434667E-12</c:v>
                </c:pt>
                <c:pt idx="175">
                  <c:v>4.337729178434667E-12</c:v>
                </c:pt>
                <c:pt idx="176">
                  <c:v>4.337729178434667E-12</c:v>
                </c:pt>
                <c:pt idx="177">
                  <c:v>4.337729178434667E-12</c:v>
                </c:pt>
                <c:pt idx="178">
                  <c:v>4.337729178434667E-12</c:v>
                </c:pt>
                <c:pt idx="179">
                  <c:v>4.337729178434667E-12</c:v>
                </c:pt>
                <c:pt idx="180">
                  <c:v>4.337729178434667E-12</c:v>
                </c:pt>
                <c:pt idx="181">
                  <c:v>4.337729178434667E-12</c:v>
                </c:pt>
                <c:pt idx="182">
                  <c:v>4.337729178434667E-12</c:v>
                </c:pt>
                <c:pt idx="183">
                  <c:v>4.337729178434667E-12</c:v>
                </c:pt>
                <c:pt idx="184">
                  <c:v>4.337729178434667E-12</c:v>
                </c:pt>
                <c:pt idx="185">
                  <c:v>4.337729178434667E-12</c:v>
                </c:pt>
                <c:pt idx="186">
                  <c:v>4.337729178434667E-12</c:v>
                </c:pt>
                <c:pt idx="187">
                  <c:v>4.337729178434667E-12</c:v>
                </c:pt>
                <c:pt idx="188">
                  <c:v>4.337729178434667E-12</c:v>
                </c:pt>
                <c:pt idx="189">
                  <c:v>4.337729178434667E-12</c:v>
                </c:pt>
                <c:pt idx="190">
                  <c:v>4.337729178434667E-12</c:v>
                </c:pt>
                <c:pt idx="191">
                  <c:v>4.337729178434667E-12</c:v>
                </c:pt>
                <c:pt idx="192">
                  <c:v>4.337729178434667E-12</c:v>
                </c:pt>
                <c:pt idx="193">
                  <c:v>4.337729178434667E-12</c:v>
                </c:pt>
                <c:pt idx="194">
                  <c:v>4.337729178434667E-12</c:v>
                </c:pt>
                <c:pt idx="195">
                  <c:v>4.337729178434667E-12</c:v>
                </c:pt>
                <c:pt idx="196">
                  <c:v>4.337729178434667E-12</c:v>
                </c:pt>
                <c:pt idx="197">
                  <c:v>4.337729178434667E-12</c:v>
                </c:pt>
                <c:pt idx="198">
                  <c:v>4.337729178434667E-12</c:v>
                </c:pt>
                <c:pt idx="199">
                  <c:v>4.337729178434667E-12</c:v>
                </c:pt>
                <c:pt idx="200">
                  <c:v>4.337729178434667E-12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2.6321307759158539</c:v>
                </c:pt>
                <c:pt idx="2">
                  <c:v>3.1560734063920113</c:v>
                </c:pt>
                <c:pt idx="3">
                  <c:v>3.7846993320200979</c:v>
                </c:pt>
                <c:pt idx="4">
                  <c:v>4.5389975780993446</c:v>
                </c:pt>
                <c:pt idx="5">
                  <c:v>5.4441792648286835</c:v>
                </c:pt>
                <c:pt idx="6">
                  <c:v>6.5305294945483814</c:v>
                </c:pt>
                <c:pt idx="7">
                  <c:v>7.834431605214867</c:v>
                </c:pt>
                <c:pt idx="8">
                  <c:v>9.3995987554254992</c:v>
                </c:pt>
                <c:pt idx="9">
                  <c:v>11.278554915830329</c:v>
                </c:pt>
                <c:pt idx="10">
                  <c:v>13.534415899950652</c:v>
                </c:pt>
                <c:pt idx="11">
                  <c:v>16.243031370023068</c:v>
                </c:pt>
                <c:pt idx="12">
                  <c:v>19.495561156740578</c:v>
                </c:pt>
                <c:pt idx="13">
                  <c:v>23.401574164781298</c:v>
                </c:pt>
                <c:pt idx="14">
                  <c:v>28.092776115715726</c:v>
                </c:pt>
                <c:pt idx="15">
                  <c:v>33.72749402897842</c:v>
                </c:pt>
                <c:pt idx="16">
                  <c:v>40.49607141027402</c:v>
                </c:pt>
                <c:pt idx="17">
                  <c:v>48.62735950887506</c:v>
                </c:pt>
                <c:pt idx="18">
                  <c:v>58.396527809693396</c:v>
                </c:pt>
                <c:pt idx="19">
                  <c:v>70.134462454793137</c:v>
                </c:pt>
                <c:pt idx="20">
                  <c:v>84.239076123038515</c:v>
                </c:pt>
                <c:pt idx="21">
                  <c:v>101.18891894074419</c:v>
                </c:pt>
                <c:pt idx="22">
                  <c:v>121.55955954594265</c:v>
                </c:pt>
                <c:pt idx="23">
                  <c:v>146.04330125033297</c:v>
                </c:pt>
                <c:pt idx="24">
                  <c:v>175.47291366957458</c:v>
                </c:pt>
                <c:pt idx="25">
                  <c:v>210.85019924163907</c:v>
                </c:pt>
                <c:pt idx="26">
                  <c:v>185.24975095506522</c:v>
                </c:pt>
                <c:pt idx="27">
                  <c:v>207.88589861014086</c:v>
                </c:pt>
                <c:pt idx="28">
                  <c:v>230.46511069348855</c:v>
                </c:pt>
                <c:pt idx="29">
                  <c:v>252.99374979192666</c:v>
                </c:pt>
                <c:pt idx="30">
                  <c:v>275.47695163372049</c:v>
                </c:pt>
                <c:pt idx="31">
                  <c:v>234.53122639168836</c:v>
                </c:pt>
                <c:pt idx="32">
                  <c:v>258.15768037977301</c:v>
                </c:pt>
                <c:pt idx="33">
                  <c:v>281.73525664729715</c:v>
                </c:pt>
                <c:pt idx="34">
                  <c:v>305.2686189668205</c:v>
                </c:pt>
                <c:pt idx="35">
                  <c:v>328.76165316889825</c:v>
                </c:pt>
                <c:pt idx="36">
                  <c:v>289.09398574595861</c:v>
                </c:pt>
                <c:pt idx="37">
                  <c:v>313.71588765662</c:v>
                </c:pt>
                <c:pt idx="38">
                  <c:v>338.294948711404</c:v>
                </c:pt>
                <c:pt idx="39">
                  <c:v>362.83471688970462</c:v>
                </c:pt>
                <c:pt idx="40">
                  <c:v>387.33822121677059</c:v>
                </c:pt>
                <c:pt idx="41">
                  <c:v>348.55496880472214</c:v>
                </c:pt>
                <c:pt idx="42">
                  <c:v>373.81075414168623</c:v>
                </c:pt>
                <c:pt idx="43">
                  <c:v>399.02936683024018</c:v>
                </c:pt>
                <c:pt idx="44">
                  <c:v>424.21348431024836</c:v>
                </c:pt>
                <c:pt idx="45">
                  <c:v>449.36544039116256</c:v>
                </c:pt>
                <c:pt idx="46">
                  <c:v>410.34809118885158</c:v>
                </c:pt>
                <c:pt idx="47">
                  <c:v>435.15294270927825</c:v>
                </c:pt>
                <c:pt idx="48">
                  <c:v>459.92745587773499</c:v>
                </c:pt>
                <c:pt idx="49">
                  <c:v>484.67349306043229</c:v>
                </c:pt>
                <c:pt idx="50">
                  <c:v>509.39271110335471</c:v>
                </c:pt>
                <c:pt idx="51">
                  <c:v>470.12035055146072</c:v>
                </c:pt>
                <c:pt idx="52">
                  <c:v>494.49160073335105</c:v>
                </c:pt>
                <c:pt idx="53">
                  <c:v>518.83740552632355</c:v>
                </c:pt>
                <c:pt idx="54">
                  <c:v>543.15912558232264</c:v>
                </c:pt>
                <c:pt idx="55">
                  <c:v>567.45798988344677</c:v>
                </c:pt>
                <c:pt idx="56">
                  <c:v>527.55236536708924</c:v>
                </c:pt>
                <c:pt idx="57">
                  <c:v>551.14032081646064</c:v>
                </c:pt>
                <c:pt idx="58">
                  <c:v>574.7071209020188</c:v>
                </c:pt>
                <c:pt idx="59">
                  <c:v>598.25375422735704</c:v>
                </c:pt>
                <c:pt idx="60">
                  <c:v>621.78112531404167</c:v>
                </c:pt>
                <c:pt idx="61">
                  <c:v>580.86738049325345</c:v>
                </c:pt>
                <c:pt idx="62">
                  <c:v>603.322786102946</c:v>
                </c:pt>
                <c:pt idx="63">
                  <c:v>625.76083514390393</c:v>
                </c:pt>
                <c:pt idx="64">
                  <c:v>648.18223687272553</c:v>
                </c:pt>
                <c:pt idx="65">
                  <c:v>670.5876475316818</c:v>
                </c:pt>
                <c:pt idx="66">
                  <c:v>628.65484029812285</c:v>
                </c:pt>
                <c:pt idx="67">
                  <c:v>649.98970921008811</c:v>
                </c:pt>
                <c:pt idx="68">
                  <c:v>671.31014346170321</c:v>
                </c:pt>
                <c:pt idx="69">
                  <c:v>692.61666551890175</c:v>
                </c:pt>
                <c:pt idx="70">
                  <c:v>713.90976311819679</c:v>
                </c:pt>
                <c:pt idx="71">
                  <c:v>670.58764753168191</c:v>
                </c:pt>
                <c:pt idx="72">
                  <c:v>690.45052166725247</c:v>
                </c:pt>
                <c:pt idx="73">
                  <c:v>710.30168839718874</c:v>
                </c:pt>
                <c:pt idx="74">
                  <c:v>730.14152063682013</c:v>
                </c:pt>
                <c:pt idx="75">
                  <c:v>749.97036940508917</c:v>
                </c:pt>
                <c:pt idx="76">
                  <c:v>705.61063085359956</c:v>
                </c:pt>
                <c:pt idx="77">
                  <c:v>724.37108110022939</c:v>
                </c:pt>
                <c:pt idx="78">
                  <c:v>743.12162419643846</c:v>
                </c:pt>
                <c:pt idx="79">
                  <c:v>761.86254506494254</c:v>
                </c:pt>
                <c:pt idx="80">
                  <c:v>780.59411348307538</c:v>
                </c:pt>
                <c:pt idx="81">
                  <c:v>736.63215463032964</c:v>
                </c:pt>
                <c:pt idx="82">
                  <c:v>753.93485060091371</c:v>
                </c:pt>
                <c:pt idx="83">
                  <c:v>771.22948202840087</c:v>
                </c:pt>
                <c:pt idx="84">
                  <c:v>788.5162550525506</c:v>
                </c:pt>
                <c:pt idx="85">
                  <c:v>805.79536604695193</c:v>
                </c:pt>
                <c:pt idx="86">
                  <c:v>762.94346417722682</c:v>
                </c:pt>
                <c:pt idx="87">
                  <c:v>779.51369572854594</c:v>
                </c:pt>
                <c:pt idx="88">
                  <c:v>796.07679765726914</c:v>
                </c:pt>
                <c:pt idx="89">
                  <c:v>812.63293905279113</c:v>
                </c:pt>
                <c:pt idx="90">
                  <c:v>829.18228155985787</c:v>
                </c:pt>
                <c:pt idx="91">
                  <c:v>788.87631401648343</c:v>
                </c:pt>
                <c:pt idx="92">
                  <c:v>804.35572815014075</c:v>
                </c:pt>
                <c:pt idx="93">
                  <c:v>819.82913151766786</c:v>
                </c:pt>
                <c:pt idx="94">
                  <c:v>835.29665344180091</c:v>
                </c:pt>
                <c:pt idx="95">
                  <c:v>850.75841807001689</c:v>
                </c:pt>
                <c:pt idx="96">
                  <c:v>811.55339965696703</c:v>
                </c:pt>
                <c:pt idx="97">
                  <c:v>826.30461657658464</c:v>
                </c:pt>
                <c:pt idx="98">
                  <c:v>841.0505342782709</c:v>
                </c:pt>
                <c:pt idx="99">
                  <c:v>855.79125867604671</c:v>
                </c:pt>
                <c:pt idx="100">
                  <c:v>870.52689174128693</c:v>
                </c:pt>
                <c:pt idx="101">
                  <c:v>832.41941451556761</c:v>
                </c:pt>
                <c:pt idx="102">
                  <c:v>846.4440791959322</c:v>
                </c:pt>
                <c:pt idx="103">
                  <c:v>860.46407906531783</c:v>
                </c:pt>
                <c:pt idx="104">
                  <c:v>874.47950077026053</c:v>
                </c:pt>
                <c:pt idx="105">
                  <c:v>888.49042795607431</c:v>
                </c:pt>
                <c:pt idx="106">
                  <c:v>851.47743179391273</c:v>
                </c:pt>
                <c:pt idx="107">
                  <c:v>864.77700018720031</c:v>
                </c:pt>
                <c:pt idx="108">
                  <c:v>878.07247139987146</c:v>
                </c:pt>
                <c:pt idx="109">
                  <c:v>891.36391615659386</c:v>
                </c:pt>
                <c:pt idx="110">
                  <c:v>904.65140290281306</c:v>
                </c:pt>
                <c:pt idx="111">
                  <c:v>1039.1126549760556</c:v>
                </c:pt>
                <c:pt idx="112">
                  <c:v>1221.4392715495499</c:v>
                </c:pt>
                <c:pt idx="113">
                  <c:v>1403.2385092267193</c:v>
                </c:pt>
                <c:pt idx="114">
                  <c:v>1584.5880489084029</c:v>
                </c:pt>
                <c:pt idx="115">
                  <c:v>1765.5463676833754</c:v>
                </c:pt>
                <c:pt idx="116">
                  <c:v>872.32357664941446</c:v>
                </c:pt>
                <c:pt idx="117">
                  <c:v>872.32357664941446</c:v>
                </c:pt>
                <c:pt idx="118">
                  <c:v>872.32357664941446</c:v>
                </c:pt>
                <c:pt idx="119">
                  <c:v>872.32357664941446</c:v>
                </c:pt>
                <c:pt idx="120">
                  <c:v>872.32357664941446</c:v>
                </c:pt>
                <c:pt idx="121">
                  <c:v>872.32357664941446</c:v>
                </c:pt>
                <c:pt idx="122">
                  <c:v>872.32357664941446</c:v>
                </c:pt>
                <c:pt idx="123">
                  <c:v>872.32357664941446</c:v>
                </c:pt>
                <c:pt idx="124">
                  <c:v>872.32357664941446</c:v>
                </c:pt>
                <c:pt idx="125">
                  <c:v>872.32357664941446</c:v>
                </c:pt>
                <c:pt idx="126">
                  <c:v>872.32357664941446</c:v>
                </c:pt>
                <c:pt idx="127">
                  <c:v>872.32357664941446</c:v>
                </c:pt>
                <c:pt idx="128">
                  <c:v>872.32357664941446</c:v>
                </c:pt>
                <c:pt idx="129">
                  <c:v>872.32357664941446</c:v>
                </c:pt>
                <c:pt idx="130">
                  <c:v>872.32357664941446</c:v>
                </c:pt>
                <c:pt idx="131">
                  <c:v>872.32357664941446</c:v>
                </c:pt>
                <c:pt idx="132">
                  <c:v>872.32357664941446</c:v>
                </c:pt>
                <c:pt idx="133">
                  <c:v>872.32357664941446</c:v>
                </c:pt>
                <c:pt idx="134">
                  <c:v>872.32357664941446</c:v>
                </c:pt>
                <c:pt idx="135">
                  <c:v>872.32357664941446</c:v>
                </c:pt>
                <c:pt idx="136">
                  <c:v>872.32357664941446</c:v>
                </c:pt>
                <c:pt idx="137">
                  <c:v>872.32357664941446</c:v>
                </c:pt>
                <c:pt idx="138">
                  <c:v>872.32357664941446</c:v>
                </c:pt>
                <c:pt idx="139">
                  <c:v>872.32357664941446</c:v>
                </c:pt>
                <c:pt idx="140">
                  <c:v>872.32357664941446</c:v>
                </c:pt>
                <c:pt idx="141">
                  <c:v>872.32357664941446</c:v>
                </c:pt>
                <c:pt idx="142">
                  <c:v>872.32357664941446</c:v>
                </c:pt>
                <c:pt idx="143">
                  <c:v>872.32357664941446</c:v>
                </c:pt>
                <c:pt idx="144">
                  <c:v>872.32357664941446</c:v>
                </c:pt>
                <c:pt idx="145">
                  <c:v>872.32357664941446</c:v>
                </c:pt>
                <c:pt idx="146">
                  <c:v>872.32357664941446</c:v>
                </c:pt>
                <c:pt idx="147">
                  <c:v>872.32357664941446</c:v>
                </c:pt>
                <c:pt idx="148">
                  <c:v>872.32357664941446</c:v>
                </c:pt>
                <c:pt idx="149">
                  <c:v>872.32357664941446</c:v>
                </c:pt>
                <c:pt idx="150">
                  <c:v>872.32357664941446</c:v>
                </c:pt>
                <c:pt idx="151">
                  <c:v>872.32357664941446</c:v>
                </c:pt>
                <c:pt idx="152">
                  <c:v>872.32357664941446</c:v>
                </c:pt>
                <c:pt idx="153">
                  <c:v>872.32357664941446</c:v>
                </c:pt>
                <c:pt idx="154">
                  <c:v>872.32357664941446</c:v>
                </c:pt>
                <c:pt idx="155">
                  <c:v>872.32357664941446</c:v>
                </c:pt>
                <c:pt idx="156">
                  <c:v>872.32357664941446</c:v>
                </c:pt>
                <c:pt idx="157">
                  <c:v>872.32357664941446</c:v>
                </c:pt>
                <c:pt idx="158">
                  <c:v>872.32357664941446</c:v>
                </c:pt>
                <c:pt idx="159">
                  <c:v>872.32357664941446</c:v>
                </c:pt>
                <c:pt idx="160">
                  <c:v>872.32357664941446</c:v>
                </c:pt>
                <c:pt idx="161">
                  <c:v>872.32357664941446</c:v>
                </c:pt>
                <c:pt idx="162">
                  <c:v>872.32357664941446</c:v>
                </c:pt>
                <c:pt idx="163">
                  <c:v>872.32357664941446</c:v>
                </c:pt>
                <c:pt idx="164">
                  <c:v>872.32357664941446</c:v>
                </c:pt>
                <c:pt idx="165">
                  <c:v>872.32357664941446</c:v>
                </c:pt>
                <c:pt idx="166">
                  <c:v>872.32357664941446</c:v>
                </c:pt>
                <c:pt idx="167">
                  <c:v>872.32357664941446</c:v>
                </c:pt>
                <c:pt idx="168">
                  <c:v>872.32357664941446</c:v>
                </c:pt>
                <c:pt idx="169">
                  <c:v>872.32357664941446</c:v>
                </c:pt>
                <c:pt idx="170">
                  <c:v>872.32357664941446</c:v>
                </c:pt>
                <c:pt idx="171">
                  <c:v>872.32357664941446</c:v>
                </c:pt>
                <c:pt idx="172">
                  <c:v>872.32357664941446</c:v>
                </c:pt>
                <c:pt idx="173">
                  <c:v>872.32357664941446</c:v>
                </c:pt>
                <c:pt idx="174">
                  <c:v>872.32357664941446</c:v>
                </c:pt>
                <c:pt idx="175">
                  <c:v>872.32357664941446</c:v>
                </c:pt>
                <c:pt idx="176">
                  <c:v>872.32357664941446</c:v>
                </c:pt>
                <c:pt idx="177">
                  <c:v>872.32357664941446</c:v>
                </c:pt>
                <c:pt idx="178">
                  <c:v>872.32357664941446</c:v>
                </c:pt>
                <c:pt idx="179">
                  <c:v>872.32357664941446</c:v>
                </c:pt>
                <c:pt idx="180">
                  <c:v>872.32357664941446</c:v>
                </c:pt>
                <c:pt idx="181">
                  <c:v>872.32357664941446</c:v>
                </c:pt>
                <c:pt idx="182">
                  <c:v>872.32357664941446</c:v>
                </c:pt>
                <c:pt idx="183">
                  <c:v>872.32357664941446</c:v>
                </c:pt>
                <c:pt idx="184">
                  <c:v>872.32357664941446</c:v>
                </c:pt>
                <c:pt idx="185">
                  <c:v>872.32357664941446</c:v>
                </c:pt>
                <c:pt idx="186">
                  <c:v>872.32357664941446</c:v>
                </c:pt>
                <c:pt idx="187">
                  <c:v>872.32357664941446</c:v>
                </c:pt>
                <c:pt idx="188">
                  <c:v>872.32357664941446</c:v>
                </c:pt>
                <c:pt idx="189">
                  <c:v>872.32357664941446</c:v>
                </c:pt>
                <c:pt idx="190">
                  <c:v>872.32357664941446</c:v>
                </c:pt>
                <c:pt idx="191">
                  <c:v>872.32357664941446</c:v>
                </c:pt>
                <c:pt idx="192">
                  <c:v>872.32357664941446</c:v>
                </c:pt>
                <c:pt idx="193">
                  <c:v>872.32357664941446</c:v>
                </c:pt>
                <c:pt idx="194">
                  <c:v>872.32357664941446</c:v>
                </c:pt>
                <c:pt idx="195">
                  <c:v>872.32357664941446</c:v>
                </c:pt>
                <c:pt idx="196">
                  <c:v>872.32357664941446</c:v>
                </c:pt>
                <c:pt idx="197">
                  <c:v>872.32357664941446</c:v>
                </c:pt>
                <c:pt idx="198">
                  <c:v>872.32357664941446</c:v>
                </c:pt>
                <c:pt idx="199">
                  <c:v>872.32357664941446</c:v>
                </c:pt>
                <c:pt idx="200">
                  <c:v>872.32357664941446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25" x14ac:dyDescent="0.45"/>
  <cols>
    <col min="1" max="1" width="6.73046875" customWidth="1"/>
    <col min="2" max="13" width="15.86328125" customWidth="1"/>
  </cols>
  <sheetData>
    <row r="12" spans="2:13" ht="15" customHeight="1" x14ac:dyDescent="0.45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45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45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45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4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45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45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45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45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45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45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45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45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45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45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45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45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45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4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55" zoomScaleNormal="55" workbookViewId="0">
      <selection activeCell="H157" sqref="A140:H157"/>
    </sheetView>
  </sheetViews>
  <sheetFormatPr baseColWidth="10" defaultColWidth="11.3984375" defaultRowHeight="14.25" x14ac:dyDescent="0.45"/>
  <cols>
    <col min="1" max="1" width="13.73046875" style="25" customWidth="1"/>
    <col min="2" max="2" width="36.1328125" style="25" customWidth="1"/>
    <col min="3" max="3" width="14.86328125" style="25" bestFit="1" customWidth="1"/>
    <col min="4" max="4" width="16.3984375" style="25" customWidth="1"/>
    <col min="5" max="5" width="23.265625" style="25" customWidth="1"/>
    <col min="6" max="6" width="28.86328125" style="25" bestFit="1" customWidth="1"/>
    <col min="7" max="8" width="14.73046875" style="25" customWidth="1"/>
    <col min="9" max="9" width="17" style="25" customWidth="1"/>
    <col min="10" max="10" width="13.86328125" style="25" customWidth="1"/>
    <col min="11" max="16384" width="11.3984375" style="25"/>
  </cols>
  <sheetData>
    <row r="1" spans="1:38" x14ac:dyDescent="0.4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4.65" thickBot="1" x14ac:dyDescent="0.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5.9" thickBot="1" x14ac:dyDescent="0.5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5" x14ac:dyDescent="0.4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5" x14ac:dyDescent="0.45">
      <c r="A5" s="306" t="s">
        <v>231</v>
      </c>
      <c r="B5" s="306"/>
      <c r="C5" s="26">
        <v>8.41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4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5" x14ac:dyDescent="0.45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4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45">
      <c r="A9" s="33" t="s">
        <v>165</v>
      </c>
      <c r="B9" s="34" t="s">
        <v>14</v>
      </c>
      <c r="C9" s="35">
        <v>0.66800000000000004</v>
      </c>
      <c r="D9" s="36">
        <f t="shared" ref="D9:D18" si="0">C9*$C$5</f>
        <v>5.6178800000000004</v>
      </c>
      <c r="E9" s="37">
        <v>180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45">
      <c r="A10" s="33" t="s">
        <v>166</v>
      </c>
      <c r="B10" s="34" t="s">
        <v>13</v>
      </c>
      <c r="C10" s="35">
        <v>0.10299999999999999</v>
      </c>
      <c r="D10" s="36">
        <f t="shared" si="0"/>
        <v>0.86622999999999994</v>
      </c>
      <c r="E10" s="37">
        <v>70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45">
      <c r="A11" s="33" t="s">
        <v>167</v>
      </c>
      <c r="B11" s="34" t="s">
        <v>45</v>
      </c>
      <c r="C11" s="35">
        <v>0.1</v>
      </c>
      <c r="D11" s="36">
        <f t="shared" si="0"/>
        <v>0.84100000000000008</v>
      </c>
      <c r="E11" s="37">
        <v>65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45">
      <c r="A12" s="33" t="s">
        <v>168</v>
      </c>
      <c r="B12" s="34" t="s">
        <v>25</v>
      </c>
      <c r="C12" s="35">
        <v>0.129</v>
      </c>
      <c r="D12" s="36">
        <f t="shared" si="0"/>
        <v>1.0848900000000001</v>
      </c>
      <c r="E12" s="37">
        <v>115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4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4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4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4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4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4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45">
      <c r="A19" s="100"/>
      <c r="B19" s="39" t="s">
        <v>175</v>
      </c>
      <c r="C19" s="40">
        <f>SUM(C9:C18)</f>
        <v>1</v>
      </c>
      <c r="D19" s="41">
        <f>SUM(D9:D18)</f>
        <v>8.41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4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4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65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4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4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4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4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4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4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4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45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4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4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4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45">
      <c r="A34" s="5"/>
      <c r="B34" s="91" t="s">
        <v>185</v>
      </c>
      <c r="C34" s="296" t="s">
        <v>186</v>
      </c>
      <c r="D34" s="296"/>
      <c r="E34" s="297" t="s">
        <v>187</v>
      </c>
      <c r="F34" s="298"/>
      <c r="G34" s="298"/>
      <c r="H34" s="299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28.5" x14ac:dyDescent="0.4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45">
      <c r="A36" s="53">
        <v>52</v>
      </c>
      <c r="B36" s="63">
        <v>127</v>
      </c>
      <c r="C36" s="63">
        <v>1</v>
      </c>
      <c r="D36" s="63">
        <v>29</v>
      </c>
      <c r="E36" s="54"/>
      <c r="F36" s="54"/>
      <c r="G36" s="54"/>
      <c r="H36" s="54">
        <v>1</v>
      </c>
      <c r="I36" s="52">
        <f>IFERROR(B36/A36,"")</f>
        <v>2.4423076923076925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45">
      <c r="A37" s="53">
        <v>60</v>
      </c>
      <c r="B37" s="63">
        <v>147</v>
      </c>
      <c r="C37" s="63">
        <v>2</v>
      </c>
      <c r="D37" s="63">
        <v>30</v>
      </c>
      <c r="E37" s="54"/>
      <c r="F37" s="54"/>
      <c r="G37" s="54"/>
      <c r="H37" s="54">
        <v>1</v>
      </c>
      <c r="I37" s="56">
        <f t="shared" ref="I37:I55" si="1">IF(A37&lt;&gt;0,(B37-(B36-D36))/(A37-A36),"")</f>
        <v>6.125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45">
      <c r="A38" s="53">
        <v>68</v>
      </c>
      <c r="B38" s="63">
        <v>166</v>
      </c>
      <c r="C38" s="63">
        <v>3</v>
      </c>
      <c r="D38" s="63">
        <v>31</v>
      </c>
      <c r="E38" s="54">
        <v>0.5</v>
      </c>
      <c r="F38" s="54">
        <v>0.4</v>
      </c>
      <c r="G38" s="54"/>
      <c r="H38" s="54">
        <v>0.1</v>
      </c>
      <c r="I38" s="56">
        <f t="shared" si="1"/>
        <v>6.125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45">
      <c r="A39" s="53">
        <v>78</v>
      </c>
      <c r="B39" s="63">
        <v>194</v>
      </c>
      <c r="C39" s="63">
        <v>4</v>
      </c>
      <c r="D39" s="63">
        <v>32</v>
      </c>
      <c r="E39" s="54">
        <v>0.5</v>
      </c>
      <c r="F39" s="54">
        <v>0.4</v>
      </c>
      <c r="G39" s="54"/>
      <c r="H39" s="54">
        <v>0.1</v>
      </c>
      <c r="I39" s="52">
        <f t="shared" si="1"/>
        <v>5.9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45">
      <c r="A40" s="53">
        <v>88</v>
      </c>
      <c r="B40" s="63">
        <v>219</v>
      </c>
      <c r="C40" s="63">
        <v>5</v>
      </c>
      <c r="D40" s="63">
        <v>35</v>
      </c>
      <c r="E40" s="54">
        <v>0.5</v>
      </c>
      <c r="F40" s="54">
        <v>0.4</v>
      </c>
      <c r="G40" s="54"/>
      <c r="H40" s="54">
        <v>0.1</v>
      </c>
      <c r="I40" s="52">
        <f t="shared" si="1"/>
        <v>5.7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45">
      <c r="A41" s="283">
        <v>98</v>
      </c>
      <c r="B41" s="63">
        <v>241</v>
      </c>
      <c r="C41" s="63">
        <v>6</v>
      </c>
      <c r="D41" s="63">
        <v>34</v>
      </c>
      <c r="E41" s="54">
        <v>0.5</v>
      </c>
      <c r="F41" s="54">
        <v>0.4</v>
      </c>
      <c r="G41" s="54"/>
      <c r="H41" s="54">
        <v>0.1</v>
      </c>
      <c r="I41" s="56">
        <f t="shared" si="1"/>
        <v>5.7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45">
      <c r="A42" s="283">
        <v>108</v>
      </c>
      <c r="B42" s="63">
        <v>264</v>
      </c>
      <c r="C42" s="63">
        <v>7</v>
      </c>
      <c r="D42" s="63">
        <v>39</v>
      </c>
      <c r="E42" s="54">
        <v>0.5</v>
      </c>
      <c r="F42" s="54">
        <v>0.4</v>
      </c>
      <c r="G42" s="54"/>
      <c r="H42" s="54">
        <v>0.1</v>
      </c>
      <c r="I42" s="56">
        <f t="shared" si="1"/>
        <v>5.7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45">
      <c r="A43" s="283">
        <v>118</v>
      </c>
      <c r="B43" s="63">
        <v>281</v>
      </c>
      <c r="C43" s="63">
        <v>8</v>
      </c>
      <c r="D43" s="63">
        <v>40</v>
      </c>
      <c r="E43" s="54">
        <v>0.5</v>
      </c>
      <c r="F43" s="54">
        <v>0.4</v>
      </c>
      <c r="G43" s="54"/>
      <c r="H43" s="54">
        <v>0.1</v>
      </c>
      <c r="I43" s="52">
        <f t="shared" si="1"/>
        <v>5.6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45">
      <c r="A44" s="283">
        <v>128</v>
      </c>
      <c r="B44" s="63">
        <v>297</v>
      </c>
      <c r="C44" s="63">
        <v>9</v>
      </c>
      <c r="D44" s="63">
        <v>39</v>
      </c>
      <c r="E44" s="54">
        <v>0.5</v>
      </c>
      <c r="F44" s="54">
        <v>0.4</v>
      </c>
      <c r="G44" s="54"/>
      <c r="H44" s="54">
        <v>0.1</v>
      </c>
      <c r="I44" s="52">
        <f t="shared" si="1"/>
        <v>5.6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45">
      <c r="A45" s="283">
        <v>138</v>
      </c>
      <c r="B45" s="63">
        <v>315</v>
      </c>
      <c r="C45" s="63">
        <v>10</v>
      </c>
      <c r="D45" s="63">
        <v>39</v>
      </c>
      <c r="E45" s="54">
        <v>0.5</v>
      </c>
      <c r="F45" s="54">
        <v>0.4</v>
      </c>
      <c r="G45" s="54"/>
      <c r="H45" s="54">
        <v>0.1</v>
      </c>
      <c r="I45" s="52">
        <f t="shared" si="1"/>
        <v>5.7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45">
      <c r="A46" s="283">
        <v>148</v>
      </c>
      <c r="B46" s="63">
        <v>334</v>
      </c>
      <c r="C46" s="63">
        <v>11</v>
      </c>
      <c r="D46" s="63">
        <v>41</v>
      </c>
      <c r="E46" s="54">
        <v>0.5</v>
      </c>
      <c r="F46" s="54">
        <v>0.4</v>
      </c>
      <c r="G46" s="54"/>
      <c r="H46" s="54">
        <v>0.1</v>
      </c>
      <c r="I46" s="52">
        <f t="shared" si="1"/>
        <v>5.8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45">
      <c r="A47" s="283">
        <v>185</v>
      </c>
      <c r="B47" s="63">
        <v>351</v>
      </c>
      <c r="C47" s="63">
        <v>12</v>
      </c>
      <c r="D47" s="63">
        <v>41</v>
      </c>
      <c r="E47" s="54">
        <v>0.5</v>
      </c>
      <c r="F47" s="54">
        <v>0.4</v>
      </c>
      <c r="G47" s="54"/>
      <c r="H47" s="54">
        <v>0.1</v>
      </c>
      <c r="I47" s="52">
        <f t="shared" si="1"/>
        <v>1.5675675675675675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45">
      <c r="A48" s="283">
        <v>168</v>
      </c>
      <c r="B48" s="53">
        <v>369</v>
      </c>
      <c r="C48" s="63">
        <v>13</v>
      </c>
      <c r="D48" s="53">
        <v>41</v>
      </c>
      <c r="E48" s="54">
        <v>0.5</v>
      </c>
      <c r="F48" s="54">
        <v>0.4</v>
      </c>
      <c r="G48" s="54"/>
      <c r="H48" s="54">
        <v>0.1</v>
      </c>
      <c r="I48" s="52">
        <f t="shared" si="1"/>
        <v>-3.4705882352941178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45">
      <c r="A49" s="283">
        <v>180</v>
      </c>
      <c r="B49" s="53">
        <v>368</v>
      </c>
      <c r="C49" s="53" t="s">
        <v>324</v>
      </c>
      <c r="D49" s="53">
        <v>368</v>
      </c>
      <c r="E49" s="54">
        <v>1</v>
      </c>
      <c r="F49" s="54"/>
      <c r="G49" s="54"/>
      <c r="H49" s="54"/>
      <c r="I49" s="52">
        <f t="shared" si="1"/>
        <v>3.3333333333333335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4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4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4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4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4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4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4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4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45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4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45">
      <c r="A60" s="5"/>
      <c r="B60" s="91" t="s">
        <v>185</v>
      </c>
      <c r="C60" s="296" t="s">
        <v>186</v>
      </c>
      <c r="D60" s="296"/>
      <c r="E60" s="297" t="s">
        <v>187</v>
      </c>
      <c r="F60" s="298"/>
      <c r="G60" s="298"/>
      <c r="H60" s="299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28.5" x14ac:dyDescent="0.4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45">
      <c r="A62" s="53">
        <v>15</v>
      </c>
      <c r="B62" s="63">
        <v>87</v>
      </c>
      <c r="C62" s="63">
        <v>1</v>
      </c>
      <c r="D62" s="63">
        <v>21</v>
      </c>
      <c r="E62" s="54"/>
      <c r="F62" s="54"/>
      <c r="G62" s="54"/>
      <c r="H62" s="54">
        <v>1</v>
      </c>
      <c r="I62" s="56">
        <f>IFERROR(B62/A62,"")</f>
        <v>5.8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45">
      <c r="A63" s="53">
        <v>20</v>
      </c>
      <c r="B63" s="63">
        <v>137</v>
      </c>
      <c r="C63" s="63">
        <v>2</v>
      </c>
      <c r="D63" s="63">
        <v>43</v>
      </c>
      <c r="E63" s="54"/>
      <c r="F63" s="54">
        <v>0.5</v>
      </c>
      <c r="G63" s="54"/>
      <c r="H63" s="54">
        <v>0.5</v>
      </c>
      <c r="I63" s="52">
        <f>IF(A63&lt;&gt;0,(B63-(B62-D62))/(A63-A62),"")</f>
        <v>14.2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45">
      <c r="A64" s="53">
        <v>25</v>
      </c>
      <c r="B64" s="63">
        <v>163</v>
      </c>
      <c r="C64" s="63">
        <v>3</v>
      </c>
      <c r="D64" s="63">
        <v>44</v>
      </c>
      <c r="E64" s="54"/>
      <c r="F64" s="54">
        <v>0.5</v>
      </c>
      <c r="G64" s="54"/>
      <c r="H64" s="54">
        <v>0.5</v>
      </c>
      <c r="I64" s="52">
        <f>IF(A64&lt;&gt;0,(B64-(B63-D63))/(A64-A63),"")</f>
        <v>13.8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45">
      <c r="A65" s="53">
        <v>30</v>
      </c>
      <c r="B65" s="63">
        <v>184</v>
      </c>
      <c r="C65" s="63">
        <v>4</v>
      </c>
      <c r="D65" s="63">
        <v>44</v>
      </c>
      <c r="E65" s="54"/>
      <c r="F65" s="54">
        <v>0.5</v>
      </c>
      <c r="G65" s="54"/>
      <c r="H65" s="54">
        <v>0.5</v>
      </c>
      <c r="I65" s="52">
        <f>IF(A65&lt;&gt;0,(B65-(B64-D64))/(A65-A64),"")</f>
        <v>13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45">
      <c r="A66" s="53">
        <v>35</v>
      </c>
      <c r="B66" s="63">
        <v>201</v>
      </c>
      <c r="C66" s="63">
        <v>5</v>
      </c>
      <c r="D66" s="63">
        <v>42</v>
      </c>
      <c r="E66" s="54"/>
      <c r="F66" s="54">
        <v>0.9</v>
      </c>
      <c r="G66" s="54">
        <v>0.1</v>
      </c>
      <c r="H66" s="54"/>
      <c r="I66" s="52">
        <f t="shared" ref="I66:I81" si="2">IF(A66&lt;&gt;0,(B66-(B65-D65))/(A66-A65),"")</f>
        <v>12.2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45">
      <c r="A67" s="53">
        <v>40</v>
      </c>
      <c r="B67" s="63">
        <v>213</v>
      </c>
      <c r="C67" s="63">
        <v>6</v>
      </c>
      <c r="D67" s="63">
        <v>39</v>
      </c>
      <c r="E67" s="54"/>
      <c r="F67" s="54">
        <v>0.9</v>
      </c>
      <c r="G67" s="54">
        <v>0.1</v>
      </c>
      <c r="H67" s="54"/>
      <c r="I67" s="52">
        <f t="shared" si="2"/>
        <v>10.8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45">
      <c r="A68" s="53">
        <v>45</v>
      </c>
      <c r="B68" s="63">
        <v>223</v>
      </c>
      <c r="C68" s="63">
        <v>7</v>
      </c>
      <c r="D68" s="63">
        <v>36</v>
      </c>
      <c r="E68" s="54"/>
      <c r="F68" s="54">
        <v>0.9</v>
      </c>
      <c r="G68" s="54">
        <v>0.1</v>
      </c>
      <c r="H68" s="54"/>
      <c r="I68" s="52">
        <f t="shared" si="2"/>
        <v>9.8000000000000007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45">
      <c r="A69" s="53">
        <v>50</v>
      </c>
      <c r="B69" s="53">
        <v>231</v>
      </c>
      <c r="C69" s="63">
        <v>8</v>
      </c>
      <c r="D69" s="53">
        <v>33</v>
      </c>
      <c r="E69" s="54"/>
      <c r="F69" s="54">
        <v>0.9</v>
      </c>
      <c r="G69" s="54">
        <v>0.1</v>
      </c>
      <c r="H69" s="54"/>
      <c r="I69" s="52">
        <f t="shared" si="2"/>
        <v>8.8000000000000007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45">
      <c r="A70" s="53">
        <v>55</v>
      </c>
      <c r="B70" s="53">
        <v>237</v>
      </c>
      <c r="C70" s="63">
        <v>9</v>
      </c>
      <c r="D70" s="53">
        <v>29</v>
      </c>
      <c r="E70" s="54"/>
      <c r="F70" s="54">
        <v>0.9</v>
      </c>
      <c r="G70" s="54">
        <v>0.1</v>
      </c>
      <c r="H70" s="54"/>
      <c r="I70" s="52">
        <f t="shared" si="2"/>
        <v>7.8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45">
      <c r="A71" s="53">
        <v>60</v>
      </c>
      <c r="B71" s="53">
        <v>242</v>
      </c>
      <c r="C71" s="53">
        <v>10</v>
      </c>
      <c r="D71" s="53">
        <v>26</v>
      </c>
      <c r="E71" s="54"/>
      <c r="F71" s="54">
        <v>0.9</v>
      </c>
      <c r="G71" s="54">
        <v>0.1</v>
      </c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45">
      <c r="A72" s="53">
        <v>65</v>
      </c>
      <c r="B72" s="53">
        <v>246</v>
      </c>
      <c r="C72" s="53">
        <v>11</v>
      </c>
      <c r="D72" s="53">
        <v>23</v>
      </c>
      <c r="E72" s="54"/>
      <c r="F72" s="54">
        <v>0.9</v>
      </c>
      <c r="G72" s="54">
        <v>0.1</v>
      </c>
      <c r="H72" s="54"/>
      <c r="I72" s="52">
        <f t="shared" si="2"/>
        <v>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45">
      <c r="A73" s="53">
        <v>70</v>
      </c>
      <c r="B73" s="53">
        <v>249</v>
      </c>
      <c r="C73" s="53">
        <v>12</v>
      </c>
      <c r="D73" s="53">
        <v>249</v>
      </c>
      <c r="E73" s="54">
        <v>1</v>
      </c>
      <c r="F73" s="54"/>
      <c r="G73" s="54"/>
      <c r="H73" s="54"/>
      <c r="I73" s="52">
        <f t="shared" si="2"/>
        <v>5.2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4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4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4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4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4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4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4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4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4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4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45">
      <c r="A84" s="49" t="s">
        <v>167</v>
      </c>
      <c r="B84" s="55" t="str">
        <f>IF(B11="","",B11)</f>
        <v>Sapin de Nordmann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4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45">
      <c r="A86" s="5"/>
      <c r="B86" s="91" t="s">
        <v>185</v>
      </c>
      <c r="C86" s="296" t="s">
        <v>186</v>
      </c>
      <c r="D86" s="296"/>
      <c r="E86" s="297" t="s">
        <v>187</v>
      </c>
      <c r="F86" s="298"/>
      <c r="G86" s="298"/>
      <c r="H86" s="299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28.5" x14ac:dyDescent="0.4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45">
      <c r="A88" s="292">
        <v>25</v>
      </c>
      <c r="B88" s="292">
        <v>351</v>
      </c>
      <c r="C88" s="292">
        <v>1</v>
      </c>
      <c r="D88" s="292">
        <v>21</v>
      </c>
      <c r="E88" s="293"/>
      <c r="F88" s="293">
        <v>0.5</v>
      </c>
      <c r="G88" s="293"/>
      <c r="H88" s="293">
        <v>0.5</v>
      </c>
      <c r="I88" s="56">
        <f>IFERROR(B88/A88,"")</f>
        <v>14.04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45">
      <c r="A89" s="292">
        <v>30</v>
      </c>
      <c r="B89" s="292">
        <v>436</v>
      </c>
      <c r="C89" s="292">
        <v>2</v>
      </c>
      <c r="D89" s="292">
        <v>48</v>
      </c>
      <c r="E89" s="293"/>
      <c r="F89" s="293">
        <v>0.5</v>
      </c>
      <c r="G89" s="293"/>
      <c r="H89" s="293">
        <v>0.5</v>
      </c>
      <c r="I89" s="56">
        <f t="shared" ref="I89:I107" si="3">IF(A89&lt;&gt;0,(B89-(B88-D88))/(A89-A88),"")</f>
        <v>21.2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45">
      <c r="A90" s="292">
        <v>35</v>
      </c>
      <c r="B90" s="292">
        <v>498</v>
      </c>
      <c r="C90" s="292">
        <v>3</v>
      </c>
      <c r="D90" s="292">
        <v>61</v>
      </c>
      <c r="E90" s="293"/>
      <c r="F90" s="293">
        <v>0.5</v>
      </c>
      <c r="G90" s="293"/>
      <c r="H90" s="293">
        <v>0.5</v>
      </c>
      <c r="I90" s="56">
        <f t="shared" si="3"/>
        <v>22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45">
      <c r="A91" s="292">
        <v>40</v>
      </c>
      <c r="B91" s="292">
        <v>543</v>
      </c>
      <c r="C91" s="292">
        <v>4</v>
      </c>
      <c r="D91" s="292">
        <v>65</v>
      </c>
      <c r="E91" s="293">
        <v>0.5</v>
      </c>
      <c r="F91" s="293">
        <v>0.4</v>
      </c>
      <c r="G91" s="293">
        <v>0.1</v>
      </c>
      <c r="H91" s="293"/>
      <c r="I91" s="56">
        <f t="shared" si="3"/>
        <v>21.2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45">
      <c r="A92" s="292">
        <v>45</v>
      </c>
      <c r="B92" s="292">
        <v>572</v>
      </c>
      <c r="C92" s="292">
        <v>5</v>
      </c>
      <c r="D92" s="292">
        <v>69</v>
      </c>
      <c r="E92" s="293">
        <v>0.5</v>
      </c>
      <c r="F92" s="293">
        <v>0.4</v>
      </c>
      <c r="G92" s="293">
        <v>0.1</v>
      </c>
      <c r="H92" s="293"/>
      <c r="I92" s="56">
        <f t="shared" si="3"/>
        <v>18.8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45">
      <c r="A93" s="292">
        <v>50</v>
      </c>
      <c r="B93" s="292">
        <v>590</v>
      </c>
      <c r="C93" s="292">
        <v>6</v>
      </c>
      <c r="D93" s="292">
        <v>73</v>
      </c>
      <c r="E93" s="293">
        <v>0.5</v>
      </c>
      <c r="F93" s="293"/>
      <c r="G93" s="293"/>
      <c r="H93" s="293"/>
      <c r="I93" s="56">
        <f t="shared" si="3"/>
        <v>17.399999999999999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45">
      <c r="A94" s="292">
        <v>55</v>
      </c>
      <c r="B94" s="292">
        <v>608</v>
      </c>
      <c r="C94" s="292">
        <v>7</v>
      </c>
      <c r="D94" s="292">
        <v>68</v>
      </c>
      <c r="E94" s="293">
        <v>0.5</v>
      </c>
      <c r="F94" s="293"/>
      <c r="G94" s="293"/>
      <c r="H94" s="293"/>
      <c r="I94" s="56">
        <f t="shared" si="3"/>
        <v>18.2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45">
      <c r="A95" s="63">
        <v>60</v>
      </c>
      <c r="B95" s="63">
        <v>626</v>
      </c>
      <c r="C95" s="292">
        <v>8</v>
      </c>
      <c r="D95" s="63">
        <v>61</v>
      </c>
      <c r="E95" s="293">
        <v>0.5</v>
      </c>
      <c r="F95" s="93"/>
      <c r="G95" s="93"/>
      <c r="H95" s="93"/>
      <c r="I95" s="56">
        <f t="shared" si="3"/>
        <v>17.2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45">
      <c r="A96" s="63">
        <v>65</v>
      </c>
      <c r="B96" s="63">
        <v>646</v>
      </c>
      <c r="C96" s="292" t="s">
        <v>324</v>
      </c>
      <c r="D96" s="63">
        <v>646</v>
      </c>
      <c r="E96" s="293">
        <v>1</v>
      </c>
      <c r="F96" s="93"/>
      <c r="G96" s="93"/>
      <c r="H96" s="93"/>
      <c r="I96" s="56">
        <f t="shared" si="3"/>
        <v>16.2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45">
      <c r="A97" s="63"/>
      <c r="B97" s="63"/>
      <c r="C97" s="292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45">
      <c r="A98" s="63"/>
      <c r="B98" s="63"/>
      <c r="C98" s="292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4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4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4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4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4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4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4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4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4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4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4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45">
      <c r="A110" s="49" t="s">
        <v>168</v>
      </c>
      <c r="B110" s="55" t="str">
        <f>IF(B12="","",B12)</f>
        <v>Hêtre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4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45">
      <c r="A112" s="5"/>
      <c r="B112" s="91" t="s">
        <v>185</v>
      </c>
      <c r="C112" s="296" t="s">
        <v>186</v>
      </c>
      <c r="D112" s="296"/>
      <c r="E112" s="297" t="s">
        <v>187</v>
      </c>
      <c r="F112" s="298"/>
      <c r="G112" s="298"/>
      <c r="H112" s="299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28.5" x14ac:dyDescent="0.4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45">
      <c r="A114" s="53">
        <v>25</v>
      </c>
      <c r="B114" s="63">
        <f>85+D114</f>
        <v>111</v>
      </c>
      <c r="C114" s="53">
        <v>2</v>
      </c>
      <c r="D114" s="63">
        <v>26</v>
      </c>
      <c r="E114" s="54"/>
      <c r="F114" s="54"/>
      <c r="G114" s="54"/>
      <c r="H114" s="54">
        <v>1</v>
      </c>
      <c r="I114" s="56">
        <f>IFERROR(B114/A114,"")</f>
        <v>4.4400000000000004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45">
      <c r="A115" s="53">
        <v>30</v>
      </c>
      <c r="B115" s="63">
        <f>111+D115</f>
        <v>146</v>
      </c>
      <c r="C115" s="53">
        <v>3</v>
      </c>
      <c r="D115" s="63">
        <v>35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12.2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45">
      <c r="A116" s="53">
        <v>35</v>
      </c>
      <c r="B116" s="63">
        <f>140+D116</f>
        <v>175</v>
      </c>
      <c r="C116" s="53">
        <v>4</v>
      </c>
      <c r="D116" s="63">
        <v>35</v>
      </c>
      <c r="E116" s="54"/>
      <c r="F116" s="54"/>
      <c r="G116" s="54"/>
      <c r="H116" s="54">
        <v>1</v>
      </c>
      <c r="I116" s="56">
        <f t="shared" si="4"/>
        <v>12.8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45">
      <c r="A117" s="53">
        <v>40</v>
      </c>
      <c r="B117" s="63">
        <f>172+D117</f>
        <v>207</v>
      </c>
      <c r="C117" s="53">
        <v>5</v>
      </c>
      <c r="D117" s="63">
        <v>35</v>
      </c>
      <c r="E117" s="54"/>
      <c r="F117" s="54"/>
      <c r="G117" s="54"/>
      <c r="H117" s="54">
        <v>1</v>
      </c>
      <c r="I117" s="56">
        <f t="shared" si="4"/>
        <v>13.4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45">
      <c r="A118" s="53">
        <v>45</v>
      </c>
      <c r="B118" s="63">
        <f>206+D118</f>
        <v>241</v>
      </c>
      <c r="C118" s="53">
        <v>6</v>
      </c>
      <c r="D118" s="63">
        <v>35</v>
      </c>
      <c r="E118" s="54"/>
      <c r="F118" s="54"/>
      <c r="G118" s="54"/>
      <c r="H118" s="54">
        <v>1</v>
      </c>
      <c r="I118" s="56">
        <f t="shared" si="4"/>
        <v>13.8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45">
      <c r="A119" s="53">
        <v>50</v>
      </c>
      <c r="B119" s="63">
        <f>239+D119</f>
        <v>274</v>
      </c>
      <c r="C119" s="63">
        <v>7</v>
      </c>
      <c r="D119" s="63">
        <v>35</v>
      </c>
      <c r="E119" s="54">
        <v>0.5</v>
      </c>
      <c r="F119" s="54"/>
      <c r="G119" s="54"/>
      <c r="H119" s="54">
        <v>0.5</v>
      </c>
      <c r="I119" s="56">
        <f t="shared" si="4"/>
        <v>13.6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45">
      <c r="A120" s="53">
        <v>55</v>
      </c>
      <c r="B120" s="63">
        <f>271+D120</f>
        <v>306</v>
      </c>
      <c r="C120" s="63">
        <v>8</v>
      </c>
      <c r="D120" s="63">
        <v>35</v>
      </c>
      <c r="E120" s="93">
        <v>0.5</v>
      </c>
      <c r="F120" s="93"/>
      <c r="G120" s="93"/>
      <c r="H120" s="93">
        <v>0.5</v>
      </c>
      <c r="I120" s="56">
        <f t="shared" si="4"/>
        <v>13.4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45">
      <c r="A121" s="53">
        <v>60</v>
      </c>
      <c r="B121" s="63">
        <f>301+D121</f>
        <v>336</v>
      </c>
      <c r="C121" s="63">
        <v>9</v>
      </c>
      <c r="D121" s="63">
        <v>35</v>
      </c>
      <c r="E121" s="93">
        <v>0.5</v>
      </c>
      <c r="F121" s="93"/>
      <c r="G121" s="93"/>
      <c r="H121" s="93">
        <v>0.5</v>
      </c>
      <c r="I121" s="56">
        <f t="shared" si="4"/>
        <v>13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45">
      <c r="A122" s="53">
        <v>65</v>
      </c>
      <c r="B122" s="63">
        <f>328+D122</f>
        <v>363</v>
      </c>
      <c r="C122" s="63">
        <v>10</v>
      </c>
      <c r="D122" s="63">
        <v>35</v>
      </c>
      <c r="E122" s="93">
        <v>0.5</v>
      </c>
      <c r="F122" s="93"/>
      <c r="G122" s="93"/>
      <c r="H122" s="93">
        <v>0.5</v>
      </c>
      <c r="I122" s="56">
        <f t="shared" si="4"/>
        <v>12.4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45">
      <c r="A123" s="53">
        <v>70</v>
      </c>
      <c r="B123" s="63">
        <f>352+D123</f>
        <v>387</v>
      </c>
      <c r="C123" s="63">
        <v>11</v>
      </c>
      <c r="D123" s="63">
        <v>35</v>
      </c>
      <c r="E123" s="93">
        <v>0.5</v>
      </c>
      <c r="F123" s="93"/>
      <c r="G123" s="93"/>
      <c r="H123" s="93">
        <v>0.5</v>
      </c>
      <c r="I123" s="56">
        <f t="shared" si="4"/>
        <v>11.8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45">
      <c r="A124" s="53">
        <v>75</v>
      </c>
      <c r="B124" s="63">
        <f>372+D124</f>
        <v>407</v>
      </c>
      <c r="C124" s="63">
        <v>12</v>
      </c>
      <c r="D124" s="63">
        <v>35</v>
      </c>
      <c r="E124" s="93">
        <v>0.5</v>
      </c>
      <c r="F124" s="93"/>
      <c r="G124" s="93"/>
      <c r="H124" s="93">
        <v>0.5</v>
      </c>
      <c r="I124" s="56">
        <f t="shared" si="4"/>
        <v>11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45">
      <c r="A125" s="53">
        <v>80</v>
      </c>
      <c r="B125" s="63">
        <f>390+D125</f>
        <v>424</v>
      </c>
      <c r="C125" s="63">
        <v>13</v>
      </c>
      <c r="D125" s="63">
        <v>34</v>
      </c>
      <c r="E125" s="93">
        <v>0.5</v>
      </c>
      <c r="F125" s="93"/>
      <c r="G125" s="93"/>
      <c r="H125" s="93">
        <v>0.5</v>
      </c>
      <c r="I125" s="56">
        <f t="shared" si="4"/>
        <v>10.4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45">
      <c r="A126" s="53">
        <v>85</v>
      </c>
      <c r="B126" s="63">
        <f>405+D126</f>
        <v>438</v>
      </c>
      <c r="C126" s="63">
        <v>14</v>
      </c>
      <c r="D126" s="63">
        <v>33</v>
      </c>
      <c r="E126" s="57">
        <v>1</v>
      </c>
      <c r="F126" s="68"/>
      <c r="G126" s="68"/>
      <c r="H126" s="68"/>
      <c r="I126" s="56">
        <f t="shared" si="4"/>
        <v>9.6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45">
      <c r="A127" s="53">
        <v>90</v>
      </c>
      <c r="B127" s="53">
        <f>420+D127</f>
        <v>451</v>
      </c>
      <c r="C127" s="63">
        <v>15</v>
      </c>
      <c r="D127" s="53">
        <v>31</v>
      </c>
      <c r="E127" s="57">
        <v>1</v>
      </c>
      <c r="F127" s="68"/>
      <c r="G127" s="68"/>
      <c r="H127" s="68"/>
      <c r="I127" s="56">
        <f t="shared" si="4"/>
        <v>9.1999999999999993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45">
      <c r="A128" s="53">
        <v>95</v>
      </c>
      <c r="B128" s="53">
        <f>433+D128</f>
        <v>463</v>
      </c>
      <c r="C128" s="63">
        <v>16</v>
      </c>
      <c r="D128" s="53">
        <v>30</v>
      </c>
      <c r="E128" s="57">
        <v>1</v>
      </c>
      <c r="F128" s="57"/>
      <c r="G128" s="57"/>
      <c r="H128" s="57"/>
      <c r="I128" s="56">
        <f t="shared" si="4"/>
        <v>8.6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45">
      <c r="A129" s="53">
        <v>100</v>
      </c>
      <c r="B129" s="53">
        <f>445+D129</f>
        <v>474</v>
      </c>
      <c r="C129" s="63">
        <v>17</v>
      </c>
      <c r="D129" s="53">
        <v>29</v>
      </c>
      <c r="E129" s="57">
        <v>1</v>
      </c>
      <c r="F129" s="57"/>
      <c r="G129" s="57"/>
      <c r="H129" s="57"/>
      <c r="I129" s="56">
        <f t="shared" si="4"/>
        <v>8.1999999999999993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45">
      <c r="A130" s="53">
        <v>105</v>
      </c>
      <c r="B130" s="53">
        <f>456+D130</f>
        <v>484</v>
      </c>
      <c r="C130" s="63">
        <v>18</v>
      </c>
      <c r="D130" s="53">
        <v>28</v>
      </c>
      <c r="E130" s="57">
        <v>1</v>
      </c>
      <c r="F130" s="57"/>
      <c r="G130" s="57"/>
      <c r="H130" s="57"/>
      <c r="I130" s="56">
        <f t="shared" si="4"/>
        <v>7.8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45">
      <c r="A131" s="53">
        <v>110</v>
      </c>
      <c r="B131" s="53">
        <f>466+D131</f>
        <v>493</v>
      </c>
      <c r="C131" s="63">
        <v>19</v>
      </c>
      <c r="D131" s="53">
        <v>27</v>
      </c>
      <c r="E131" s="57">
        <v>1</v>
      </c>
      <c r="F131" s="57"/>
      <c r="G131" s="57"/>
      <c r="H131" s="57"/>
      <c r="I131" s="56">
        <f t="shared" si="4"/>
        <v>7.4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45">
      <c r="A132" s="53">
        <v>115</v>
      </c>
      <c r="B132" s="53">
        <f>475+D132</f>
        <v>976</v>
      </c>
      <c r="C132" s="53" t="s">
        <v>324</v>
      </c>
      <c r="D132" s="53">
        <v>501</v>
      </c>
      <c r="E132" s="57">
        <v>1</v>
      </c>
      <c r="F132" s="57"/>
      <c r="G132" s="57"/>
      <c r="H132" s="57"/>
      <c r="I132" s="56">
        <f t="shared" si="4"/>
        <v>102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4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4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4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4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4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45">
      <c r="A138" s="5"/>
      <c r="B138" s="91" t="s">
        <v>185</v>
      </c>
      <c r="C138" s="296" t="s">
        <v>186</v>
      </c>
      <c r="D138" s="296"/>
      <c r="E138" s="297" t="s">
        <v>187</v>
      </c>
      <c r="F138" s="298"/>
      <c r="G138" s="298"/>
      <c r="H138" s="299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28.5" x14ac:dyDescent="0.4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4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4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4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4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4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4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4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4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4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4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4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4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4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4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4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4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4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4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4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4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4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4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4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4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45">
      <c r="A164" s="5"/>
      <c r="B164" s="91" t="s">
        <v>185</v>
      </c>
      <c r="C164" s="296" t="s">
        <v>186</v>
      </c>
      <c r="D164" s="296"/>
      <c r="E164" s="297" t="s">
        <v>187</v>
      </c>
      <c r="F164" s="298"/>
      <c r="G164" s="298"/>
      <c r="H164" s="299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28.5" x14ac:dyDescent="0.4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4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4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4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4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4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4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4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4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4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4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4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4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4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4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4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4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4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4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4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4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4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4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4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4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45">
      <c r="A190" s="5"/>
      <c r="B190" s="91" t="s">
        <v>185</v>
      </c>
      <c r="C190" s="296" t="s">
        <v>186</v>
      </c>
      <c r="D190" s="296"/>
      <c r="E190" s="297" t="s">
        <v>187</v>
      </c>
      <c r="F190" s="298"/>
      <c r="G190" s="298"/>
      <c r="H190" s="299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28.5" x14ac:dyDescent="0.4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4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4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4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4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4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4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4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4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4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4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4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4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4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4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4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4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4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4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4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4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4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4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4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4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45">
      <c r="A216" s="5"/>
      <c r="B216" s="91" t="s">
        <v>185</v>
      </c>
      <c r="C216" s="296" t="s">
        <v>186</v>
      </c>
      <c r="D216" s="296"/>
      <c r="E216" s="297" t="s">
        <v>187</v>
      </c>
      <c r="F216" s="298"/>
      <c r="G216" s="298"/>
      <c r="H216" s="299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28.5" x14ac:dyDescent="0.4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4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4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4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4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4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4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4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4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4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4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4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4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4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4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4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4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4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4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4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4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4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4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4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4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45">
      <c r="A242" s="5"/>
      <c r="B242" s="91" t="s">
        <v>185</v>
      </c>
      <c r="C242" s="296" t="s">
        <v>186</v>
      </c>
      <c r="D242" s="296"/>
      <c r="E242" s="297" t="s">
        <v>187</v>
      </c>
      <c r="F242" s="298"/>
      <c r="G242" s="298"/>
      <c r="H242" s="299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28.5" x14ac:dyDescent="0.4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4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4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4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4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4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4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4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4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4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4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4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4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4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4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4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4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4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4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4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4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4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4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4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4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45">
      <c r="A268" s="5"/>
      <c r="B268" s="91" t="s">
        <v>185</v>
      </c>
      <c r="C268" s="296" t="s">
        <v>186</v>
      </c>
      <c r="D268" s="296"/>
      <c r="E268" s="297" t="s">
        <v>187</v>
      </c>
      <c r="F268" s="298"/>
      <c r="G268" s="298"/>
      <c r="H268" s="299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28.5" x14ac:dyDescent="0.4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4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4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4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4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4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4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4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4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4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4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4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4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4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4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4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4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4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4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4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4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4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4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4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4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4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4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4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4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4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4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4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4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4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4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4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4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4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4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4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4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4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4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4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4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4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4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4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4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4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4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4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4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4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4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4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4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4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4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4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4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4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4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4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4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4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4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4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4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4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4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4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4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4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4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4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4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4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4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4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4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4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4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4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4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4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4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4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4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4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4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4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4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4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4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4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4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4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4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4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4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4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4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4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4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4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4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4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4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4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4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4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4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4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4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4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4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4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4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4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4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4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4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4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4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4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4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4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4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4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4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4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4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4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4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4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4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4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4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4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4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4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4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4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4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4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4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4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4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4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4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4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4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4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4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4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4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4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4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13" sqref="C13"/>
    </sheetView>
  </sheetViews>
  <sheetFormatPr baseColWidth="10" defaultColWidth="11.39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265625" style="1" customWidth="1"/>
    <col min="6" max="6" width="14.265625" style="1" customWidth="1"/>
    <col min="7" max="7" width="73.265625" style="1" bestFit="1" customWidth="1"/>
    <col min="8" max="10" width="11.3984375" style="1"/>
    <col min="11" max="11" width="12.59765625" style="1" customWidth="1"/>
    <col min="12" max="16384" width="11.3984375" style="1"/>
  </cols>
  <sheetData>
    <row r="1" spans="1:38" ht="14.65" thickBot="1" x14ac:dyDescent="0.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5.9" thickBot="1" x14ac:dyDescent="0.8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4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45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4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4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4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4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4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4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4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4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4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4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4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4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4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4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4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4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4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4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4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4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4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4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4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4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4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4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4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4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4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4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4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4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4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4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4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4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4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4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4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4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4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4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4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4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4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4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4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4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4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4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4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4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4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4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4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4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4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4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4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4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4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4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4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4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4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4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4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4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4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4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4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4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4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4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4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4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4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4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4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4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4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4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4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4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4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4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4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4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4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4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4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4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4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4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4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4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4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45">
      <c r="C104" s="5"/>
      <c r="F104" s="5"/>
    </row>
    <row r="105" spans="3:35" x14ac:dyDescent="0.45">
      <c r="C105" s="5"/>
      <c r="F105" s="5"/>
    </row>
    <row r="106" spans="3:35" x14ac:dyDescent="0.45">
      <c r="C106" s="5"/>
      <c r="F106" s="5"/>
    </row>
    <row r="107" spans="3:35" x14ac:dyDescent="0.45">
      <c r="C107" s="5"/>
      <c r="F107" s="5"/>
    </row>
    <row r="108" spans="3:35" x14ac:dyDescent="0.45">
      <c r="C108" s="5"/>
      <c r="F108" s="5"/>
    </row>
    <row r="109" spans="3:35" x14ac:dyDescent="0.45">
      <c r="C109" s="5"/>
      <c r="F109" s="5"/>
    </row>
    <row r="110" spans="3:35" x14ac:dyDescent="0.45">
      <c r="C110" s="5"/>
      <c r="F110" s="5"/>
    </row>
    <row r="111" spans="3:35" x14ac:dyDescent="0.45">
      <c r="C111" s="5"/>
      <c r="F111" s="5"/>
    </row>
    <row r="112" spans="3:35" x14ac:dyDescent="0.45">
      <c r="C112" s="5"/>
      <c r="F112" s="5"/>
    </row>
    <row r="113" spans="3:6" x14ac:dyDescent="0.45">
      <c r="C113" s="5"/>
      <c r="F113" s="5"/>
    </row>
    <row r="114" spans="3:6" x14ac:dyDescent="0.45">
      <c r="C114" s="5"/>
      <c r="F114" s="5"/>
    </row>
    <row r="115" spans="3:6" x14ac:dyDescent="0.45">
      <c r="C115" s="5"/>
      <c r="F115" s="5"/>
    </row>
    <row r="116" spans="3:6" x14ac:dyDescent="0.45">
      <c r="C116" s="5"/>
      <c r="F116" s="5"/>
    </row>
    <row r="117" spans="3:6" x14ac:dyDescent="0.45">
      <c r="C117" s="5"/>
      <c r="F117" s="5"/>
    </row>
    <row r="118" spans="3:6" x14ac:dyDescent="0.45">
      <c r="C118" s="5"/>
      <c r="F118" s="5"/>
    </row>
    <row r="119" spans="3:6" x14ac:dyDescent="0.45">
      <c r="C119" s="5"/>
      <c r="F119" s="5"/>
    </row>
    <row r="120" spans="3:6" x14ac:dyDescent="0.45">
      <c r="C120" s="5"/>
      <c r="F120" s="5"/>
    </row>
    <row r="121" spans="3:6" x14ac:dyDescent="0.45">
      <c r="C121" s="5"/>
      <c r="F121" s="5"/>
    </row>
    <row r="122" spans="3:6" x14ac:dyDescent="0.45">
      <c r="C122" s="5"/>
      <c r="F122" s="5"/>
    </row>
    <row r="123" spans="3:6" x14ac:dyDescent="0.45">
      <c r="C123" s="5"/>
      <c r="F123" s="5"/>
    </row>
    <row r="124" spans="3:6" x14ac:dyDescent="0.45">
      <c r="C124" s="5"/>
      <c r="F124" s="5"/>
    </row>
    <row r="125" spans="3:6" x14ac:dyDescent="0.45">
      <c r="C125" s="5"/>
      <c r="F125" s="5"/>
    </row>
    <row r="126" spans="3:6" x14ac:dyDescent="0.45">
      <c r="C126" s="5"/>
      <c r="F126" s="5"/>
    </row>
    <row r="127" spans="3:6" x14ac:dyDescent="0.45">
      <c r="C127" s="5"/>
      <c r="F127" s="5"/>
    </row>
    <row r="128" spans="3:6" x14ac:dyDescent="0.45">
      <c r="C128" s="5"/>
      <c r="F128" s="5"/>
    </row>
    <row r="129" spans="3:6" x14ac:dyDescent="0.45">
      <c r="C129" s="5"/>
      <c r="F129" s="5"/>
    </row>
    <row r="130" spans="3:6" x14ac:dyDescent="0.45">
      <c r="C130" s="5"/>
      <c r="F130" s="5"/>
    </row>
    <row r="131" spans="3:6" x14ac:dyDescent="0.45">
      <c r="C131" s="5"/>
      <c r="F131" s="5"/>
    </row>
    <row r="132" spans="3:6" x14ac:dyDescent="0.45">
      <c r="F132" s="5"/>
    </row>
    <row r="133" spans="3:6" x14ac:dyDescent="0.45">
      <c r="F133" s="5"/>
    </row>
    <row r="134" spans="3:6" x14ac:dyDescent="0.45">
      <c r="F134" s="5"/>
    </row>
    <row r="135" spans="3:6" x14ac:dyDescent="0.45">
      <c r="F135" s="5"/>
    </row>
    <row r="136" spans="3:6" x14ac:dyDescent="0.45">
      <c r="F136" s="5"/>
    </row>
    <row r="137" spans="3:6" x14ac:dyDescent="0.45">
      <c r="F137" s="5"/>
    </row>
    <row r="138" spans="3:6" x14ac:dyDescent="0.45">
      <c r="F138" s="5"/>
    </row>
    <row r="139" spans="3:6" x14ac:dyDescent="0.45">
      <c r="F139" s="5"/>
    </row>
    <row r="140" spans="3:6" x14ac:dyDescent="0.45">
      <c r="F140" s="5"/>
    </row>
    <row r="141" spans="3:6" x14ac:dyDescent="0.45">
      <c r="F141" s="5"/>
    </row>
    <row r="142" spans="3:6" x14ac:dyDescent="0.45">
      <c r="F142" s="5"/>
    </row>
    <row r="143" spans="3:6" x14ac:dyDescent="0.45">
      <c r="F143" s="5"/>
    </row>
    <row r="144" spans="3:6" x14ac:dyDescent="0.45">
      <c r="F144" s="5"/>
    </row>
    <row r="145" spans="6:6" x14ac:dyDescent="0.45">
      <c r="F145" s="5"/>
    </row>
    <row r="146" spans="6:6" x14ac:dyDescent="0.45">
      <c r="F146" s="5"/>
    </row>
    <row r="147" spans="6:6" x14ac:dyDescent="0.45">
      <c r="F147" s="5"/>
    </row>
    <row r="148" spans="6:6" x14ac:dyDescent="0.45">
      <c r="F148" s="5"/>
    </row>
    <row r="149" spans="6:6" x14ac:dyDescent="0.45">
      <c r="F149" s="5"/>
    </row>
    <row r="150" spans="6:6" x14ac:dyDescent="0.45">
      <c r="F150" s="5"/>
    </row>
    <row r="151" spans="6:6" x14ac:dyDescent="0.45">
      <c r="F151" s="5"/>
    </row>
    <row r="152" spans="6:6" x14ac:dyDescent="0.45">
      <c r="F152" s="5"/>
    </row>
    <row r="153" spans="6:6" x14ac:dyDescent="0.45">
      <c r="F153" s="5"/>
    </row>
    <row r="154" spans="6:6" x14ac:dyDescent="0.45">
      <c r="F154" s="5"/>
    </row>
    <row r="155" spans="6:6" x14ac:dyDescent="0.45">
      <c r="F155" s="5"/>
    </row>
    <row r="156" spans="6:6" x14ac:dyDescent="0.45">
      <c r="F156" s="5"/>
    </row>
    <row r="157" spans="6:6" x14ac:dyDescent="0.45">
      <c r="F157" s="5"/>
    </row>
    <row r="158" spans="6:6" x14ac:dyDescent="0.45">
      <c r="F158" s="5"/>
    </row>
    <row r="159" spans="6:6" x14ac:dyDescent="0.45">
      <c r="F159" s="5"/>
    </row>
    <row r="160" spans="6:6" x14ac:dyDescent="0.45">
      <c r="F160" s="5"/>
    </row>
    <row r="161" spans="6:6" x14ac:dyDescent="0.45">
      <c r="F161" s="5"/>
    </row>
    <row r="162" spans="6:6" x14ac:dyDescent="0.45">
      <c r="F162" s="5"/>
    </row>
    <row r="163" spans="6:6" x14ac:dyDescent="0.4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3984375" defaultRowHeight="14.25" x14ac:dyDescent="0.45"/>
  <cols>
    <col min="1" max="1" width="6.86328125" style="71" bestFit="1" customWidth="1"/>
    <col min="2" max="4" width="11.3984375" style="71"/>
    <col min="5" max="5" width="9.59765625" style="71" customWidth="1"/>
    <col min="6" max="7" width="11.3984375" style="71"/>
    <col min="8" max="8" width="10.73046875" style="71" customWidth="1"/>
    <col min="9" max="9" width="9.3984375" style="71" customWidth="1"/>
    <col min="10" max="11" width="10.59765625" style="71" bestFit="1" customWidth="1"/>
    <col min="12" max="12" width="14" style="71" bestFit="1" customWidth="1"/>
    <col min="13" max="13" width="14" style="71" customWidth="1"/>
    <col min="14" max="23" width="11.3984375" style="71"/>
    <col min="24" max="24" width="11.73046875" style="71" bestFit="1" customWidth="1"/>
    <col min="25" max="25" width="14.59765625" style="71" bestFit="1" customWidth="1"/>
    <col min="26" max="26" width="12.3984375" style="71" bestFit="1" customWidth="1"/>
    <col min="27" max="27" width="9.73046875" style="71" bestFit="1" customWidth="1"/>
    <col min="28" max="28" width="11" style="71" bestFit="1" customWidth="1"/>
    <col min="29" max="29" width="9.3984375" style="71" bestFit="1" customWidth="1"/>
    <col min="30" max="31" width="9.3984375" style="71" customWidth="1"/>
    <col min="32" max="32" width="11.3984375" style="71"/>
    <col min="33" max="34" width="14" style="71" bestFit="1" customWidth="1"/>
    <col min="35" max="35" width="10.59765625" style="71" bestFit="1" customWidth="1"/>
    <col min="36" max="36" width="9.3984375" style="71" bestFit="1" customWidth="1"/>
    <col min="37" max="38" width="10.59765625" style="71" bestFit="1" customWidth="1"/>
    <col min="39" max="41" width="10.59765625" style="71" customWidth="1"/>
    <col min="42" max="42" width="9" style="71" bestFit="1" customWidth="1"/>
    <col min="43" max="43" width="10.59765625" style="71" bestFit="1" customWidth="1"/>
    <col min="44" max="44" width="9.265625" style="71" bestFit="1" customWidth="1"/>
    <col min="45" max="45" width="11.73046875" style="71" bestFit="1" customWidth="1"/>
    <col min="46" max="46" width="8.3984375" style="71" bestFit="1" customWidth="1"/>
    <col min="47" max="47" width="9.3984375" style="71" bestFit="1" customWidth="1"/>
    <col min="48" max="48" width="9.73046875" style="71" bestFit="1" customWidth="1"/>
    <col min="49" max="49" width="11" style="71" bestFit="1" customWidth="1"/>
    <col min="50" max="50" width="9.3984375" style="71" bestFit="1" customWidth="1"/>
    <col min="51" max="52" width="9.3984375" style="71" customWidth="1"/>
    <col min="53" max="53" width="10.59765625" style="71" bestFit="1" customWidth="1"/>
    <col min="54" max="54" width="14.265625" style="71" customWidth="1"/>
    <col min="55" max="55" width="14" style="71" customWidth="1"/>
    <col min="56" max="56" width="10.59765625" style="71" bestFit="1" customWidth="1"/>
    <col min="57" max="57" width="9.3984375" style="71" bestFit="1" customWidth="1"/>
    <col min="58" max="59" width="10.59765625" style="71" bestFit="1" customWidth="1"/>
    <col min="60" max="62" width="10.59765625" style="71" customWidth="1"/>
    <col min="63" max="63" width="9" style="71" bestFit="1" customWidth="1"/>
    <col min="64" max="64" width="10.59765625" style="71" bestFit="1" customWidth="1"/>
    <col min="65" max="65" width="9.265625" style="71" bestFit="1" customWidth="1"/>
    <col min="66" max="66" width="11.73046875" style="71" bestFit="1" customWidth="1"/>
    <col min="67" max="67" width="8.3984375" style="71" bestFit="1" customWidth="1"/>
    <col min="68" max="68" width="9.3984375" style="71" bestFit="1" customWidth="1"/>
    <col min="69" max="69" width="9.73046875" style="71" bestFit="1" customWidth="1"/>
    <col min="70" max="70" width="11" style="71" bestFit="1" customWidth="1"/>
    <col min="71" max="71" width="9.3984375" style="71" bestFit="1" customWidth="1"/>
    <col min="72" max="73" width="9.3984375" style="71" customWidth="1"/>
    <col min="74" max="74" width="10.59765625" style="71" bestFit="1" customWidth="1"/>
    <col min="75" max="75" width="14" style="71" bestFit="1" customWidth="1"/>
    <col min="76" max="76" width="13.86328125" style="71" customWidth="1"/>
    <col min="77" max="77" width="10.59765625" style="71" bestFit="1" customWidth="1"/>
    <col min="78" max="78" width="9.3984375" style="71" bestFit="1" customWidth="1"/>
    <col min="79" max="80" width="10.59765625" style="71" bestFit="1" customWidth="1"/>
    <col min="81" max="83" width="10.59765625" style="71" customWidth="1"/>
    <col min="84" max="84" width="11.3984375" style="71"/>
    <col min="85" max="85" width="10.59765625" style="71" bestFit="1" customWidth="1"/>
    <col min="86" max="86" width="9.265625" style="71" bestFit="1" customWidth="1"/>
    <col min="87" max="87" width="11.73046875" style="71" bestFit="1" customWidth="1"/>
    <col min="88" max="88" width="8.3984375" style="71" bestFit="1" customWidth="1"/>
    <col min="89" max="89" width="9.3984375" style="71" bestFit="1" customWidth="1"/>
    <col min="90" max="90" width="9.73046875" style="71" bestFit="1" customWidth="1"/>
    <col min="91" max="91" width="11" style="71" bestFit="1" customWidth="1"/>
    <col min="92" max="92" width="9.3984375" style="71" bestFit="1" customWidth="1"/>
    <col min="93" max="94" width="9.3984375" style="71" customWidth="1"/>
    <col min="95" max="95" width="11.3984375" style="71"/>
    <col min="96" max="97" width="14" style="71" customWidth="1"/>
    <col min="98" max="98" width="10.59765625" style="71" bestFit="1" customWidth="1"/>
    <col min="99" max="99" width="9.3984375" style="71" bestFit="1" customWidth="1"/>
    <col min="100" max="101" width="10.59765625" style="71" bestFit="1" customWidth="1"/>
    <col min="102" max="104" width="10.59765625" style="71" customWidth="1"/>
    <col min="105" max="105" width="9" style="71" bestFit="1" customWidth="1"/>
    <col min="106" max="106" width="10.59765625" style="71" bestFit="1" customWidth="1"/>
    <col min="107" max="107" width="9.265625" style="71" bestFit="1" customWidth="1"/>
    <col min="108" max="108" width="11.73046875" style="71" bestFit="1" customWidth="1"/>
    <col min="109" max="109" width="8.3984375" style="71" bestFit="1" customWidth="1"/>
    <col min="110" max="110" width="9.3984375" style="71" bestFit="1" customWidth="1"/>
    <col min="111" max="111" width="9.73046875" style="71" bestFit="1" customWidth="1"/>
    <col min="112" max="112" width="11" style="71" bestFit="1" customWidth="1"/>
    <col min="113" max="113" width="9.3984375" style="71" bestFit="1" customWidth="1"/>
    <col min="114" max="115" width="9.3984375" style="71" customWidth="1"/>
    <col min="116" max="116" width="10.59765625" style="71" bestFit="1" customWidth="1"/>
    <col min="117" max="117" width="14.265625" style="71" customWidth="1"/>
    <col min="118" max="118" width="14" style="71" bestFit="1" customWidth="1"/>
    <col min="119" max="119" width="10.59765625" style="71" bestFit="1" customWidth="1"/>
    <col min="120" max="120" width="9.3984375" style="71" bestFit="1" customWidth="1"/>
    <col min="121" max="122" width="10.59765625" style="71" bestFit="1" customWidth="1"/>
    <col min="123" max="125" width="10.59765625" style="71" customWidth="1"/>
    <col min="126" max="126" width="9" style="71" bestFit="1" customWidth="1"/>
    <col min="127" max="127" width="10.59765625" style="71" bestFit="1" customWidth="1"/>
    <col min="128" max="128" width="9.265625" style="71" bestFit="1" customWidth="1"/>
    <col min="129" max="129" width="11.73046875" style="71" bestFit="1" customWidth="1"/>
    <col min="130" max="130" width="8.3984375" style="71" bestFit="1" customWidth="1"/>
    <col min="131" max="131" width="9.3984375" style="71" bestFit="1" customWidth="1"/>
    <col min="132" max="132" width="9.73046875" style="71" bestFit="1" customWidth="1"/>
    <col min="133" max="133" width="11" style="71" bestFit="1" customWidth="1"/>
    <col min="134" max="134" width="9.3984375" style="71" bestFit="1" customWidth="1"/>
    <col min="135" max="136" width="9.3984375" style="71" customWidth="1"/>
    <col min="137" max="137" width="10.59765625" style="71" bestFit="1" customWidth="1"/>
    <col min="138" max="139" width="14" style="71" customWidth="1"/>
    <col min="140" max="140" width="10.59765625" style="71" bestFit="1" customWidth="1"/>
    <col min="141" max="141" width="9.3984375" style="71" bestFit="1" customWidth="1"/>
    <col min="142" max="143" width="10.59765625" style="71" bestFit="1" customWidth="1"/>
    <col min="144" max="146" width="10.59765625" style="71" customWidth="1"/>
    <col min="147" max="147" width="9" style="71" bestFit="1" customWidth="1"/>
    <col min="148" max="148" width="10.59765625" style="71" bestFit="1" customWidth="1"/>
    <col min="149" max="149" width="9.265625" style="71" bestFit="1" customWidth="1"/>
    <col min="150" max="150" width="11.73046875" style="71" bestFit="1" customWidth="1"/>
    <col min="151" max="151" width="8.3984375" style="71" bestFit="1" customWidth="1"/>
    <col min="152" max="152" width="9.3984375" style="71" bestFit="1" customWidth="1"/>
    <col min="153" max="153" width="9.73046875" style="71" bestFit="1" customWidth="1"/>
    <col min="154" max="154" width="11" style="71" bestFit="1" customWidth="1"/>
    <col min="155" max="155" width="9.3984375" style="71" bestFit="1" customWidth="1"/>
    <col min="156" max="157" width="9.3984375" style="71" customWidth="1"/>
    <col min="158" max="158" width="11.3984375" style="71"/>
    <col min="159" max="160" width="14" style="71" bestFit="1" customWidth="1"/>
    <col min="161" max="161" width="10.59765625" style="71" bestFit="1" customWidth="1"/>
    <col min="162" max="162" width="9.3984375" style="71" bestFit="1" customWidth="1"/>
    <col min="163" max="164" width="10.59765625" style="71" bestFit="1" customWidth="1"/>
    <col min="165" max="167" width="10.59765625" style="71" customWidth="1"/>
    <col min="168" max="168" width="9" style="71" bestFit="1" customWidth="1"/>
    <col min="169" max="169" width="10.59765625" style="71" bestFit="1" customWidth="1"/>
    <col min="170" max="170" width="9.265625" style="71" bestFit="1" customWidth="1"/>
    <col min="171" max="171" width="11.73046875" style="71" bestFit="1" customWidth="1"/>
    <col min="172" max="172" width="8.1328125" style="71" bestFit="1" customWidth="1"/>
    <col min="173" max="173" width="9.3984375" style="71" bestFit="1" customWidth="1"/>
    <col min="174" max="174" width="9.73046875" style="71" bestFit="1" customWidth="1"/>
    <col min="175" max="175" width="11" style="71" bestFit="1" customWidth="1"/>
    <col min="176" max="176" width="9.3984375" style="71" bestFit="1" customWidth="1"/>
    <col min="177" max="178" width="9.3984375" style="71" customWidth="1"/>
    <col min="179" max="179" width="10.59765625" style="71" bestFit="1" customWidth="1"/>
    <col min="180" max="181" width="14" style="71" bestFit="1" customWidth="1"/>
    <col min="182" max="182" width="10.59765625" style="71" bestFit="1" customWidth="1"/>
    <col min="183" max="183" width="9.3984375" style="71" bestFit="1" customWidth="1"/>
    <col min="184" max="185" width="10.59765625" style="71" bestFit="1" customWidth="1"/>
    <col min="186" max="188" width="10.59765625" style="71" customWidth="1"/>
    <col min="189" max="189" width="9" style="71" bestFit="1" customWidth="1"/>
    <col min="190" max="190" width="10.59765625" style="71" bestFit="1" customWidth="1"/>
    <col min="191" max="191" width="9.265625" style="71" bestFit="1" customWidth="1"/>
    <col min="192" max="192" width="11.3984375" style="71"/>
    <col min="193" max="193" width="8.3984375" style="71" bestFit="1" customWidth="1"/>
    <col min="194" max="194" width="9.3984375" style="71" bestFit="1" customWidth="1"/>
    <col min="195" max="195" width="9.73046875" style="71" bestFit="1" customWidth="1"/>
    <col min="196" max="196" width="11" style="71" bestFit="1" customWidth="1"/>
    <col min="197" max="197" width="9.3984375" style="71" bestFit="1" customWidth="1"/>
    <col min="198" max="199" width="9.3984375" style="71" customWidth="1"/>
    <col min="200" max="200" width="10.59765625" style="71" bestFit="1" customWidth="1"/>
    <col min="201" max="201" width="14" style="71" customWidth="1"/>
    <col min="202" max="202" width="14.265625" style="71" customWidth="1"/>
    <col min="203" max="203" width="10.59765625" style="71" bestFit="1" customWidth="1"/>
    <col min="204" max="204" width="9.3984375" style="71" bestFit="1" customWidth="1"/>
    <col min="205" max="206" width="10.59765625" style="71" bestFit="1" customWidth="1"/>
    <col min="207" max="209" width="10.59765625" style="71" customWidth="1"/>
    <col min="210" max="210" width="9" style="71" bestFit="1" customWidth="1"/>
    <col min="211" max="211" width="10.59765625" style="71" bestFit="1" customWidth="1"/>
    <col min="212" max="212" width="9.265625" style="71" bestFit="1" customWidth="1"/>
    <col min="213" max="213" width="11.73046875" style="71" bestFit="1" customWidth="1"/>
    <col min="214" max="214" width="8.3984375" style="71" bestFit="1" customWidth="1"/>
    <col min="215" max="215" width="9.3984375" style="71" bestFit="1" customWidth="1"/>
    <col min="216" max="216" width="9.73046875" style="71" bestFit="1" customWidth="1"/>
    <col min="217" max="217" width="11" style="71" bestFit="1" customWidth="1"/>
    <col min="218" max="218" width="9.3984375" style="71" bestFit="1" customWidth="1"/>
    <col min="219" max="16384" width="11.3984375" style="71"/>
  </cols>
  <sheetData>
    <row r="1" spans="1:218" s="5" customFormat="1" ht="25.9" thickBot="1" x14ac:dyDescent="0.8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Chêne sessile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Chêne rouge d'Amérique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>Sapin de Nordmann</v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>Hêtre</v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/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/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/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57.4" thickBot="1" x14ac:dyDescent="0.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4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432.80275651765203</v>
      </c>
      <c r="T3" s="62">
        <f>IF('Données projet'!E9&gt;30,$R$33-$H$33,LOOKUP('Données projet'!$E$9,$A$3:$A$203,R3:R203)-LOOKUP('Données projet'!$E$9,$A$3:$A$203,$H$3:$H$203))</f>
        <v>203.89279893419919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341.62910675299065</v>
      </c>
      <c r="AO3" s="62">
        <f>IF('Données projet'!E10&gt;30,$AM$33-$H$33,LOOKUP('Données projet'!$E$10,$A$3:$A$203,AM3:AM203)-LOOKUP('Données projet'!$E$10,$A$3:$A$203,$H$3:$H$203))</f>
        <v>407.15938341104709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405.94837980869011</v>
      </c>
      <c r="BJ3" s="62">
        <f>IF('Données projet'!E11&gt;30,$BH$33-$H$33,LOOKUP('Données projet'!$E$11,$A$3:$A$203,BH3:BH203)-LOOKUP('Données projet'!$E$11,$A$3:$A$203,$H$3:$H$203))</f>
        <v>511.37583835090879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590.18141384962507</v>
      </c>
      <c r="CE3" s="62">
        <f>IF('Données projet'!E12&gt;30,$CC$33-$H$33,LOOKUP('Données projet'!$E$12,$A$3:$A$203,CC3:CC203)-LOOKUP('Données projet'!$E$12,$A$3:$A$203,$H$3:$H$203))</f>
        <v>331.25104323342907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4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2.4423076923076925</v>
      </c>
      <c r="N4" s="14">
        <f>IF('Données projet'!$A$36&gt;35,N3+M4-V3,IF(A4&lt;'Données projet'!$A$36,$K$205^A4,IF(A4='Données projet'!$A$36,'Données projet'!$B$36,N3+M4-V3)))</f>
        <v>2.4423076923076925</v>
      </c>
      <c r="O4" s="14">
        <f>N4*VLOOKUP('Données projet'!$B$9,Paramètres!$A$1:$I$89,3,0)*VLOOKUP('Données projet'!$B$9,Paramètres!$A$1:$I$89,5,0)</f>
        <v>2.2098</v>
      </c>
      <c r="P4" s="14">
        <f>EXP(-1.0587+0.8836*LN(O4)+0.284)</f>
        <v>0.92858646361688846</v>
      </c>
      <c r="Q4" s="22">
        <f t="shared" ref="Q4:Q34" si="2">(O4+P4)*0.475*44/12</f>
        <v>5.4660230907994141</v>
      </c>
      <c r="R4" s="62">
        <f t="shared" si="0"/>
        <v>173.27845704372325</v>
      </c>
      <c r="S4" s="62">
        <f ca="1">AVERAGE(OFFSET($R$3,0,0,'Données projet'!$E$9+1,1))-AVERAGE(OFFSET($H$3,0,0,'Données projet'!$E$9+1,1))</f>
        <v>432.80275651765203</v>
      </c>
      <c r="T4" s="62">
        <f>$T$3</f>
        <v>203.89279893419919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5.8</v>
      </c>
      <c r="AI4" s="14">
        <f>IF('Données projet'!$A$62&gt;35,AI3+AH4-AQ3,IF(A4&lt;'Données projet'!$A$62,$AF$205^A4,IF(A4='Données projet'!$A$62,'Données projet'!$B$62,AI3+AH4-AQ3)))</f>
        <v>1.3467943429205997</v>
      </c>
      <c r="AJ4" s="14">
        <f>AI4*VLOOKUP('Données projet'!$B$10,Paramètres!$A$1:$I$89,3,0)*VLOOKUP('Données projet'!$B$10,Paramètres!$A$1:$I$89,5,0)</f>
        <v>1.1765595379754361</v>
      </c>
      <c r="AK4" s="14">
        <f>EXP(-1.0587+0.8836*LN(AJ4)+0.284)</f>
        <v>0.53204273185561757</v>
      </c>
      <c r="AL4" s="22">
        <f t="shared" ref="AL4:AL67" si="4">(AJ4+AK4)*0.475*44/12</f>
        <v>2.9758156199557515</v>
      </c>
      <c r="AM4" s="62">
        <f t="shared" ref="AM4:AM67" si="5">AL4+(AD4+AE4)*44/12</f>
        <v>170.78824957287958</v>
      </c>
      <c r="AN4" s="62">
        <f ca="1">AVERAGE(OFFSET($AM$3,0,0,'Données projet'!$E$10+1,1))-AVERAGE(OFFSET($H$3,0,0,'Données projet'!$E$10+1,1))</f>
        <v>341.62910675299065</v>
      </c>
      <c r="AO4" s="62">
        <f>$AO$3</f>
        <v>407.15938341104709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14.04</v>
      </c>
      <c r="BD4" s="13">
        <f>IF('Données projet'!$A$88&gt;35,BD3+BC4-BL3,IF(A4&lt;'Données projet'!$A$88,$BA$205^A4,IF(A4='Données projet'!$A$88,'Données projet'!$B$88,BD3+BC4-BL3)))</f>
        <v>1.2641898079122342</v>
      </c>
      <c r="BE4" s="14">
        <f>BD4*VLOOKUP('Données projet'!$B$11,Paramètres!$A$1:$I$89,3,0)*VLOOKUP('Données projet'!$B$11,Paramètres!$A$1:$I$89,5,0)</f>
        <v>0.60807529760578471</v>
      </c>
      <c r="BF4" s="14">
        <f>EXP(-1.0587+0.8836*LN(BE4)+0.284)</f>
        <v>0.29693185339339007</v>
      </c>
      <c r="BG4" s="22">
        <f t="shared" ref="BG4:BG67" si="7">(BE4+BF4)*0.475*44/12</f>
        <v>1.5762207879902295</v>
      </c>
      <c r="BH4" s="62">
        <f t="shared" ref="BH4:BH67" si="8">BG4+(AY4+AZ4)*44/12</f>
        <v>169.38865474091406</v>
      </c>
      <c r="BI4" s="62">
        <f ca="1">AVERAGE(OFFSET($BH$3,0,0,'Données projet'!$E$11+1,1))-AVERAGE(OFFSET($H$3,0,0,'Données projet'!$E$11+1,1))</f>
        <v>405.94837980869011</v>
      </c>
      <c r="BJ4" s="62">
        <f>$BJ$3</f>
        <v>511.37583835090879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4.4400000000000004</v>
      </c>
      <c r="BY4" s="13">
        <f>IF('Données projet'!$A$114&gt;35,BY3+BX4-CG3,IF(A4&lt;'Données projet'!$A$114,$BV$205^A4,IF(A4='Données projet'!$A$114,'Données projet'!$B$114,BY3+BX4-CG3)))</f>
        <v>1.2072936577030884</v>
      </c>
      <c r="BZ4" s="14">
        <f>BY4*VLOOKUP('Données projet'!$B$12,Paramètres!$A$1:$I$89,3,0)*VLOOKUP('Données projet'!$B$12,Paramètres!$A$1:$I$89,5,0)</f>
        <v>1.03585795830925</v>
      </c>
      <c r="CA4" s="14">
        <f>EXP(-1.0587+0.8836*LN(BZ4)+0.284)</f>
        <v>0.47541330058980513</v>
      </c>
      <c r="CB4" s="22">
        <f t="shared" ref="CB4:CB67" si="10">(BZ4+CA4)*0.475*44/12</f>
        <v>2.6321307759158539</v>
      </c>
      <c r="CC4" s="62">
        <f t="shared" ref="CC4:CC67" si="11">CB4+(BT4+BU4)*44/12</f>
        <v>170.44456472883968</v>
      </c>
      <c r="CD4" s="62">
        <f ca="1">AVERAGE(OFFSET($CC$3,0,0,'Données projet'!$E$12+1,1))-AVERAGE(OFFSET($H$3,0,0,'Données projet'!$E$12+1,1))</f>
        <v>590.18141384962507</v>
      </c>
      <c r="CE4" s="62">
        <f>$CE$3</f>
        <v>331.25104323342907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4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2.4423076923076925</v>
      </c>
      <c r="N5" s="14">
        <f>IF('Données projet'!$A$36&gt;35,N4+M5-V4,IF(A5&lt;'Données projet'!$A$36,$K$205^A5,IF(A5='Données projet'!$A$36,'Données projet'!$B$36,N4+M5-V4)))</f>
        <v>4.884615384615385</v>
      </c>
      <c r="O5" s="14">
        <f>N5*VLOOKUP('Données projet'!$B$9,Paramètres!$A$1:$I$89,3,0)*VLOOKUP('Données projet'!$B$9,Paramètres!$A$1:$I$89,5,0)</f>
        <v>4.4196</v>
      </c>
      <c r="P5" s="14">
        <f t="shared" ref="P5:P68" si="33">EXP(-1.0587+0.8836*LN(O5)+0.284)</f>
        <v>1.7132173056110989</v>
      </c>
      <c r="Q5" s="22">
        <f t="shared" si="2"/>
        <v>10.681323473939329</v>
      </c>
      <c r="R5" s="62">
        <f t="shared" si="0"/>
        <v>181.27860476144016</v>
      </c>
      <c r="S5" s="62">
        <f ca="1">AVERAGE(OFFSET($R$3,0,0,'Données projet'!$E$9+1,1))-AVERAGE(OFFSET($H$3,0,0,'Données projet'!$E$9+1,1))</f>
        <v>432.80275651765203</v>
      </c>
      <c r="T5" s="62">
        <f t="shared" ref="T5:T68" si="34">$T$3</f>
        <v>203.89279893419919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5.8</v>
      </c>
      <c r="AI5" s="14">
        <f>IF('Données projet'!$A$62&gt;35,AI4+AH5-AQ4,IF(A5&lt;'Données projet'!$A$62,$AF$205^A5,IF(A5='Données projet'!$A$62,'Données projet'!$B$62,AI4+AH5-AQ4)))</f>
        <v>1.81385500212293</v>
      </c>
      <c r="AJ5" s="14">
        <f>AI5*VLOOKUP('Données projet'!$B$10,Paramètres!$A$1:$I$89,3,0)*VLOOKUP('Données projet'!$B$10,Paramètres!$A$1:$I$89,5,0)</f>
        <v>1.5845837298545919</v>
      </c>
      <c r="AK5" s="14">
        <f t="shared" ref="AK5:AK68" si="35">EXP(-1.0587+0.8836*LN(AJ5)+0.284)</f>
        <v>0.69214506839939893</v>
      </c>
      <c r="AL5" s="22">
        <f t="shared" si="4"/>
        <v>3.9653026569590337</v>
      </c>
      <c r="AM5" s="62">
        <f t="shared" si="5"/>
        <v>174.56258394445987</v>
      </c>
      <c r="AN5" s="62">
        <f ca="1">AVERAGE(OFFSET($AM$3,0,0,'Données projet'!$E$10+1,1))-AVERAGE(OFFSET($H$3,0,0,'Données projet'!$E$10+1,1))</f>
        <v>341.62910675299065</v>
      </c>
      <c r="AO5" s="62">
        <f t="shared" ref="AO5:AO68" si="36">$AO$3</f>
        <v>407.15938341104709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14.04</v>
      </c>
      <c r="BD5" s="13">
        <f>IF('Données projet'!$A$88&gt;35,BD4+BC5-BL4,IF(A5&lt;'Données projet'!$A$88,$BA$205^A5,IF(A5='Données projet'!$A$88,'Données projet'!$B$88,BD4+BC5-BL4)))</f>
        <v>1.5981758704291718</v>
      </c>
      <c r="BE5" s="14">
        <f>BD5*VLOOKUP('Données projet'!$B$11,Paramètres!$A$1:$I$89,3,0)*VLOOKUP('Données projet'!$B$11,Paramètres!$A$1:$I$89,5,0)</f>
        <v>0.7687225936764317</v>
      </c>
      <c r="BF5" s="14">
        <f t="shared" ref="BF5:BF68" si="37">EXP(-1.0587+0.8836*LN(BE5)+0.284)</f>
        <v>0.36527346451321246</v>
      </c>
      <c r="BG5" s="22">
        <f t="shared" si="7"/>
        <v>1.9750431346802968</v>
      </c>
      <c r="BH5" s="62">
        <f t="shared" si="8"/>
        <v>172.57232442218114</v>
      </c>
      <c r="BI5" s="62">
        <f ca="1">AVERAGE(OFFSET($BH$3,0,0,'Données projet'!$E$11+1,1))-AVERAGE(OFFSET($H$3,0,0,'Données projet'!$E$11+1,1))</f>
        <v>405.94837980869011</v>
      </c>
      <c r="BJ5" s="62">
        <f t="shared" ref="BJ5:BJ68" si="38">$BJ$3</f>
        <v>511.37583835090879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4.4400000000000004</v>
      </c>
      <c r="BY5" s="13">
        <f>IF('Données projet'!$A$114&gt;35,BY4+BX5-CG4,IF(A5&lt;'Données projet'!$A$114,$BV$205^A5,IF(A5='Données projet'!$A$114,'Données projet'!$B$114,BY4+BX5-CG4)))</f>
        <v>1.4575579759301018</v>
      </c>
      <c r="BZ5" s="14">
        <f>BY5*VLOOKUP('Données projet'!$B$12,Paramètres!$A$1:$I$89,3,0)*VLOOKUP('Données projet'!$B$12,Paramètres!$A$1:$I$89,5,0)</f>
        <v>1.2505847433480275</v>
      </c>
      <c r="CA5" s="14">
        <f t="shared" ref="CA5:CA68" si="39">EXP(-1.0587+0.8836*LN(BZ5)+0.284)</f>
        <v>0.56151482013063936</v>
      </c>
      <c r="CB5" s="22">
        <f t="shared" si="10"/>
        <v>3.1560734063920113</v>
      </c>
      <c r="CC5" s="62">
        <f t="shared" si="11"/>
        <v>173.75335469389285</v>
      </c>
      <c r="CD5" s="62">
        <f ca="1">AVERAGE(OFFSET($CC$3,0,0,'Données projet'!$E$12+1,1))-AVERAGE(OFFSET($H$3,0,0,'Données projet'!$E$12+1,1))</f>
        <v>590.18141384962507</v>
      </c>
      <c r="CE5" s="62">
        <f t="shared" ref="CE5:CE68" si="40">$CE$3</f>
        <v>331.25104323342907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4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2.4423076923076925</v>
      </c>
      <c r="N6" s="14">
        <f>IF('Données projet'!$A$36&gt;35,N5+M6-V5,IF(A6&lt;'Données projet'!$A$36,$K$205^A6,IF(A6='Données projet'!$A$36,'Données projet'!$B$36,N5+M6-V5)))</f>
        <v>7.3269230769230775</v>
      </c>
      <c r="O6" s="14">
        <f>N6*VLOOKUP('Données projet'!$B$9,Paramètres!$A$1:$I$89,3,0)*VLOOKUP('Données projet'!$B$9,Paramètres!$A$1:$I$89,5,0)</f>
        <v>6.6293999999999995</v>
      </c>
      <c r="P6" s="14">
        <f t="shared" si="33"/>
        <v>2.4513577079413515</v>
      </c>
      <c r="Q6" s="22">
        <f t="shared" si="2"/>
        <v>15.815653007997854</v>
      </c>
      <c r="R6" s="62">
        <f t="shared" si="0"/>
        <v>189.17067357788275</v>
      </c>
      <c r="S6" s="62">
        <f ca="1">AVERAGE(OFFSET($R$3,0,0,'Données projet'!$E$9+1,1))-AVERAGE(OFFSET($H$3,0,0,'Données projet'!$E$9+1,1))</f>
        <v>432.80275651765203</v>
      </c>
      <c r="T6" s="62">
        <f t="shared" si="34"/>
        <v>203.89279893419919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5.8</v>
      </c>
      <c r="AI6" s="14">
        <f>IF('Données projet'!$A$62&gt;35,AI5+AH6-AQ5,IF(A6&lt;'Données projet'!$A$62,$AF$205^A6,IF(A6='Données projet'!$A$62,'Données projet'!$B$62,AI5+AH6-AQ5)))</f>
        <v>2.4428896557373947</v>
      </c>
      <c r="AJ6" s="14">
        <f>AI6*VLOOKUP('Données projet'!$B$10,Paramètres!$A$1:$I$89,3,0)*VLOOKUP('Données projet'!$B$10,Paramètres!$A$1:$I$89,5,0)</f>
        <v>2.1341084032521884</v>
      </c>
      <c r="AK6" s="14">
        <f t="shared" si="35"/>
        <v>0.90042541139273424</v>
      </c>
      <c r="AL6" s="22">
        <f t="shared" si="4"/>
        <v>5.2851463938399075</v>
      </c>
      <c r="AM6" s="62">
        <f t="shared" si="5"/>
        <v>178.64016696372479</v>
      </c>
      <c r="AN6" s="62">
        <f ca="1">AVERAGE(OFFSET($AM$3,0,0,'Données projet'!$E$10+1,1))-AVERAGE(OFFSET($H$3,0,0,'Données projet'!$E$10+1,1))</f>
        <v>341.62910675299065</v>
      </c>
      <c r="AO6" s="62">
        <f t="shared" si="36"/>
        <v>407.15938341104709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14.04</v>
      </c>
      <c r="BD6" s="13">
        <f>IF('Données projet'!$A$88&gt;35,BD5+BC6-BL5,IF(A6&lt;'Données projet'!$A$88,$BA$205^A6,IF(A6='Données projet'!$A$88,'Données projet'!$B$88,BD5+BC6-BL5)))</f>
        <v>2.0203976466478224</v>
      </c>
      <c r="BE6" s="14">
        <f>BD6*VLOOKUP('Données projet'!$B$11,Paramètres!$A$1:$I$89,3,0)*VLOOKUP('Données projet'!$B$11,Paramètres!$A$1:$I$89,5,0)</f>
        <v>0.97181126803760254</v>
      </c>
      <c r="BF6" s="14">
        <f t="shared" si="37"/>
        <v>0.44934452923350526</v>
      </c>
      <c r="BG6" s="22">
        <f t="shared" si="7"/>
        <v>2.4751796802471793</v>
      </c>
      <c r="BH6" s="62">
        <f t="shared" si="8"/>
        <v>175.83020025013207</v>
      </c>
      <c r="BI6" s="62">
        <f ca="1">AVERAGE(OFFSET($BH$3,0,0,'Données projet'!$E$11+1,1))-AVERAGE(OFFSET($H$3,0,0,'Données projet'!$E$11+1,1))</f>
        <v>405.94837980869011</v>
      </c>
      <c r="BJ6" s="62">
        <f t="shared" si="38"/>
        <v>511.37583835090879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4.4400000000000004</v>
      </c>
      <c r="BY6" s="13">
        <f>IF('Données projet'!$A$114&gt;35,BY5+BX6-CG5,IF(A6&lt;'Données projet'!$A$114,$BV$205^A6,IF(A6='Données projet'!$A$114,'Données projet'!$B$114,BY5+BX6-CG5)))</f>
        <v>1.7597005000749628</v>
      </c>
      <c r="BZ6" s="14">
        <f>BY6*VLOOKUP('Données projet'!$B$12,Paramètres!$A$1:$I$89,3,0)*VLOOKUP('Données projet'!$B$12,Paramètres!$A$1:$I$89,5,0)</f>
        <v>1.5098230290643184</v>
      </c>
      <c r="CA6" s="14">
        <f t="shared" si="39"/>
        <v>0.66321008022951766</v>
      </c>
      <c r="CB6" s="22">
        <f t="shared" si="10"/>
        <v>3.7846993320200979</v>
      </c>
      <c r="CC6" s="62">
        <f t="shared" si="11"/>
        <v>177.13971990190498</v>
      </c>
      <c r="CD6" s="62">
        <f ca="1">AVERAGE(OFFSET($CC$3,0,0,'Données projet'!$E$12+1,1))-AVERAGE(OFFSET($H$3,0,0,'Données projet'!$E$12+1,1))</f>
        <v>590.18141384962507</v>
      </c>
      <c r="CE6" s="62">
        <f t="shared" si="40"/>
        <v>331.25104323342907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4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2.4423076923076925</v>
      </c>
      <c r="N7" s="14">
        <f>IF('Données projet'!$A$36&gt;35,N6+M7-V6,IF(A7&lt;'Données projet'!$A$36,$K$205^A7,IF(A7='Données projet'!$A$36,'Données projet'!$B$36,N6+M7-V6)))</f>
        <v>9.7692307692307701</v>
      </c>
      <c r="O7" s="14">
        <f>N7*VLOOKUP('Données projet'!$B$9,Paramètres!$A$1:$I$89,3,0)*VLOOKUP('Données projet'!$B$9,Paramètres!$A$1:$I$89,5,0)</f>
        <v>8.8391999999999999</v>
      </c>
      <c r="P7" s="14">
        <f t="shared" si="33"/>
        <v>3.1608403215495366</v>
      </c>
      <c r="Q7" s="22">
        <f t="shared" si="2"/>
        <v>20.900070226698777</v>
      </c>
      <c r="R7" s="62">
        <f t="shared" si="0"/>
        <v>196.98619229087572</v>
      </c>
      <c r="S7" s="62">
        <f ca="1">AVERAGE(OFFSET($R$3,0,0,'Données projet'!$E$9+1,1))-AVERAGE(OFFSET($H$3,0,0,'Données projet'!$E$9+1,1))</f>
        <v>432.80275651765203</v>
      </c>
      <c r="T7" s="62">
        <f t="shared" si="34"/>
        <v>203.89279893419919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5.8</v>
      </c>
      <c r="AI7" s="14">
        <f>IF('Données projet'!$A$62&gt;35,AI6+AH7-AQ6,IF(A7&lt;'Données projet'!$A$62,$AF$205^A7,IF(A7='Données projet'!$A$62,'Données projet'!$B$62,AI6+AH7-AQ6)))</f>
        <v>3.2900699687263746</v>
      </c>
      <c r="AJ7" s="14">
        <f>AI7*VLOOKUP('Données projet'!$B$10,Paramètres!$A$1:$I$89,3,0)*VLOOKUP('Données projet'!$B$10,Paramètres!$A$1:$I$89,5,0)</f>
        <v>2.874205124679361</v>
      </c>
      <c r="AK7" s="14">
        <f t="shared" si="35"/>
        <v>1.1713814899478936</v>
      </c>
      <c r="AL7" s="22">
        <f t="shared" si="4"/>
        <v>7.0460633538091342</v>
      </c>
      <c r="AM7" s="62">
        <f t="shared" si="5"/>
        <v>183.13218541798608</v>
      </c>
      <c r="AN7" s="62">
        <f ca="1">AVERAGE(OFFSET($AM$3,0,0,'Données projet'!$E$10+1,1))-AVERAGE(OFFSET($H$3,0,0,'Données projet'!$E$10+1,1))</f>
        <v>341.62910675299065</v>
      </c>
      <c r="AO7" s="62">
        <f t="shared" si="36"/>
        <v>407.15938341104709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14.04</v>
      </c>
      <c r="BD7" s="13">
        <f>IF('Données projet'!$A$88&gt;35,BD6+BC7-BL6,IF(A7&lt;'Données projet'!$A$88,$BA$205^A7,IF(A7='Données projet'!$A$88,'Données projet'!$B$88,BD6+BC7-BL6)))</f>
        <v>2.554166112822041</v>
      </c>
      <c r="BE7" s="14">
        <f>BD7*VLOOKUP('Données projet'!$B$11,Paramètres!$A$1:$I$89,3,0)*VLOOKUP('Données projet'!$B$11,Paramètres!$A$1:$I$89,5,0)</f>
        <v>1.2285539002674017</v>
      </c>
      <c r="BF7" s="14">
        <f t="shared" si="37"/>
        <v>0.55276532671531386</v>
      </c>
      <c r="BG7" s="22">
        <f t="shared" si="7"/>
        <v>3.1024643203282296</v>
      </c>
      <c r="BH7" s="62">
        <f t="shared" si="8"/>
        <v>179.18858638450519</v>
      </c>
      <c r="BI7" s="62">
        <f ca="1">AVERAGE(OFFSET($BH$3,0,0,'Données projet'!$E$11+1,1))-AVERAGE(OFFSET($H$3,0,0,'Données projet'!$E$11+1,1))</f>
        <v>405.94837980869011</v>
      </c>
      <c r="BJ7" s="62">
        <f t="shared" si="38"/>
        <v>511.37583835090879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4.4400000000000004</v>
      </c>
      <c r="BY7" s="13">
        <f>IF('Données projet'!$A$114&gt;35,BY6+BX7-CG6,IF(A7&lt;'Données projet'!$A$114,$BV$205^A7,IF(A7='Données projet'!$A$114,'Données projet'!$B$114,BY6+BX7-CG6)))</f>
        <v>2.1244752531974553</v>
      </c>
      <c r="BZ7" s="14">
        <f>BY7*VLOOKUP('Données projet'!$B$12,Paramètres!$A$1:$I$89,3,0)*VLOOKUP('Données projet'!$B$12,Paramètres!$A$1:$I$89,5,0)</f>
        <v>1.8227997672434166</v>
      </c>
      <c r="CA7" s="14">
        <f t="shared" si="39"/>
        <v>0.78332324410548981</v>
      </c>
      <c r="CB7" s="22">
        <f t="shared" si="10"/>
        <v>4.5389975780993446</v>
      </c>
      <c r="CC7" s="62">
        <f t="shared" si="11"/>
        <v>180.6251196422763</v>
      </c>
      <c r="CD7" s="62">
        <f ca="1">AVERAGE(OFFSET($CC$3,0,0,'Données projet'!$E$12+1,1))-AVERAGE(OFFSET($H$3,0,0,'Données projet'!$E$12+1,1))</f>
        <v>590.18141384962507</v>
      </c>
      <c r="CE7" s="62">
        <f t="shared" si="40"/>
        <v>331.25104323342907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4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2.4423076923076925</v>
      </c>
      <c r="N8" s="14">
        <f>IF('Données projet'!$A$36&gt;35,N7+M8-V7,IF(A8&lt;'Données projet'!$A$36,$K$205^A8,IF(A8='Données projet'!$A$36,'Données projet'!$B$36,N7+M8-V7)))</f>
        <v>12.211538461538463</v>
      </c>
      <c r="O8" s="14">
        <f>N8*VLOOKUP('Données projet'!$B$9,Paramètres!$A$1:$I$89,3,0)*VLOOKUP('Données projet'!$B$9,Paramètres!$A$1:$I$89,5,0)</f>
        <v>11.049000000000001</v>
      </c>
      <c r="P8" s="14">
        <f t="shared" si="33"/>
        <v>3.8497474884354701</v>
      </c>
      <c r="Q8" s="22">
        <f t="shared" si="2"/>
        <v>25.94865187569178</v>
      </c>
      <c r="R8" s="62">
        <f t="shared" si="0"/>
        <v>204.73969975213913</v>
      </c>
      <c r="S8" s="62">
        <f ca="1">AVERAGE(OFFSET($R$3,0,0,'Données projet'!$E$9+1,1))-AVERAGE(OFFSET($H$3,0,0,'Données projet'!$E$9+1,1))</f>
        <v>432.80275651765203</v>
      </c>
      <c r="T8" s="62">
        <f t="shared" si="34"/>
        <v>203.89279893419919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5.8</v>
      </c>
      <c r="AI8" s="14">
        <f>IF('Données projet'!$A$62&gt;35,AI7+AH8-AQ7,IF(A8&lt;'Données projet'!$A$62,$AF$205^A8,IF(A8='Données projet'!$A$62,'Données projet'!$B$62,AI7+AH8-AQ7)))</f>
        <v>4.4310476216936356</v>
      </c>
      <c r="AJ8" s="14">
        <f>AI8*VLOOKUP('Données projet'!$B$10,Paramètres!$A$1:$I$89,3,0)*VLOOKUP('Données projet'!$B$10,Paramètres!$A$1:$I$89,5,0)</f>
        <v>3.8709632023115605</v>
      </c>
      <c r="AK8" s="14">
        <f t="shared" si="35"/>
        <v>1.5238736908481918</v>
      </c>
      <c r="AL8" s="22">
        <f t="shared" si="4"/>
        <v>9.3960075889199022</v>
      </c>
      <c r="AM8" s="62">
        <f t="shared" si="5"/>
        <v>188.18705546536725</v>
      </c>
      <c r="AN8" s="62">
        <f ca="1">AVERAGE(OFFSET($AM$3,0,0,'Données projet'!$E$10+1,1))-AVERAGE(OFFSET($H$3,0,0,'Données projet'!$E$10+1,1))</f>
        <v>341.62910675299065</v>
      </c>
      <c r="AO8" s="62">
        <f t="shared" si="36"/>
        <v>407.15938341104709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14.04</v>
      </c>
      <c r="BD8" s="13">
        <f>IF('Données projet'!$A$88&gt;35,BD7+BC8-BL7,IF(A8&lt;'Données projet'!$A$88,$BA$205^A8,IF(A8='Données projet'!$A$88,'Données projet'!$B$88,BD7+BC8-BL7)))</f>
        <v>3.228950767544434</v>
      </c>
      <c r="BE8" s="14">
        <f>BD8*VLOOKUP('Données projet'!$B$11,Paramètres!$A$1:$I$89,3,0)*VLOOKUP('Données projet'!$B$11,Paramètres!$A$1:$I$89,5,0)</f>
        <v>1.5531253191888728</v>
      </c>
      <c r="BF8" s="14">
        <f t="shared" si="37"/>
        <v>0.67998937683718086</v>
      </c>
      <c r="BG8" s="22">
        <f t="shared" si="7"/>
        <v>3.8893414289120436</v>
      </c>
      <c r="BH8" s="62">
        <f t="shared" si="8"/>
        <v>182.6803893053594</v>
      </c>
      <c r="BI8" s="62">
        <f ca="1">AVERAGE(OFFSET($BH$3,0,0,'Données projet'!$E$11+1,1))-AVERAGE(OFFSET($H$3,0,0,'Données projet'!$E$11+1,1))</f>
        <v>405.94837980869011</v>
      </c>
      <c r="BJ8" s="62">
        <f t="shared" si="38"/>
        <v>511.37583835090879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4.4400000000000004</v>
      </c>
      <c r="BY8" s="13">
        <f>IF('Données projet'!$A$114&gt;35,BY7+BX8-CG7,IF(A8&lt;'Données projet'!$A$114,$BV$205^A8,IF(A8='Données projet'!$A$114,'Données projet'!$B$114,BY7+BX8-CG7)))</f>
        <v>2.5648654991324507</v>
      </c>
      <c r="BZ8" s="14">
        <f>BY8*VLOOKUP('Données projet'!$B$12,Paramètres!$A$1:$I$89,3,0)*VLOOKUP('Données projet'!$B$12,Paramètres!$A$1:$I$89,5,0)</f>
        <v>2.2006545982556429</v>
      </c>
      <c r="CA8" s="14">
        <f t="shared" si="39"/>
        <v>0.92518995571297957</v>
      </c>
      <c r="CB8" s="22">
        <f t="shared" si="10"/>
        <v>5.4441792648286835</v>
      </c>
      <c r="CC8" s="62">
        <f t="shared" si="11"/>
        <v>184.23522714127603</v>
      </c>
      <c r="CD8" s="62">
        <f ca="1">AVERAGE(OFFSET($CC$3,0,0,'Données projet'!$E$12+1,1))-AVERAGE(OFFSET($H$3,0,0,'Données projet'!$E$12+1,1))</f>
        <v>590.18141384962507</v>
      </c>
      <c r="CE8" s="62">
        <f t="shared" si="40"/>
        <v>331.25104323342907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4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2.4423076923076925</v>
      </c>
      <c r="N9" s="14">
        <f>IF('Données projet'!$A$36&gt;35,N8+M9-V8,IF(A9&lt;'Données projet'!$A$36,$K$205^A9,IF(A9='Données projet'!$A$36,'Données projet'!$B$36,N8+M9-V8)))</f>
        <v>14.653846153846157</v>
      </c>
      <c r="O9" s="14">
        <f>N9*VLOOKUP('Données projet'!$B$9,Paramètres!$A$1:$I$89,3,0)*VLOOKUP('Données projet'!$B$9,Paramètres!$A$1:$I$89,5,0)</f>
        <v>13.258800000000003</v>
      </c>
      <c r="P9" s="14">
        <f t="shared" si="33"/>
        <v>4.5226897139230511</v>
      </c>
      <c r="Q9" s="22">
        <f t="shared" si="2"/>
        <v>30.969427918415988</v>
      </c>
      <c r="R9" s="62">
        <f t="shared" si="0"/>
        <v>212.43968001467496</v>
      </c>
      <c r="S9" s="62">
        <f ca="1">AVERAGE(OFFSET($R$3,0,0,'Données projet'!$E$9+1,1))-AVERAGE(OFFSET($H$3,0,0,'Données projet'!$E$9+1,1))</f>
        <v>432.80275651765203</v>
      </c>
      <c r="T9" s="62">
        <f t="shared" si="34"/>
        <v>203.89279893419919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5.8</v>
      </c>
      <c r="AI9" s="14">
        <f>IF('Données projet'!$A$62&gt;35,AI8+AH9-AQ8,IF(A9&lt;'Données projet'!$A$62,$AF$205^A9,IF(A9='Données projet'!$A$62,'Données projet'!$B$62,AI8+AH9-AQ8)))</f>
        <v>5.9677098701087665</v>
      </c>
      <c r="AJ9" s="14">
        <f>AI9*VLOOKUP('Données projet'!$B$10,Paramètres!$A$1:$I$89,3,0)*VLOOKUP('Données projet'!$B$10,Paramètres!$A$1:$I$89,5,0)</f>
        <v>5.2133913425270189</v>
      </c>
      <c r="AK9" s="14">
        <f t="shared" si="35"/>
        <v>1.9824378698032765</v>
      </c>
      <c r="AL9" s="22">
        <f t="shared" si="4"/>
        <v>12.53273587814193</v>
      </c>
      <c r="AM9" s="62">
        <f t="shared" si="5"/>
        <v>194.0029879744009</v>
      </c>
      <c r="AN9" s="62">
        <f ca="1">AVERAGE(OFFSET($AM$3,0,0,'Données projet'!$E$10+1,1))-AVERAGE(OFFSET($H$3,0,0,'Données projet'!$E$10+1,1))</f>
        <v>341.62910675299065</v>
      </c>
      <c r="AO9" s="62">
        <f t="shared" si="36"/>
        <v>407.15938341104709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14.04</v>
      </c>
      <c r="BD9" s="13">
        <f>IF('Données projet'!$A$88&gt;35,BD8+BC9-BL8,IF(A9&lt;'Données projet'!$A$88,$BA$205^A9,IF(A9='Données projet'!$A$88,'Données projet'!$B$88,BD8+BC9-BL8)))</f>
        <v>4.0820066505800598</v>
      </c>
      <c r="BE9" s="14">
        <f>BD9*VLOOKUP('Données projet'!$B$11,Paramètres!$A$1:$I$89,3,0)*VLOOKUP('Données projet'!$B$11,Paramètres!$A$1:$I$89,5,0)</f>
        <v>1.9634451989290087</v>
      </c>
      <c r="BF9" s="14">
        <f t="shared" si="37"/>
        <v>0.83649521824938233</v>
      </c>
      <c r="BG9" s="22">
        <f t="shared" si="7"/>
        <v>4.8765628932523635</v>
      </c>
      <c r="BH9" s="62">
        <f t="shared" si="8"/>
        <v>186.34681498951133</v>
      </c>
      <c r="BI9" s="62">
        <f ca="1">AVERAGE(OFFSET($BH$3,0,0,'Données projet'!$E$11+1,1))-AVERAGE(OFFSET($H$3,0,0,'Données projet'!$E$11+1,1))</f>
        <v>405.94837980869011</v>
      </c>
      <c r="BJ9" s="62">
        <f t="shared" si="38"/>
        <v>511.37583835090879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4.4400000000000004</v>
      </c>
      <c r="BY9" s="13">
        <f>IF('Données projet'!$A$114&gt;35,BY8+BX9-CG8,IF(A9&lt;'Données projet'!$A$114,$BV$205^A9,IF(A9='Données projet'!$A$114,'Données projet'!$B$114,BY8+BX9-CG8)))</f>
        <v>3.0965458499640737</v>
      </c>
      <c r="BZ9" s="14">
        <f>BY9*VLOOKUP('Données projet'!$B$12,Paramètres!$A$1:$I$89,3,0)*VLOOKUP('Données projet'!$B$12,Paramètres!$A$1:$I$89,5,0)</f>
        <v>2.6568363392691756</v>
      </c>
      <c r="CA9" s="14">
        <f t="shared" si="39"/>
        <v>1.092749973390182</v>
      </c>
      <c r="CB9" s="22">
        <f t="shared" si="10"/>
        <v>6.5305294945483814</v>
      </c>
      <c r="CC9" s="62">
        <f t="shared" si="11"/>
        <v>188.00078159080735</v>
      </c>
      <c r="CD9" s="62">
        <f ca="1">AVERAGE(OFFSET($CC$3,0,0,'Données projet'!$E$12+1,1))-AVERAGE(OFFSET($H$3,0,0,'Données projet'!$E$12+1,1))</f>
        <v>590.18141384962507</v>
      </c>
      <c r="CE9" s="62">
        <f t="shared" si="40"/>
        <v>331.25104323342907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4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2.4423076923076925</v>
      </c>
      <c r="N10" s="14">
        <f>IF('Données projet'!$A$36&gt;35,N9+M10-V9,IF(A10&lt;'Données projet'!$A$36,$K$205^A10,IF(A10='Données projet'!$A$36,'Données projet'!$B$36,N9+M10-V9)))</f>
        <v>17.09615384615385</v>
      </c>
      <c r="O10" s="14">
        <f>N10*VLOOKUP('Données projet'!$B$9,Paramètres!$A$1:$I$89,3,0)*VLOOKUP('Données projet'!$B$9,Paramètres!$A$1:$I$89,5,0)</f>
        <v>15.468600000000002</v>
      </c>
      <c r="P10" s="14">
        <f t="shared" si="33"/>
        <v>5.1826392125268077</v>
      </c>
      <c r="Q10" s="22">
        <f t="shared" si="2"/>
        <v>35.967574961817526</v>
      </c>
      <c r="R10" s="62">
        <f t="shared" si="0"/>
        <v>220.09175589755375</v>
      </c>
      <c r="S10" s="62">
        <f ca="1">AVERAGE(OFFSET($R$3,0,0,'Données projet'!$E$9+1,1))-AVERAGE(OFFSET($H$3,0,0,'Données projet'!$E$9+1,1))</f>
        <v>432.80275651765203</v>
      </c>
      <c r="T10" s="62">
        <f t="shared" si="34"/>
        <v>203.89279893419919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5.8</v>
      </c>
      <c r="AI10" s="14">
        <f>IF('Données projet'!$A$62&gt;35,AI9+AH10-AQ9,IF(A10&lt;'Données projet'!$A$62,$AF$205^A10,IF(A10='Données projet'!$A$62,'Données projet'!$B$62,AI9+AH10-AQ9)))</f>
        <v>8.0372778932539148</v>
      </c>
      <c r="AJ10" s="14">
        <f>AI10*VLOOKUP('Données projet'!$B$10,Paramètres!$A$1:$I$89,3,0)*VLOOKUP('Données projet'!$B$10,Paramètres!$A$1:$I$89,5,0)</f>
        <v>7.0213659675466209</v>
      </c>
      <c r="AK10" s="14">
        <f t="shared" si="35"/>
        <v>2.5789932139603198</v>
      </c>
      <c r="AL10" s="22">
        <f t="shared" si="4"/>
        <v>16.72062557445792</v>
      </c>
      <c r="AM10" s="62">
        <f t="shared" si="5"/>
        <v>200.84480651019416</v>
      </c>
      <c r="AN10" s="62">
        <f ca="1">AVERAGE(OFFSET($AM$3,0,0,'Données projet'!$E$10+1,1))-AVERAGE(OFFSET($H$3,0,0,'Données projet'!$E$10+1,1))</f>
        <v>341.62910675299065</v>
      </c>
      <c r="AO10" s="62">
        <f t="shared" si="36"/>
        <v>407.15938341104709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14.04</v>
      </c>
      <c r="BD10" s="13">
        <f>IF('Données projet'!$A$88&gt;35,BD9+BC10-BL9,IF(A10&lt;'Données projet'!$A$88,$BA$205^A10,IF(A10='Données projet'!$A$88,'Données projet'!$B$88,BD9+BC10-BL9)))</f>
        <v>5.1604312034932684</v>
      </c>
      <c r="BE10" s="14">
        <f>BD10*VLOOKUP('Données projet'!$B$11,Paramètres!$A$1:$I$89,3,0)*VLOOKUP('Données projet'!$B$11,Paramètres!$A$1:$I$89,5,0)</f>
        <v>2.4821674088802621</v>
      </c>
      <c r="BF10" s="14">
        <f t="shared" si="37"/>
        <v>1.0290223259202862</v>
      </c>
      <c r="BG10" s="22">
        <f t="shared" si="7"/>
        <v>6.1153221214442874</v>
      </c>
      <c r="BH10" s="62">
        <f t="shared" si="8"/>
        <v>190.23950305718051</v>
      </c>
      <c r="BI10" s="62">
        <f ca="1">AVERAGE(OFFSET($BH$3,0,0,'Données projet'!$E$11+1,1))-AVERAGE(OFFSET($H$3,0,0,'Données projet'!$E$11+1,1))</f>
        <v>405.94837980869011</v>
      </c>
      <c r="BJ10" s="62">
        <f t="shared" si="38"/>
        <v>511.37583835090879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4.4400000000000004</v>
      </c>
      <c r="BY10" s="13">
        <f>IF('Données projet'!$A$114&gt;35,BY9+BX10-CG9,IF(A10&lt;'Données projet'!$A$114,$BV$205^A10,IF(A10='Données projet'!$A$114,'Données projet'!$B$114,BY9+BX10-CG9)))</f>
        <v>3.7384401654484454</v>
      </c>
      <c r="BZ10" s="14">
        <f>BY10*VLOOKUP('Données projet'!$B$12,Paramètres!$A$1:$I$89,3,0)*VLOOKUP('Données projet'!$B$12,Paramètres!$A$1:$I$89,5,0)</f>
        <v>3.2075816619547668</v>
      </c>
      <c r="CA10" s="14">
        <f t="shared" si="39"/>
        <v>1.2906565802738657</v>
      </c>
      <c r="CB10" s="22">
        <f t="shared" si="10"/>
        <v>7.834431605214867</v>
      </c>
      <c r="CC10" s="62">
        <f t="shared" si="11"/>
        <v>191.95861254095109</v>
      </c>
      <c r="CD10" s="62">
        <f ca="1">AVERAGE(OFFSET($CC$3,0,0,'Données projet'!$E$12+1,1))-AVERAGE(OFFSET($H$3,0,0,'Données projet'!$E$12+1,1))</f>
        <v>590.18141384962507</v>
      </c>
      <c r="CE10" s="62">
        <f t="shared" si="40"/>
        <v>331.25104323342907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4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2.4423076923076925</v>
      </c>
      <c r="N11" s="14">
        <f>IF('Données projet'!$A$36&gt;35,N10+M11-V10,IF(A11&lt;'Données projet'!$A$36,$K$205^A11,IF(A11='Données projet'!$A$36,'Données projet'!$B$36,N10+M11-V10)))</f>
        <v>19.538461538461544</v>
      </c>
      <c r="O11" s="14">
        <f>N11*VLOOKUP('Données projet'!$B$9,Paramètres!$A$1:$I$89,3,0)*VLOOKUP('Données projet'!$B$9,Paramètres!$A$1:$I$89,5,0)</f>
        <v>17.678400000000003</v>
      </c>
      <c r="P11" s="14">
        <f t="shared" si="33"/>
        <v>5.8316662489990749</v>
      </c>
      <c r="Q11" s="22">
        <f t="shared" si="2"/>
        <v>40.946698717006726</v>
      </c>
      <c r="R11" s="62">
        <f t="shared" si="0"/>
        <v>227.6999715832273</v>
      </c>
      <c r="S11" s="62">
        <f ca="1">AVERAGE(OFFSET($R$3,0,0,'Données projet'!$E$9+1,1))-AVERAGE(OFFSET($H$3,0,0,'Données projet'!$E$9+1,1))</f>
        <v>432.80275651765203</v>
      </c>
      <c r="T11" s="62">
        <f t="shared" si="34"/>
        <v>203.89279893419919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5.8</v>
      </c>
      <c r="AI11" s="14">
        <f>IF('Données projet'!$A$62&gt;35,AI10+AH11-AQ10,IF(A11&lt;'Données projet'!$A$62,$AF$205^A11,IF(A11='Données projet'!$A$62,'Données projet'!$B$62,AI10+AH11-AQ10)))</f>
        <v>10.824560399115168</v>
      </c>
      <c r="AJ11" s="14">
        <f>AI11*VLOOKUP('Données projet'!$B$10,Paramètres!$A$1:$I$89,3,0)*VLOOKUP('Données projet'!$B$10,Paramètres!$A$1:$I$89,5,0)</f>
        <v>9.4563359646670122</v>
      </c>
      <c r="AK11" s="14">
        <f t="shared" si="35"/>
        <v>3.3550640345230081</v>
      </c>
      <c r="AL11" s="22">
        <f t="shared" si="4"/>
        <v>22.313188331922618</v>
      </c>
      <c r="AM11" s="62">
        <f t="shared" si="5"/>
        <v>209.06646119814317</v>
      </c>
      <c r="AN11" s="62">
        <f ca="1">AVERAGE(OFFSET($AM$3,0,0,'Données projet'!$E$10+1,1))-AVERAGE(OFFSET($H$3,0,0,'Données projet'!$E$10+1,1))</f>
        <v>341.62910675299065</v>
      </c>
      <c r="AO11" s="62">
        <f t="shared" si="36"/>
        <v>407.15938341104709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14.04</v>
      </c>
      <c r="BD11" s="13">
        <f>IF('Données projet'!$A$88&gt;35,BD10+BC11-BL10,IF(A11&lt;'Données projet'!$A$88,$BA$205^A11,IF(A11='Données projet'!$A$88,'Données projet'!$B$88,BD10+BC11-BL10)))</f>
        <v>6.523764531888455</v>
      </c>
      <c r="BE11" s="14">
        <f>BD11*VLOOKUP('Données projet'!$B$11,Paramètres!$A$1:$I$89,3,0)*VLOOKUP('Données projet'!$B$11,Paramètres!$A$1:$I$89,5,0)</f>
        <v>3.1379307398383469</v>
      </c>
      <c r="BF11" s="14">
        <f t="shared" si="37"/>
        <v>1.2658613272870043</v>
      </c>
      <c r="BG11" s="22">
        <f t="shared" si="7"/>
        <v>7.6699378502433211</v>
      </c>
      <c r="BH11" s="62">
        <f t="shared" si="8"/>
        <v>194.42321071646387</v>
      </c>
      <c r="BI11" s="62">
        <f ca="1">AVERAGE(OFFSET($BH$3,0,0,'Données projet'!$E$11+1,1))-AVERAGE(OFFSET($H$3,0,0,'Données projet'!$E$11+1,1))</f>
        <v>405.94837980869011</v>
      </c>
      <c r="BJ11" s="62">
        <f t="shared" si="38"/>
        <v>511.37583835090879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4.4400000000000004</v>
      </c>
      <c r="BY11" s="13">
        <f>IF('Données projet'!$A$114&gt;35,BY10+BX11-CG10,IF(A11&lt;'Données projet'!$A$114,$BV$205^A11,IF(A11='Données projet'!$A$114,'Données projet'!$B$114,BY10+BX11-CG10)))</f>
        <v>4.513395101448392</v>
      </c>
      <c r="BZ11" s="14">
        <f>BY11*VLOOKUP('Données projet'!$B$12,Paramètres!$A$1:$I$89,3,0)*VLOOKUP('Données projet'!$B$12,Paramètres!$A$1:$I$89,5,0)</f>
        <v>3.8724929970427202</v>
      </c>
      <c r="CA11" s="14">
        <f t="shared" si="39"/>
        <v>1.5244058099001507</v>
      </c>
      <c r="CB11" s="22">
        <f t="shared" si="10"/>
        <v>9.3995987554254992</v>
      </c>
      <c r="CC11" s="62">
        <f t="shared" si="11"/>
        <v>196.15287162164606</v>
      </c>
      <c r="CD11" s="62">
        <f ca="1">AVERAGE(OFFSET($CC$3,0,0,'Données projet'!$E$12+1,1))-AVERAGE(OFFSET($H$3,0,0,'Données projet'!$E$12+1,1))</f>
        <v>590.18141384962507</v>
      </c>
      <c r="CE11" s="62">
        <f t="shared" si="40"/>
        <v>331.25104323342907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4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2.4423076923076925</v>
      </c>
      <c r="N12" s="14">
        <f>IF('Données projet'!$A$36&gt;35,N11+M12-V11,IF(A12&lt;'Données projet'!$A$36,$K$205^A12,IF(A12='Données projet'!$A$36,'Données projet'!$B$36,N11+M12-V11)))</f>
        <v>21.980769230769237</v>
      </c>
      <c r="O12" s="14">
        <f>N12*VLOOKUP('Données projet'!$B$9,Paramètres!$A$1:$I$89,3,0)*VLOOKUP('Données projet'!$B$9,Paramètres!$A$1:$I$89,5,0)</f>
        <v>19.888200000000005</v>
      </c>
      <c r="P12" s="14">
        <f t="shared" si="33"/>
        <v>6.4712924942686927</v>
      </c>
      <c r="Q12" s="22">
        <f t="shared" si="2"/>
        <v>45.909449427517977</v>
      </c>
      <c r="R12" s="62">
        <f t="shared" si="0"/>
        <v>235.26740818007406</v>
      </c>
      <c r="S12" s="62">
        <f ca="1">AVERAGE(OFFSET($R$3,0,0,'Données projet'!$E$9+1,1))-AVERAGE(OFFSET($H$3,0,0,'Données projet'!$E$9+1,1))</f>
        <v>432.80275651765203</v>
      </c>
      <c r="T12" s="62">
        <f t="shared" si="34"/>
        <v>203.89279893419919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5.8</v>
      </c>
      <c r="AI12" s="14">
        <f>IF('Données projet'!$A$62&gt;35,AI11+AH12-AQ11,IF(A12&lt;'Données projet'!$A$62,$AF$205^A12,IF(A12='Données projet'!$A$62,'Données projet'!$B$62,AI11+AH12-AQ11)))</f>
        <v>14.578456710130657</v>
      </c>
      <c r="AJ12" s="14">
        <f>AI12*VLOOKUP('Données projet'!$B$10,Paramètres!$A$1:$I$89,3,0)*VLOOKUP('Données projet'!$B$10,Paramètres!$A$1:$I$89,5,0)</f>
        <v>12.735739781970144</v>
      </c>
      <c r="AK12" s="14">
        <f t="shared" si="35"/>
        <v>4.364670141362768</v>
      </c>
      <c r="AL12" s="22">
        <f t="shared" si="4"/>
        <v>29.783213949804821</v>
      </c>
      <c r="AM12" s="62">
        <f t="shared" si="5"/>
        <v>219.1411727023609</v>
      </c>
      <c r="AN12" s="62">
        <f ca="1">AVERAGE(OFFSET($AM$3,0,0,'Données projet'!$E$10+1,1))-AVERAGE(OFFSET($H$3,0,0,'Données projet'!$E$10+1,1))</f>
        <v>341.62910675299065</v>
      </c>
      <c r="AO12" s="62">
        <f t="shared" si="36"/>
        <v>407.15938341104709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14.04</v>
      </c>
      <c r="BD12" s="13">
        <f>IF('Données projet'!$A$88&gt;35,BD11+BC12-BL11,IF(A12&lt;'Données projet'!$A$88,$BA$205^A12,IF(A12='Données projet'!$A$88,'Données projet'!$B$88,BD11+BC12-BL11)))</f>
        <v>8.2472766304327134</v>
      </c>
      <c r="BE12" s="14">
        <f>BD12*VLOOKUP('Données projet'!$B$11,Paramètres!$A$1:$I$89,3,0)*VLOOKUP('Données projet'!$B$11,Paramètres!$A$1:$I$89,5,0)</f>
        <v>3.9669400592381354</v>
      </c>
      <c r="BF12" s="14">
        <f t="shared" si="37"/>
        <v>1.5572110143360951</v>
      </c>
      <c r="BG12" s="22">
        <f t="shared" si="7"/>
        <v>9.6212297864751175</v>
      </c>
      <c r="BH12" s="62">
        <f t="shared" si="8"/>
        <v>198.97918853903118</v>
      </c>
      <c r="BI12" s="62">
        <f ca="1">AVERAGE(OFFSET($BH$3,0,0,'Données projet'!$E$11+1,1))-AVERAGE(OFFSET($H$3,0,0,'Données projet'!$E$11+1,1))</f>
        <v>405.94837980869011</v>
      </c>
      <c r="BJ12" s="62">
        <f t="shared" si="38"/>
        <v>511.37583835090879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4.4400000000000004</v>
      </c>
      <c r="BY12" s="13">
        <f>IF('Données projet'!$A$114&gt;35,BY11+BX12-CG11,IF(A12&lt;'Données projet'!$A$114,$BV$205^A12,IF(A12='Données projet'!$A$114,'Données projet'!$B$114,BY11+BX12-CG11)))</f>
        <v>5.4489932806868309</v>
      </c>
      <c r="BZ12" s="14">
        <f>BY12*VLOOKUP('Données projet'!$B$12,Paramètres!$A$1:$I$89,3,0)*VLOOKUP('Données projet'!$B$12,Paramètres!$A$1:$I$89,5,0)</f>
        <v>4.6752362348293008</v>
      </c>
      <c r="CA12" s="14">
        <f t="shared" si="39"/>
        <v>1.80048907569529</v>
      </c>
      <c r="CB12" s="22">
        <f t="shared" si="10"/>
        <v>11.278554915830329</v>
      </c>
      <c r="CC12" s="62">
        <f t="shared" si="11"/>
        <v>200.63651366838641</v>
      </c>
      <c r="CD12" s="62">
        <f ca="1">AVERAGE(OFFSET($CC$3,0,0,'Données projet'!$E$12+1,1))-AVERAGE(OFFSET($H$3,0,0,'Données projet'!$E$12+1,1))</f>
        <v>590.18141384962507</v>
      </c>
      <c r="CE12" s="62">
        <f t="shared" si="40"/>
        <v>331.25104323342907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4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2.4423076923076925</v>
      </c>
      <c r="N13" s="14">
        <f>IF('Données projet'!$A$36&gt;35,N12+M13-V12,IF(A13&lt;'Données projet'!$A$36,$K$205^A13,IF(A13='Données projet'!$A$36,'Données projet'!$B$36,N12+M13-V12)))</f>
        <v>24.42307692307693</v>
      </c>
      <c r="O13" s="14">
        <f>N13*VLOOKUP('Données projet'!$B$9,Paramètres!$A$1:$I$89,3,0)*VLOOKUP('Données projet'!$B$9,Paramètres!$A$1:$I$89,5,0)</f>
        <v>22.098000000000006</v>
      </c>
      <c r="P13" s="14">
        <f t="shared" si="33"/>
        <v>7.1026816326084523</v>
      </c>
      <c r="Q13" s="22">
        <f t="shared" si="2"/>
        <v>50.857853843459729</v>
      </c>
      <c r="R13" s="62">
        <f t="shared" si="0"/>
        <v>242.79651582850462</v>
      </c>
      <c r="S13" s="62">
        <f ca="1">AVERAGE(OFFSET($R$3,0,0,'Données projet'!$E$9+1,1))-AVERAGE(OFFSET($H$3,0,0,'Données projet'!$E$9+1,1))</f>
        <v>432.80275651765203</v>
      </c>
      <c r="T13" s="62">
        <f t="shared" si="34"/>
        <v>203.89279893419919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5.8</v>
      </c>
      <c r="AI13" s="14">
        <f>IF('Données projet'!$A$62&gt;35,AI12+AH13-AQ12,IF(A13&lt;'Données projet'!$A$62,$AF$205^A13,IF(A13='Données projet'!$A$62,'Données projet'!$B$62,AI12+AH13-AQ12)))</f>
        <v>19.634183025716826</v>
      </c>
      <c r="AJ13" s="14">
        <f>AI13*VLOOKUP('Données projet'!$B$10,Paramètres!$A$1:$I$89,3,0)*VLOOKUP('Données projet'!$B$10,Paramètres!$A$1:$I$89,5,0)</f>
        <v>17.152422291266223</v>
      </c>
      <c r="AK13" s="14">
        <f t="shared" si="35"/>
        <v>5.678086989362658</v>
      </c>
      <c r="AL13" s="22">
        <f t="shared" si="4"/>
        <v>39.763136997095295</v>
      </c>
      <c r="AM13" s="62">
        <f t="shared" si="5"/>
        <v>231.70179898214019</v>
      </c>
      <c r="AN13" s="62">
        <f ca="1">AVERAGE(OFFSET($AM$3,0,0,'Données projet'!$E$10+1,1))-AVERAGE(OFFSET($H$3,0,0,'Données projet'!$E$10+1,1))</f>
        <v>341.62910675299065</v>
      </c>
      <c r="AO13" s="62">
        <f t="shared" si="36"/>
        <v>407.15938341104709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14.04</v>
      </c>
      <c r="BD13" s="13">
        <f>IF('Données projet'!$A$88&gt;35,BD12+BC13-BL12,IF(A13&lt;'Données projet'!$A$88,$BA$205^A13,IF(A13='Données projet'!$A$88,'Données projet'!$B$88,BD12+BC13-BL12)))</f>
        <v>10.426123059225789</v>
      </c>
      <c r="BE13" s="14">
        <f>BD13*VLOOKUP('Données projet'!$B$11,Paramètres!$A$1:$I$89,3,0)*VLOOKUP('Données projet'!$B$11,Paramètres!$A$1:$I$89,5,0)</f>
        <v>5.0149651914876046</v>
      </c>
      <c r="BF13" s="14">
        <f t="shared" si="37"/>
        <v>1.915617525315124</v>
      </c>
      <c r="BG13" s="22">
        <f t="shared" si="7"/>
        <v>12.070764898431419</v>
      </c>
      <c r="BH13" s="62">
        <f t="shared" si="8"/>
        <v>204.00942688347629</v>
      </c>
      <c r="BI13" s="62">
        <f ca="1">AVERAGE(OFFSET($BH$3,0,0,'Données projet'!$E$11+1,1))-AVERAGE(OFFSET($H$3,0,0,'Données projet'!$E$11+1,1))</f>
        <v>405.94837980869011</v>
      </c>
      <c r="BJ13" s="62">
        <f t="shared" si="38"/>
        <v>511.37583835090879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4.4400000000000004</v>
      </c>
      <c r="BY13" s="13">
        <f>IF('Données projet'!$A$114&gt;35,BY12+BX13-CG12,IF(A13&lt;'Données projet'!$A$114,$BV$205^A13,IF(A13='Données projet'!$A$114,'Données projet'!$B$114,BY12+BX13-CG12)))</f>
        <v>6.5785350286399549</v>
      </c>
      <c r="BZ13" s="14">
        <f>BY13*VLOOKUP('Données projet'!$B$12,Paramètres!$A$1:$I$89,3,0)*VLOOKUP('Données projet'!$B$12,Paramètres!$A$1:$I$89,5,0)</f>
        <v>5.6443830545730815</v>
      </c>
      <c r="CA13" s="14">
        <f t="shared" si="39"/>
        <v>2.1265734430062397</v>
      </c>
      <c r="CB13" s="22">
        <f t="shared" si="10"/>
        <v>13.534415899950652</v>
      </c>
      <c r="CC13" s="62">
        <f t="shared" si="11"/>
        <v>205.47307788499555</v>
      </c>
      <c r="CD13" s="62">
        <f ca="1">AVERAGE(OFFSET($CC$3,0,0,'Données projet'!$E$12+1,1))-AVERAGE(OFFSET($H$3,0,0,'Données projet'!$E$12+1,1))</f>
        <v>590.18141384962507</v>
      </c>
      <c r="CE13" s="62">
        <f t="shared" si="40"/>
        <v>331.25104323342907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4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2.4423076923076925</v>
      </c>
      <c r="N14" s="14">
        <f>IF('Données projet'!$A$36&gt;35,N13+M14-V13,IF(A14&lt;'Données projet'!$A$36,$K$205^A14,IF(A14='Données projet'!$A$36,'Données projet'!$B$36,N13+M14-V13)))</f>
        <v>26.865384615384624</v>
      </c>
      <c r="O14" s="14">
        <f>N14*VLOOKUP('Données projet'!$B$9,Paramètres!$A$1:$I$89,3,0)*VLOOKUP('Données projet'!$B$9,Paramètres!$A$1:$I$89,5,0)</f>
        <v>24.307800000000007</v>
      </c>
      <c r="P14" s="14">
        <f t="shared" si="33"/>
        <v>7.7267511435768368</v>
      </c>
      <c r="Q14" s="22">
        <f t="shared" si="2"/>
        <v>55.793509908396324</v>
      </c>
      <c r="R14" s="62">
        <f t="shared" si="0"/>
        <v>250.28930851751045</v>
      </c>
      <c r="S14" s="62">
        <f ca="1">AVERAGE(OFFSET($R$3,0,0,'Données projet'!$E$9+1,1))-AVERAGE(OFFSET($H$3,0,0,'Données projet'!$E$9+1,1))</f>
        <v>432.80275651765203</v>
      </c>
      <c r="T14" s="62">
        <f t="shared" si="34"/>
        <v>203.89279893419919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5.8</v>
      </c>
      <c r="AI14" s="14">
        <f>IF('Données projet'!$A$62&gt;35,AI13+AH14-AQ13,IF(A14&lt;'Données projet'!$A$62,$AF$205^A14,IF(A14='Données projet'!$A$62,'Données projet'!$B$62,AI13+AH14-AQ13)))</f>
        <v>26.443206626903088</v>
      </c>
      <c r="AJ14" s="14">
        <f>AI14*VLOOKUP('Données projet'!$B$10,Paramètres!$A$1:$I$89,3,0)*VLOOKUP('Données projet'!$B$10,Paramètres!$A$1:$I$89,5,0)</f>
        <v>23.100785309262541</v>
      </c>
      <c r="AK14" s="14">
        <f t="shared" si="35"/>
        <v>7.3867373282653306</v>
      </c>
      <c r="AL14" s="22">
        <f t="shared" si="4"/>
        <v>53.099101927027704</v>
      </c>
      <c r="AM14" s="62">
        <f t="shared" si="5"/>
        <v>247.59490053614184</v>
      </c>
      <c r="AN14" s="62">
        <f ca="1">AVERAGE(OFFSET($AM$3,0,0,'Données projet'!$E$10+1,1))-AVERAGE(OFFSET($H$3,0,0,'Données projet'!$E$10+1,1))</f>
        <v>341.62910675299065</v>
      </c>
      <c r="AO14" s="62">
        <f t="shared" si="36"/>
        <v>407.15938341104709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14.04</v>
      </c>
      <c r="BD14" s="13">
        <f>IF('Données projet'!$A$88&gt;35,BD13+BC14-BL13,IF(A14&lt;'Données projet'!$A$88,$BA$205^A14,IF(A14='Données projet'!$A$88,'Données projet'!$B$88,BD13+BC14-BL13)))</f>
        <v>13.180598507511966</v>
      </c>
      <c r="BE14" s="14">
        <f>BD14*VLOOKUP('Données projet'!$B$11,Paramètres!$A$1:$I$89,3,0)*VLOOKUP('Données projet'!$B$11,Paramètres!$A$1:$I$89,5,0)</f>
        <v>6.3398678821132561</v>
      </c>
      <c r="BF14" s="14">
        <f t="shared" si="37"/>
        <v>2.3565146081752717</v>
      </c>
      <c r="BG14" s="22">
        <f t="shared" si="7"/>
        <v>15.146199503919187</v>
      </c>
      <c r="BH14" s="62">
        <f t="shared" si="8"/>
        <v>209.64199811303331</v>
      </c>
      <c r="BI14" s="62">
        <f ca="1">AVERAGE(OFFSET($BH$3,0,0,'Données projet'!$E$11+1,1))-AVERAGE(OFFSET($H$3,0,0,'Données projet'!$E$11+1,1))</f>
        <v>405.94837980869011</v>
      </c>
      <c r="BJ14" s="62">
        <f t="shared" si="38"/>
        <v>511.37583835090879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4.4400000000000004</v>
      </c>
      <c r="BY14" s="13">
        <f>IF('Données projet'!$A$114&gt;35,BY13+BX14-CG13,IF(A14&lt;'Données projet'!$A$114,$BV$205^A14,IF(A14='Données projet'!$A$114,'Données projet'!$B$114,BY13+BX14-CG13)))</f>
        <v>7.9422236170546228</v>
      </c>
      <c r="BZ14" s="14">
        <f>BY14*VLOOKUP('Données projet'!$B$12,Paramètres!$A$1:$I$89,3,0)*VLOOKUP('Données projet'!$B$12,Paramètres!$A$1:$I$89,5,0)</f>
        <v>6.8144278634328677</v>
      </c>
      <c r="CA14" s="14">
        <f t="shared" si="39"/>
        <v>2.5117145499775071</v>
      </c>
      <c r="CB14" s="22">
        <f t="shared" si="10"/>
        <v>16.243031370023068</v>
      </c>
      <c r="CC14" s="62">
        <f t="shared" si="11"/>
        <v>210.73882997913719</v>
      </c>
      <c r="CD14" s="62">
        <f ca="1">AVERAGE(OFFSET($CC$3,0,0,'Données projet'!$E$12+1,1))-AVERAGE(OFFSET($H$3,0,0,'Données projet'!$E$12+1,1))</f>
        <v>590.18141384962507</v>
      </c>
      <c r="CE14" s="62">
        <f t="shared" si="40"/>
        <v>331.25104323342907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4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2.4423076923076925</v>
      </c>
      <c r="N15" s="14">
        <f>IF('Données projet'!$A$36&gt;35,N14+M15-V14,IF(A15&lt;'Données projet'!$A$36,$K$205^A15,IF(A15='Données projet'!$A$36,'Données projet'!$B$36,N14+M15-V14)))</f>
        <v>29.307692307692317</v>
      </c>
      <c r="O15" s="14">
        <f>N15*VLOOKUP('Données projet'!$B$9,Paramètres!$A$1:$I$89,3,0)*VLOOKUP('Données projet'!$B$9,Paramètres!$A$1:$I$89,5,0)</f>
        <v>26.517600000000009</v>
      </c>
      <c r="P15" s="14">
        <f t="shared" si="33"/>
        <v>8.3442421243381961</v>
      </c>
      <c r="Q15" s="22">
        <f t="shared" si="2"/>
        <v>60.717708366555691</v>
      </c>
      <c r="R15" s="62">
        <f t="shared" si="0"/>
        <v>257.74748581928856</v>
      </c>
      <c r="S15" s="62">
        <f ca="1">AVERAGE(OFFSET($R$3,0,0,'Données projet'!$E$9+1,1))-AVERAGE(OFFSET($H$3,0,0,'Données projet'!$E$9+1,1))</f>
        <v>432.80275651765203</v>
      </c>
      <c r="T15" s="62">
        <f t="shared" si="34"/>
        <v>203.89279893419919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5.8</v>
      </c>
      <c r="AI15" s="14">
        <f>IF('Données projet'!$A$62&gt;35,AI14+AH15-AQ14,IF(A15&lt;'Données projet'!$A$62,$AF$205^A15,IF(A15='Données projet'!$A$62,'Données projet'!$B$62,AI14+AH15-AQ14)))</f>
        <v>35.613561093793592</v>
      </c>
      <c r="AJ15" s="14">
        <f>AI15*VLOOKUP('Données projet'!$B$10,Paramètres!$A$1:$I$89,3,0)*VLOOKUP('Données projet'!$B$10,Paramètres!$A$1:$I$89,5,0)</f>
        <v>31.112006971538086</v>
      </c>
      <c r="AK15" s="14">
        <f t="shared" si="35"/>
        <v>9.6095548481396289</v>
      </c>
      <c r="AL15" s="22">
        <f t="shared" si="4"/>
        <v>70.9233868359387</v>
      </c>
      <c r="AM15" s="62">
        <f t="shared" si="5"/>
        <v>267.95316428867159</v>
      </c>
      <c r="AN15" s="62">
        <f ca="1">AVERAGE(OFFSET($AM$3,0,0,'Données projet'!$E$10+1,1))-AVERAGE(OFFSET($H$3,0,0,'Données projet'!$E$10+1,1))</f>
        <v>341.62910675299065</v>
      </c>
      <c r="AO15" s="62">
        <f t="shared" si="36"/>
        <v>407.15938341104709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14.04</v>
      </c>
      <c r="BD15" s="13">
        <f>IF('Données projet'!$A$88&gt;35,BD14+BC15-BL14,IF(A15&lt;'Données projet'!$A$88,$BA$205^A15,IF(A15='Données projet'!$A$88,'Données projet'!$B$88,BD14+BC15-BL14)))</f>
        <v>16.662778295379837</v>
      </c>
      <c r="BE15" s="14">
        <f>BD15*VLOOKUP('Données projet'!$B$11,Paramètres!$A$1:$I$89,3,0)*VLOOKUP('Données projet'!$B$11,Paramètres!$A$1:$I$89,5,0)</f>
        <v>8.0147963600777032</v>
      </c>
      <c r="BF15" s="14">
        <f t="shared" si="37"/>
        <v>2.8988882306398538</v>
      </c>
      <c r="BG15" s="22">
        <f t="shared" si="7"/>
        <v>19.00800066216641</v>
      </c>
      <c r="BH15" s="62">
        <f t="shared" si="8"/>
        <v>216.03777811489928</v>
      </c>
      <c r="BI15" s="62">
        <f ca="1">AVERAGE(OFFSET($BH$3,0,0,'Données projet'!$E$11+1,1))-AVERAGE(OFFSET($H$3,0,0,'Données projet'!$E$11+1,1))</f>
        <v>405.94837980869011</v>
      </c>
      <c r="BJ15" s="62">
        <f t="shared" si="38"/>
        <v>511.37583835090879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4.4400000000000004</v>
      </c>
      <c r="BY15" s="13">
        <f>IF('Données projet'!$A$114&gt;35,BY14+BX15-CG14,IF(A15&lt;'Données projet'!$A$114,$BV$205^A15,IF(A15='Données projet'!$A$114,'Données projet'!$B$114,BY14+BX15-CG14)))</f>
        <v>9.588596200929727</v>
      </c>
      <c r="BZ15" s="14">
        <f>BY15*VLOOKUP('Données projet'!$B$12,Paramètres!$A$1:$I$89,3,0)*VLOOKUP('Données projet'!$B$12,Paramètres!$A$1:$I$89,5,0)</f>
        <v>8.2270155403977068</v>
      </c>
      <c r="CA15" s="14">
        <f t="shared" si="39"/>
        <v>2.9666080902667415</v>
      </c>
      <c r="CB15" s="22">
        <f t="shared" si="10"/>
        <v>19.495561156740578</v>
      </c>
      <c r="CC15" s="62">
        <f t="shared" si="11"/>
        <v>216.52533860947347</v>
      </c>
      <c r="CD15" s="62">
        <f ca="1">AVERAGE(OFFSET($CC$3,0,0,'Données projet'!$E$12+1,1))-AVERAGE(OFFSET($H$3,0,0,'Données projet'!$E$12+1,1))</f>
        <v>590.18141384962507</v>
      </c>
      <c r="CE15" s="62">
        <f t="shared" si="40"/>
        <v>331.25104323342907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4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2.4423076923076925</v>
      </c>
      <c r="N16" s="14">
        <f>IF('Données projet'!$A$36&gt;35,N15+M16-V15,IF(A16&lt;'Données projet'!$A$36,$K$205^A16,IF(A16='Données projet'!$A$36,'Données projet'!$B$36,N15+M16-V15)))</f>
        <v>31.750000000000011</v>
      </c>
      <c r="O16" s="14">
        <f>N16*VLOOKUP('Données projet'!$B$9,Paramètres!$A$1:$I$89,3,0)*VLOOKUP('Données projet'!$B$9,Paramètres!$A$1:$I$89,5,0)</f>
        <v>28.72740000000001</v>
      </c>
      <c r="P16" s="14">
        <f t="shared" si="33"/>
        <v>8.9557651124482707</v>
      </c>
      <c r="Q16" s="22">
        <f t="shared" si="2"/>
        <v>65.63151257084742</v>
      </c>
      <c r="R16" s="62">
        <f t="shared" si="0"/>
        <v>265.17251282246622</v>
      </c>
      <c r="S16" s="62">
        <f ca="1">AVERAGE(OFFSET($R$3,0,0,'Données projet'!$E$9+1,1))-AVERAGE(OFFSET($H$3,0,0,'Données projet'!$E$9+1,1))</f>
        <v>432.80275651765203</v>
      </c>
      <c r="T16" s="62">
        <f t="shared" si="34"/>
        <v>203.89279893419919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5.8</v>
      </c>
      <c r="AI16" s="14">
        <f>IF('Données projet'!$A$62&gt;35,AI15+AH16-AQ15,IF(A16&lt;'Données projet'!$A$62,$AF$205^A16,IF(A16='Données projet'!$A$62,'Données projet'!$B$62,AI15+AH16-AQ15)))</f>
        <v>47.964142612378375</v>
      </c>
      <c r="AJ16" s="14">
        <f>AI16*VLOOKUP('Données projet'!$B$10,Paramètres!$A$1:$I$89,3,0)*VLOOKUP('Données projet'!$B$10,Paramètres!$A$1:$I$89,5,0)</f>
        <v>41.901474986173753</v>
      </c>
      <c r="AK16" s="14">
        <f t="shared" si="35"/>
        <v>12.501262773491545</v>
      </c>
      <c r="AL16" s="22">
        <f t="shared" si="4"/>
        <v>94.751434931417066</v>
      </c>
      <c r="AM16" s="62">
        <f t="shared" si="5"/>
        <v>294.29243518303588</v>
      </c>
      <c r="AN16" s="62">
        <f ca="1">AVERAGE(OFFSET($AM$3,0,0,'Données projet'!$E$10+1,1))-AVERAGE(OFFSET($H$3,0,0,'Données projet'!$E$10+1,1))</f>
        <v>341.62910675299065</v>
      </c>
      <c r="AO16" s="62">
        <f t="shared" si="36"/>
        <v>407.15938341104709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14.04</v>
      </c>
      <c r="BD16" s="13">
        <f>IF('Données projet'!$A$88&gt;35,BD15+BC16-BL15,IF(A16&lt;'Données projet'!$A$88,$BA$205^A16,IF(A16='Données projet'!$A$88,'Données projet'!$B$88,BD15+BC16-BL15)))</f>
        <v>21.064914492520384</v>
      </c>
      <c r="BE16" s="14">
        <f>BD16*VLOOKUP('Données projet'!$B$11,Paramètres!$A$1:$I$89,3,0)*VLOOKUP('Données projet'!$B$11,Paramètres!$A$1:$I$89,5,0)</f>
        <v>10.132223870902305</v>
      </c>
      <c r="BF16" s="14">
        <f t="shared" si="37"/>
        <v>3.5660941564242687</v>
      </c>
      <c r="BG16" s="22">
        <f t="shared" si="7"/>
        <v>23.857903897593783</v>
      </c>
      <c r="BH16" s="62">
        <f t="shared" si="8"/>
        <v>223.3989041492126</v>
      </c>
      <c r="BI16" s="62">
        <f ca="1">AVERAGE(OFFSET($BH$3,0,0,'Données projet'!$E$11+1,1))-AVERAGE(OFFSET($H$3,0,0,'Données projet'!$E$11+1,1))</f>
        <v>405.94837980869011</v>
      </c>
      <c r="BJ16" s="62">
        <f t="shared" si="38"/>
        <v>511.37583835090879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4.4400000000000004</v>
      </c>
      <c r="BY16" s="13">
        <f>IF('Données projet'!$A$114&gt;35,BY15+BX16-CG15,IF(A16&lt;'Données projet'!$A$114,$BV$205^A16,IF(A16='Données projet'!$A$114,'Données projet'!$B$114,BY15+BX16-CG15)))</f>
        <v>11.576251379658387</v>
      </c>
      <c r="BZ16" s="14">
        <f>BY16*VLOOKUP('Données projet'!$B$12,Paramètres!$A$1:$I$89,3,0)*VLOOKUP('Données projet'!$B$12,Paramètres!$A$1:$I$89,5,0)</f>
        <v>9.9324236837468973</v>
      </c>
      <c r="CA16" s="14">
        <f t="shared" si="39"/>
        <v>3.5038868414863837</v>
      </c>
      <c r="CB16" s="22">
        <f t="shared" si="10"/>
        <v>23.401574164781298</v>
      </c>
      <c r="CC16" s="62">
        <f t="shared" si="11"/>
        <v>222.94257441640011</v>
      </c>
      <c r="CD16" s="62">
        <f ca="1">AVERAGE(OFFSET($CC$3,0,0,'Données projet'!$E$12+1,1))-AVERAGE(OFFSET($H$3,0,0,'Données projet'!$E$12+1,1))</f>
        <v>590.18141384962507</v>
      </c>
      <c r="CE16" s="62">
        <f t="shared" si="40"/>
        <v>331.25104323342907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4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2.4423076923076925</v>
      </c>
      <c r="N17" s="14">
        <f>IF('Données projet'!$A$36&gt;35,N16+M17-V16,IF(A17&lt;'Données projet'!$A$36,$K$205^A17,IF(A17='Données projet'!$A$36,'Données projet'!$B$36,N16+M17-V16)))</f>
        <v>34.192307692307701</v>
      </c>
      <c r="O17" s="14">
        <f>N17*VLOOKUP('Données projet'!$B$9,Paramètres!$A$1:$I$89,3,0)*VLOOKUP('Données projet'!$B$9,Paramètres!$A$1:$I$89,5,0)</f>
        <v>30.937200000000004</v>
      </c>
      <c r="P17" s="14">
        <f t="shared" si="33"/>
        <v>9.5618313808447351</v>
      </c>
      <c r="Q17" s="22">
        <f t="shared" si="2"/>
        <v>70.535812988304585</v>
      </c>
      <c r="R17" s="62">
        <f t="shared" si="0"/>
        <v>272.56567476057779</v>
      </c>
      <c r="S17" s="62">
        <f ca="1">AVERAGE(OFFSET($R$3,0,0,'Données projet'!$E$9+1,1))-AVERAGE(OFFSET($H$3,0,0,'Données projet'!$E$9+1,1))</f>
        <v>432.80275651765203</v>
      </c>
      <c r="T17" s="62">
        <f t="shared" si="34"/>
        <v>203.89279893419919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5.8</v>
      </c>
      <c r="AI17" s="14">
        <f>IF('Données projet'!$A$62&gt;35,AI16+AH17-AQ16,IF(A17&lt;'Données projet'!$A$62,$AF$205^A17,IF(A17='Données projet'!$A$62,'Données projet'!$B$62,AI16+AH17-AQ16)))</f>
        <v>64.597835933388069</v>
      </c>
      <c r="AJ17" s="14">
        <f>AI17*VLOOKUP('Données projet'!$B$10,Paramètres!$A$1:$I$89,3,0)*VLOOKUP('Données projet'!$B$10,Paramètres!$A$1:$I$89,5,0)</f>
        <v>56.432669471407827</v>
      </c>
      <c r="AK17" s="14">
        <f t="shared" si="35"/>
        <v>16.263143652501352</v>
      </c>
      <c r="AL17" s="22">
        <f t="shared" si="4"/>
        <v>126.61187452414181</v>
      </c>
      <c r="AM17" s="62">
        <f t="shared" si="5"/>
        <v>328.64173629641499</v>
      </c>
      <c r="AN17" s="62">
        <f ca="1">AVERAGE(OFFSET($AM$3,0,0,'Données projet'!$E$10+1,1))-AVERAGE(OFFSET($H$3,0,0,'Données projet'!$E$10+1,1))</f>
        <v>341.62910675299065</v>
      </c>
      <c r="AO17" s="62">
        <f t="shared" si="36"/>
        <v>407.15938341104709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14.04</v>
      </c>
      <c r="BD17" s="13">
        <f>IF('Données projet'!$A$88&gt;35,BD16+BC17-BL16,IF(A17&lt;'Données projet'!$A$88,$BA$205^A17,IF(A17='Données projet'!$A$88,'Données projet'!$B$88,BD16+BC17-BL16)))</f>
        <v>26.630050205986983</v>
      </c>
      <c r="BE17" s="14">
        <f>BD17*VLOOKUP('Données projet'!$B$11,Paramètres!$A$1:$I$89,3,0)*VLOOKUP('Données projet'!$B$11,Paramètres!$A$1:$I$89,5,0)</f>
        <v>12.80905414907974</v>
      </c>
      <c r="BF17" s="14">
        <f t="shared" si="37"/>
        <v>4.3868636941812564</v>
      </c>
      <c r="BG17" s="22">
        <f t="shared" si="7"/>
        <v>29.949556910346235</v>
      </c>
      <c r="BH17" s="62">
        <f t="shared" si="8"/>
        <v>231.97941868261944</v>
      </c>
      <c r="BI17" s="62">
        <f ca="1">AVERAGE(OFFSET($BH$3,0,0,'Données projet'!$E$11+1,1))-AVERAGE(OFFSET($H$3,0,0,'Données projet'!$E$11+1,1))</f>
        <v>405.94837980869011</v>
      </c>
      <c r="BJ17" s="62">
        <f t="shared" si="38"/>
        <v>511.37583835090879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4.4400000000000004</v>
      </c>
      <c r="BY17" s="13">
        <f>IF('Données projet'!$A$114&gt;35,BY16+BX17-CG16,IF(A17&lt;'Données projet'!$A$114,$BV$205^A17,IF(A17='Données projet'!$A$114,'Données projet'!$B$114,BY16+BX17-CG16)))</f>
        <v>13.975934870638197</v>
      </c>
      <c r="BZ17" s="14">
        <f>BY17*VLOOKUP('Données projet'!$B$12,Paramètres!$A$1:$I$89,3,0)*VLOOKUP('Données projet'!$B$12,Paramètres!$A$1:$I$89,5,0)</f>
        <v>11.991352119007574</v>
      </c>
      <c r="CA17" s="14">
        <f t="shared" si="39"/>
        <v>4.1384714881019322</v>
      </c>
      <c r="CB17" s="22">
        <f t="shared" si="10"/>
        <v>28.092776115715726</v>
      </c>
      <c r="CC17" s="62">
        <f t="shared" si="11"/>
        <v>230.12263788798893</v>
      </c>
      <c r="CD17" s="62">
        <f ca="1">AVERAGE(OFFSET($CC$3,0,0,'Données projet'!$E$12+1,1))-AVERAGE(OFFSET($H$3,0,0,'Données projet'!$E$12+1,1))</f>
        <v>590.18141384962507</v>
      </c>
      <c r="CE17" s="62">
        <f t="shared" si="40"/>
        <v>331.25104323342907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4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2.4423076923076925</v>
      </c>
      <c r="N18" s="14">
        <f>IF('Données projet'!$A$36&gt;35,N17+M18-V17,IF(A18&lt;'Données projet'!$A$36,$K$205^A18,IF(A18='Données projet'!$A$36,'Données projet'!$B$36,N17+M18-V17)))</f>
        <v>36.634615384615394</v>
      </c>
      <c r="O18" s="14">
        <f>N18*VLOOKUP('Données projet'!$B$9,Paramètres!$A$1:$I$89,3,0)*VLOOKUP('Données projet'!$B$9,Paramètres!$A$1:$I$89,5,0)</f>
        <v>33.147000000000006</v>
      </c>
      <c r="P18" s="14">
        <f t="shared" si="33"/>
        <v>10.162875024740465</v>
      </c>
      <c r="Q18" s="22">
        <f t="shared" si="2"/>
        <v>75.431365668089654</v>
      </c>
      <c r="R18" s="62">
        <f t="shared" si="0"/>
        <v>279.92811560097073</v>
      </c>
      <c r="S18" s="62">
        <f ca="1">AVERAGE(OFFSET($R$3,0,0,'Données projet'!$E$9+1,1))-AVERAGE(OFFSET($H$3,0,0,'Données projet'!$E$9+1,1))</f>
        <v>432.80275651765203</v>
      </c>
      <c r="T18" s="62">
        <f t="shared" si="34"/>
        <v>203.89279893419919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87</v>
      </c>
      <c r="AG18" s="13">
        <f>VLOOKUP(A18,'Données projet'!$A$61:$I$81,9,0)</f>
        <v>5.8</v>
      </c>
      <c r="AH18" s="13">
        <f t="array" ref="AH18">INDEX(AG:AG,MIN(IF(ISNUMBER(AG18:AG214),ROW(AG18:AG214),"")))</f>
        <v>5.8</v>
      </c>
      <c r="AI18" s="14">
        <f>IF('Données projet'!$A$62&gt;35,AI17+AH18-AQ17,IF(A18&lt;'Données projet'!$A$62,$AF$205^A18,IF(A18='Données projet'!$A$62,'Données projet'!$B$62,AI17+AH18-AQ17)))</f>
        <v>87</v>
      </c>
      <c r="AJ18" s="14">
        <f>AI18*VLOOKUP('Données projet'!$B$10,Paramètres!$A$1:$I$89,3,0)*VLOOKUP('Données projet'!$B$10,Paramètres!$A$1:$I$89,5,0)</f>
        <v>76.003200000000007</v>
      </c>
      <c r="AK18" s="14">
        <f t="shared" si="35"/>
        <v>21.157049992000456</v>
      </c>
      <c r="AL18" s="22">
        <f t="shared" si="4"/>
        <v>169.22076873606747</v>
      </c>
      <c r="AM18" s="62">
        <f t="shared" si="5"/>
        <v>373.71751866894851</v>
      </c>
      <c r="AN18" s="62">
        <f ca="1">AVERAGE(OFFSET($AM$3,0,0,'Données projet'!$E$10+1,1))-AVERAGE(OFFSET($H$3,0,0,'Données projet'!$E$10+1,1))</f>
        <v>341.62910675299065</v>
      </c>
      <c r="AO18" s="62">
        <f t="shared" si="36"/>
        <v>407.15938341104709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21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14.04</v>
      </c>
      <c r="BD18" s="13">
        <f>IF('Données projet'!$A$88&gt;35,BD17+BC18-BL17,IF(A18&lt;'Données projet'!$A$88,$BA$205^A18,IF(A18='Données projet'!$A$88,'Données projet'!$B$88,BD17+BC18-BL17)))</f>
        <v>33.665438054599839</v>
      </c>
      <c r="BE18" s="14">
        <f>BD18*VLOOKUP('Données projet'!$B$11,Paramètres!$A$1:$I$89,3,0)*VLOOKUP('Données projet'!$B$11,Paramètres!$A$1:$I$89,5,0)</f>
        <v>16.193075704262522</v>
      </c>
      <c r="BF18" s="14">
        <f t="shared" si="37"/>
        <v>5.396540928863808</v>
      </c>
      <c r="BG18" s="22">
        <f t="shared" si="7"/>
        <v>37.601915636028352</v>
      </c>
      <c r="BH18" s="62">
        <f t="shared" si="8"/>
        <v>242.09866556890938</v>
      </c>
      <c r="BI18" s="62">
        <f ca="1">AVERAGE(OFFSET($BH$3,0,0,'Données projet'!$E$11+1,1))-AVERAGE(OFFSET($H$3,0,0,'Données projet'!$E$11+1,1))</f>
        <v>405.94837980869011</v>
      </c>
      <c r="BJ18" s="62">
        <f t="shared" si="38"/>
        <v>511.37583835090879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4.4400000000000004</v>
      </c>
      <c r="BY18" s="13">
        <f>IF('Données projet'!$A$114&gt;35,BY17+BX18-CG17,IF(A18&lt;'Données projet'!$A$114,$BV$205^A18,IF(A18='Données projet'!$A$114,'Données projet'!$B$114,BY17+BX18-CG17)))</f>
        <v>16.873057529792931</v>
      </c>
      <c r="BZ18" s="14">
        <f>BY18*VLOOKUP('Données projet'!$B$12,Paramètres!$A$1:$I$89,3,0)*VLOOKUP('Données projet'!$B$12,Paramètres!$A$1:$I$89,5,0)</f>
        <v>14.477083360562336</v>
      </c>
      <c r="CA18" s="14">
        <f t="shared" si="39"/>
        <v>4.8879849814348431</v>
      </c>
      <c r="CB18" s="22">
        <f t="shared" si="10"/>
        <v>33.72749402897842</v>
      </c>
      <c r="CC18" s="62">
        <f t="shared" si="11"/>
        <v>238.22424396185946</v>
      </c>
      <c r="CD18" s="62">
        <f ca="1">AVERAGE(OFFSET($CC$3,0,0,'Données projet'!$E$12+1,1))-AVERAGE(OFFSET($H$3,0,0,'Données projet'!$E$12+1,1))</f>
        <v>590.18141384962507</v>
      </c>
      <c r="CE18" s="62">
        <f t="shared" si="40"/>
        <v>331.25104323342907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4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2.4423076923076925</v>
      </c>
      <c r="N19" s="14">
        <f>IF('Données projet'!$A$36&gt;35,N18+M19-V18,IF(A19&lt;'Données projet'!$A$36,$K$205^A19,IF(A19='Données projet'!$A$36,'Données projet'!$B$36,N18+M19-V18)))</f>
        <v>39.076923076923087</v>
      </c>
      <c r="O19" s="14">
        <f>N19*VLOOKUP('Données projet'!$B$9,Paramètres!$A$1:$I$89,3,0)*VLOOKUP('Données projet'!$B$9,Paramètres!$A$1:$I$89,5,0)</f>
        <v>35.356800000000007</v>
      </c>
      <c r="P19" s="14">
        <f t="shared" si="33"/>
        <v>10.759268985483914</v>
      </c>
      <c r="Q19" s="22">
        <f t="shared" si="2"/>
        <v>80.318820149717823</v>
      </c>
      <c r="R19" s="62">
        <f t="shared" si="0"/>
        <v>287.26086607183186</v>
      </c>
      <c r="S19" s="62">
        <f ca="1">AVERAGE(OFFSET($R$3,0,0,'Données projet'!$E$9+1,1))-AVERAGE(OFFSET($H$3,0,0,'Données projet'!$E$9+1,1))</f>
        <v>432.80275651765203</v>
      </c>
      <c r="T19" s="62">
        <f t="shared" si="34"/>
        <v>203.89279893419919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14.2</v>
      </c>
      <c r="AI19" s="14">
        <f>IF('Données projet'!$A$62&gt;35,AI18+AH19-AQ18,IF(A19&lt;'Données projet'!$A$62,$AF$205^A19,IF(A19='Données projet'!$A$62,'Données projet'!$B$62,AI18+AH19-AQ18)))</f>
        <v>80.2</v>
      </c>
      <c r="AJ19" s="14">
        <f>AI19*VLOOKUP('Données projet'!$B$10,Paramètres!$A$1:$I$89,3,0)*VLOOKUP('Données projet'!$B$10,Paramètres!$A$1:$I$89,5,0)</f>
        <v>70.062720000000013</v>
      </c>
      <c r="AK19" s="14">
        <f t="shared" si="35"/>
        <v>19.689032345957123</v>
      </c>
      <c r="AL19" s="22">
        <f t="shared" si="4"/>
        <v>156.31763533587534</v>
      </c>
      <c r="AM19" s="62">
        <f t="shared" si="5"/>
        <v>363.25968125798943</v>
      </c>
      <c r="AN19" s="62">
        <f ca="1">AVERAGE(OFFSET($AM$3,0,0,'Données projet'!$E$10+1,1))-AVERAGE(OFFSET($H$3,0,0,'Données projet'!$E$10+1,1))</f>
        <v>341.62910675299065</v>
      </c>
      <c r="AO19" s="62">
        <f t="shared" si="36"/>
        <v>407.15938341104709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14.04</v>
      </c>
      <c r="BD19" s="13">
        <f>IF('Données projet'!$A$88&gt;35,BD18+BC19-BL18,IF(A19&lt;'Données projet'!$A$88,$BA$205^A19,IF(A19='Données projet'!$A$88,'Données projet'!$B$88,BD18+BC19-BL18)))</f>
        <v>42.559503667525789</v>
      </c>
      <c r="BE19" s="14">
        <f>BD19*VLOOKUP('Données projet'!$B$11,Paramètres!$A$1:$I$89,3,0)*VLOOKUP('Données projet'!$B$11,Paramètres!$A$1:$I$89,5,0)</f>
        <v>20.471121264079905</v>
      </c>
      <c r="BF19" s="14">
        <f t="shared" si="37"/>
        <v>6.6386047133241401</v>
      </c>
      <c r="BG19" s="22">
        <f t="shared" si="7"/>
        <v>47.216106077312048</v>
      </c>
      <c r="BH19" s="62">
        <f t="shared" si="8"/>
        <v>254.15815199942611</v>
      </c>
      <c r="BI19" s="62">
        <f ca="1">AVERAGE(OFFSET($BH$3,0,0,'Données projet'!$E$11+1,1))-AVERAGE(OFFSET($H$3,0,0,'Données projet'!$E$11+1,1))</f>
        <v>405.94837980869011</v>
      </c>
      <c r="BJ19" s="62">
        <f t="shared" si="38"/>
        <v>511.37583835090879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4.4400000000000004</v>
      </c>
      <c r="BY19" s="13">
        <f>IF('Données projet'!$A$114&gt;35,BY18+BX19-CG18,IF(A19&lt;'Données projet'!$A$114,$BV$205^A19,IF(A19='Données projet'!$A$114,'Données projet'!$B$114,BY18+BX19-CG18)))</f>
        <v>20.370735341778339</v>
      </c>
      <c r="BZ19" s="14">
        <f>BY19*VLOOKUP('Données projet'!$B$12,Paramètres!$A$1:$I$89,3,0)*VLOOKUP('Données projet'!$B$12,Paramètres!$A$1:$I$89,5,0)</f>
        <v>17.478090923245816</v>
      </c>
      <c r="CA19" s="14">
        <f t="shared" si="39"/>
        <v>5.7732419438971627</v>
      </c>
      <c r="CB19" s="22">
        <f t="shared" si="10"/>
        <v>40.49607141027402</v>
      </c>
      <c r="CC19" s="62">
        <f t="shared" si="11"/>
        <v>247.43811733238809</v>
      </c>
      <c r="CD19" s="62">
        <f ca="1">AVERAGE(OFFSET($CC$3,0,0,'Données projet'!$E$12+1,1))-AVERAGE(OFFSET($H$3,0,0,'Données projet'!$E$12+1,1))</f>
        <v>590.18141384962507</v>
      </c>
      <c r="CE19" s="62">
        <f t="shared" si="40"/>
        <v>331.25104323342907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4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2.4423076923076925</v>
      </c>
      <c r="N20" s="14">
        <f>IF('Données projet'!$A$36&gt;35,N19+M20-V19,IF(A20&lt;'Données projet'!$A$36,$K$205^A20,IF(A20='Données projet'!$A$36,'Données projet'!$B$36,N19+M20-V19)))</f>
        <v>41.519230769230781</v>
      </c>
      <c r="O20" s="14">
        <f>N20*VLOOKUP('Données projet'!$B$9,Paramètres!$A$1:$I$89,3,0)*VLOOKUP('Données projet'!$B$9,Paramètres!$A$1:$I$89,5,0)</f>
        <v>37.566600000000008</v>
      </c>
      <c r="P20" s="14">
        <f t="shared" si="33"/>
        <v>11.351336951915854</v>
      </c>
      <c r="Q20" s="22">
        <f t="shared" si="2"/>
        <v>85.198740191253449</v>
      </c>
      <c r="R20" s="62">
        <f t="shared" si="0"/>
        <v>294.56486450712617</v>
      </c>
      <c r="S20" s="62">
        <f ca="1">AVERAGE(OFFSET($R$3,0,0,'Données projet'!$E$9+1,1))-AVERAGE(OFFSET($H$3,0,0,'Données projet'!$E$9+1,1))</f>
        <v>432.80275651765203</v>
      </c>
      <c r="T20" s="62">
        <f t="shared" si="34"/>
        <v>203.89279893419919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14.2</v>
      </c>
      <c r="AI20" s="14">
        <f>IF('Données projet'!$A$62&gt;35,AI19+AH20-AQ19,IF(A20&lt;'Données projet'!$A$62,$AF$205^A20,IF(A20='Données projet'!$A$62,'Données projet'!$B$62,AI19+AH20-AQ19)))</f>
        <v>94.4</v>
      </c>
      <c r="AJ20" s="14">
        <f>AI20*VLOOKUP('Données projet'!$B$10,Paramètres!$A$1:$I$89,3,0)*VLOOKUP('Données projet'!$B$10,Paramètres!$A$1:$I$89,5,0)</f>
        <v>82.467840000000024</v>
      </c>
      <c r="AK20" s="14">
        <f t="shared" si="35"/>
        <v>22.739512759227473</v>
      </c>
      <c r="AL20" s="22">
        <f t="shared" si="4"/>
        <v>183.23613938898788</v>
      </c>
      <c r="AM20" s="62">
        <f t="shared" si="5"/>
        <v>392.6022637048606</v>
      </c>
      <c r="AN20" s="62">
        <f ca="1">AVERAGE(OFFSET($AM$3,0,0,'Données projet'!$E$10+1,1))-AVERAGE(OFFSET($H$3,0,0,'Données projet'!$E$10+1,1))</f>
        <v>341.62910675299065</v>
      </c>
      <c r="AO20" s="62">
        <f t="shared" si="36"/>
        <v>407.15938341104709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14.04</v>
      </c>
      <c r="BD20" s="13">
        <f>IF('Données projet'!$A$88&gt;35,BD19+BC20-BL19,IF(A20&lt;'Données projet'!$A$88,$BA$205^A20,IF(A20='Données projet'!$A$88,'Données projet'!$B$88,BD19+BC20-BL19)))</f>
        <v>53.803290766289457</v>
      </c>
      <c r="BE20" s="14">
        <f>BD20*VLOOKUP('Données projet'!$B$11,Paramètres!$A$1:$I$89,3,0)*VLOOKUP('Données projet'!$B$11,Paramètres!$A$1:$I$89,5,0)</f>
        <v>25.879382858585231</v>
      </c>
      <c r="BF20" s="14">
        <f t="shared" si="37"/>
        <v>8.1665409603496251</v>
      </c>
      <c r="BG20" s="22">
        <f t="shared" si="7"/>
        <v>59.296650651311523</v>
      </c>
      <c r="BH20" s="62">
        <f t="shared" si="8"/>
        <v>268.66277496718425</v>
      </c>
      <c r="BI20" s="62">
        <f ca="1">AVERAGE(OFFSET($BH$3,0,0,'Données projet'!$E$11+1,1))-AVERAGE(OFFSET($H$3,0,0,'Données projet'!$E$11+1,1))</f>
        <v>405.94837980869011</v>
      </c>
      <c r="BJ20" s="62">
        <f t="shared" si="38"/>
        <v>511.37583835090879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4.4400000000000004</v>
      </c>
      <c r="BY20" s="13">
        <f>IF('Données projet'!$A$114&gt;35,BY19+BX20-CG19,IF(A20&lt;'Données projet'!$A$114,$BV$205^A20,IF(A20='Données projet'!$A$114,'Données projet'!$B$114,BY19+BX20-CG19)))</f>
        <v>24.593459580877141</v>
      </c>
      <c r="BZ20" s="14">
        <f>BY20*VLOOKUP('Données projet'!$B$12,Paramètres!$A$1:$I$89,3,0)*VLOOKUP('Données projet'!$B$12,Paramètres!$A$1:$I$89,5,0)</f>
        <v>21.101188320392591</v>
      </c>
      <c r="CA20" s="14">
        <f t="shared" si="39"/>
        <v>6.8188267086265828</v>
      </c>
      <c r="CB20" s="22">
        <f t="shared" si="10"/>
        <v>48.62735950887506</v>
      </c>
      <c r="CC20" s="62">
        <f t="shared" si="11"/>
        <v>257.99348382474778</v>
      </c>
      <c r="CD20" s="62">
        <f ca="1">AVERAGE(OFFSET($CC$3,0,0,'Données projet'!$E$12+1,1))-AVERAGE(OFFSET($H$3,0,0,'Données projet'!$E$12+1,1))</f>
        <v>590.18141384962507</v>
      </c>
      <c r="CE20" s="62">
        <f t="shared" si="40"/>
        <v>331.25104323342907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4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2.4423076923076925</v>
      </c>
      <c r="N21" s="14">
        <f>IF('Données projet'!$A$36&gt;35,N20+M21-V20,IF(A21&lt;'Données projet'!$A$36,$K$205^A21,IF(A21='Données projet'!$A$36,'Données projet'!$B$36,N20+M21-V20)))</f>
        <v>43.961538461538474</v>
      </c>
      <c r="O21" s="14">
        <f>N21*VLOOKUP('Données projet'!$B$9,Paramètres!$A$1:$I$89,3,0)*VLOOKUP('Données projet'!$B$9,Paramètres!$A$1:$I$89,5,0)</f>
        <v>39.77640000000001</v>
      </c>
      <c r="P21" s="14">
        <f t="shared" si="33"/>
        <v>11.93936238061127</v>
      </c>
      <c r="Q21" s="22">
        <f t="shared" si="2"/>
        <v>90.071619479564632</v>
      </c>
      <c r="R21" s="62">
        <f t="shared" si="0"/>
        <v>301.84097267156773</v>
      </c>
      <c r="S21" s="62">
        <f ca="1">AVERAGE(OFFSET($R$3,0,0,'Données projet'!$E$9+1,1))-AVERAGE(OFFSET($H$3,0,0,'Données projet'!$E$9+1,1))</f>
        <v>432.80275651765203</v>
      </c>
      <c r="T21" s="62">
        <f t="shared" si="34"/>
        <v>203.89279893419919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14.2</v>
      </c>
      <c r="AI21" s="14">
        <f>IF('Données projet'!$A$62&gt;35,AI20+AH21-AQ20,IF(A21&lt;'Données projet'!$A$62,$AF$205^A21,IF(A21='Données projet'!$A$62,'Données projet'!$B$62,AI20+AH21-AQ20)))</f>
        <v>108.60000000000001</v>
      </c>
      <c r="AJ21" s="14">
        <f>AI21*VLOOKUP('Données projet'!$B$10,Paramètres!$A$1:$I$89,3,0)*VLOOKUP('Données projet'!$B$10,Paramètres!$A$1:$I$89,5,0)</f>
        <v>94.87296000000002</v>
      </c>
      <c r="AK21" s="14">
        <f t="shared" si="35"/>
        <v>25.736834760472274</v>
      </c>
      <c r="AL21" s="22">
        <f t="shared" si="4"/>
        <v>210.06205920782259</v>
      </c>
      <c r="AM21" s="62">
        <f t="shared" si="5"/>
        <v>421.83141239982569</v>
      </c>
      <c r="AN21" s="62">
        <f ca="1">AVERAGE(OFFSET($AM$3,0,0,'Données projet'!$E$10+1,1))-AVERAGE(OFFSET($H$3,0,0,'Données projet'!$E$10+1,1))</f>
        <v>341.62910675299065</v>
      </c>
      <c r="AO21" s="62">
        <f t="shared" si="36"/>
        <v>407.15938341104709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14.04</v>
      </c>
      <c r="BD21" s="13">
        <f>IF('Données projet'!$A$88&gt;35,BD20+BC21-BL20,IF(A21&lt;'Données projet'!$A$88,$BA$205^A21,IF(A21='Données projet'!$A$88,'Données projet'!$B$88,BD20+BC21-BL20)))</f>
        <v>68.017571818881549</v>
      </c>
      <c r="BE21" s="14">
        <f>BD21*VLOOKUP('Données projet'!$B$11,Paramètres!$A$1:$I$89,3,0)*VLOOKUP('Données projet'!$B$11,Paramètres!$A$1:$I$89,5,0)</f>
        <v>32.716452044882026</v>
      </c>
      <c r="BF21" s="14">
        <f t="shared" si="37"/>
        <v>10.046145860019635</v>
      </c>
      <c r="BG21" s="22">
        <f t="shared" si="7"/>
        <v>74.478191351037054</v>
      </c>
      <c r="BH21" s="62">
        <f t="shared" si="8"/>
        <v>286.24754454304014</v>
      </c>
      <c r="BI21" s="62">
        <f ca="1">AVERAGE(OFFSET($BH$3,0,0,'Données projet'!$E$11+1,1))-AVERAGE(OFFSET($H$3,0,0,'Données projet'!$E$11+1,1))</f>
        <v>405.94837980869011</v>
      </c>
      <c r="BJ21" s="62">
        <f t="shared" si="38"/>
        <v>511.37583835090879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4.4400000000000004</v>
      </c>
      <c r="BY21" s="13">
        <f>IF('Données projet'!$A$114&gt;35,BY20+BX21-CG20,IF(A21&lt;'Données projet'!$A$114,$BV$205^A21,IF(A21='Données projet'!$A$114,'Données projet'!$B$114,BY20+BX21-CG20)))</f>
        <v>29.691527772970225</v>
      </c>
      <c r="BZ21" s="14">
        <f>BY21*VLOOKUP('Données projet'!$B$12,Paramètres!$A$1:$I$89,3,0)*VLOOKUP('Données projet'!$B$12,Paramètres!$A$1:$I$89,5,0)</f>
        <v>25.475330829208456</v>
      </c>
      <c r="CA21" s="14">
        <f t="shared" si="39"/>
        <v>8.053776047170528</v>
      </c>
      <c r="CB21" s="22">
        <f t="shared" si="10"/>
        <v>58.396527809693396</v>
      </c>
      <c r="CC21" s="62">
        <f t="shared" si="11"/>
        <v>270.1658810016965</v>
      </c>
      <c r="CD21" s="62">
        <f ca="1">AVERAGE(OFFSET($CC$3,0,0,'Données projet'!$E$12+1,1))-AVERAGE(OFFSET($H$3,0,0,'Données projet'!$E$12+1,1))</f>
        <v>590.18141384962507</v>
      </c>
      <c r="CE21" s="62">
        <f t="shared" si="40"/>
        <v>331.25104323342907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4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2.4423076923076925</v>
      </c>
      <c r="N22" s="14">
        <f>IF('Données projet'!$A$36&gt;35,N21+M22-V21,IF(A22&lt;'Données projet'!$A$36,$K$205^A22,IF(A22='Données projet'!$A$36,'Données projet'!$B$36,N21+M22-V21)))</f>
        <v>46.403846153846168</v>
      </c>
      <c r="O22" s="14">
        <f>N22*VLOOKUP('Données projet'!$B$9,Paramètres!$A$1:$I$89,3,0)*VLOOKUP('Données projet'!$B$9,Paramètres!$A$1:$I$89,5,0)</f>
        <v>41.986200000000011</v>
      </c>
      <c r="P22" s="14">
        <f t="shared" si="33"/>
        <v>12.523595454155831</v>
      </c>
      <c r="Q22" s="22">
        <f t="shared" si="2"/>
        <v>94.937893749321418</v>
      </c>
      <c r="R22" s="62">
        <f t="shared" si="0"/>
        <v>309.08998799234496</v>
      </c>
      <c r="S22" s="62">
        <f ca="1">AVERAGE(OFFSET($R$3,0,0,'Données projet'!$E$9+1,1))-AVERAGE(OFFSET($H$3,0,0,'Données projet'!$E$9+1,1))</f>
        <v>432.80275651765203</v>
      </c>
      <c r="T22" s="62">
        <f t="shared" si="34"/>
        <v>203.89279893419919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14.2</v>
      </c>
      <c r="AI22" s="14">
        <f>IF('Données projet'!$A$62&gt;35,AI21+AH22-AQ21,IF(A22&lt;'Données projet'!$A$62,$AF$205^A22,IF(A22='Données projet'!$A$62,'Données projet'!$B$62,AI21+AH22-AQ21)))</f>
        <v>122.80000000000001</v>
      </c>
      <c r="AJ22" s="14">
        <f>AI22*VLOOKUP('Données projet'!$B$10,Paramètres!$A$1:$I$89,3,0)*VLOOKUP('Données projet'!$B$10,Paramètres!$A$1:$I$89,5,0)</f>
        <v>107.27808000000003</v>
      </c>
      <c r="AK22" s="14">
        <f t="shared" si="35"/>
        <v>28.688746800886673</v>
      </c>
      <c r="AL22" s="22">
        <f t="shared" si="4"/>
        <v>236.80889001154432</v>
      </c>
      <c r="AM22" s="62">
        <f t="shared" si="5"/>
        <v>450.96098425456785</v>
      </c>
      <c r="AN22" s="62">
        <f ca="1">AVERAGE(OFFSET($AM$3,0,0,'Données projet'!$E$10+1,1))-AVERAGE(OFFSET($H$3,0,0,'Données projet'!$E$10+1,1))</f>
        <v>341.62910675299065</v>
      </c>
      <c r="AO22" s="62">
        <f t="shared" si="36"/>
        <v>407.15938341104709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14.04</v>
      </c>
      <c r="BD22" s="13">
        <f>IF('Données projet'!$A$88&gt;35,BD21+BC22-BL21,IF(A22&lt;'Données projet'!$A$88,$BA$205^A22,IF(A22='Données projet'!$A$88,'Données projet'!$B$88,BD21+BC22-BL21)))</f>
        <v>85.987121052368465</v>
      </c>
      <c r="BE22" s="14">
        <f>BD22*VLOOKUP('Données projet'!$B$11,Paramètres!$A$1:$I$89,3,0)*VLOOKUP('Données projet'!$B$11,Paramètres!$A$1:$I$89,5,0)</f>
        <v>41.359805226189238</v>
      </c>
      <c r="BF22" s="14">
        <f t="shared" si="37"/>
        <v>12.35835920382979</v>
      </c>
      <c r="BG22" s="22">
        <f t="shared" si="7"/>
        <v>93.559136382283143</v>
      </c>
      <c r="BH22" s="62">
        <f t="shared" si="8"/>
        <v>307.71123062530665</v>
      </c>
      <c r="BI22" s="62">
        <f ca="1">AVERAGE(OFFSET($BH$3,0,0,'Données projet'!$E$11+1,1))-AVERAGE(OFFSET($H$3,0,0,'Données projet'!$E$11+1,1))</f>
        <v>405.94837980869011</v>
      </c>
      <c r="BJ22" s="62">
        <f t="shared" si="38"/>
        <v>511.37583835090879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4.4400000000000004</v>
      </c>
      <c r="BY22" s="13">
        <f>IF('Données projet'!$A$114&gt;35,BY21+BX22-CG21,IF(A22&lt;'Données projet'!$A$114,$BV$205^A22,IF(A22='Données projet'!$A$114,'Données projet'!$B$114,BY21+BX22-CG21)))</f>
        <v>35.846393167822065</v>
      </c>
      <c r="BZ22" s="14">
        <f>BY22*VLOOKUP('Données projet'!$B$12,Paramètres!$A$1:$I$89,3,0)*VLOOKUP('Données projet'!$B$12,Paramètres!$A$1:$I$89,5,0)</f>
        <v>30.756205337991336</v>
      </c>
      <c r="CA22" s="14">
        <f t="shared" si="39"/>
        <v>9.5123855451434771</v>
      </c>
      <c r="CB22" s="22">
        <f t="shared" si="10"/>
        <v>70.134462454793137</v>
      </c>
      <c r="CC22" s="62">
        <f t="shared" si="11"/>
        <v>284.28655669781665</v>
      </c>
      <c r="CD22" s="62">
        <f ca="1">AVERAGE(OFFSET($CC$3,0,0,'Données projet'!$E$12+1,1))-AVERAGE(OFFSET($H$3,0,0,'Données projet'!$E$12+1,1))</f>
        <v>590.18141384962507</v>
      </c>
      <c r="CE22" s="62">
        <f t="shared" si="40"/>
        <v>331.25104323342907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4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2.4423076923076925</v>
      </c>
      <c r="N23" s="14">
        <f>IF('Données projet'!$A$36&gt;35,N22+M23-V22,IF(A23&lt;'Données projet'!$A$36,$K$205^A23,IF(A23='Données projet'!$A$36,'Données projet'!$B$36,N22+M23-V22)))</f>
        <v>48.846153846153861</v>
      </c>
      <c r="O23" s="14">
        <f>N23*VLOOKUP('Données projet'!$B$9,Paramètres!$A$1:$I$89,3,0)*VLOOKUP('Données projet'!$B$9,Paramètres!$A$1:$I$89,5,0)</f>
        <v>44.196000000000012</v>
      </c>
      <c r="P23" s="14">
        <f t="shared" si="33"/>
        <v>13.104258532731833</v>
      </c>
      <c r="Q23" s="22">
        <f t="shared" si="2"/>
        <v>99.797950277841281</v>
      </c>
      <c r="R23" s="62">
        <f t="shared" si="0"/>
        <v>316.31265316473701</v>
      </c>
      <c r="S23" s="62">
        <f ca="1">AVERAGE(OFFSET($R$3,0,0,'Données projet'!$E$9+1,1))-AVERAGE(OFFSET($H$3,0,0,'Données projet'!$E$9+1,1))</f>
        <v>432.80275651765203</v>
      </c>
      <c r="T23" s="62">
        <f t="shared" si="34"/>
        <v>203.89279893419919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137</v>
      </c>
      <c r="AG23" s="13">
        <f>VLOOKUP(A23,'Données projet'!$A$61:$I$81,9,0)</f>
        <v>14.2</v>
      </c>
      <c r="AH23" s="13">
        <f t="array" ref="AH23">INDEX(AG:AG,MIN(IF(ISNUMBER(AG23:AG219),ROW(AG23:AG219),"")))</f>
        <v>14.2</v>
      </c>
      <c r="AI23" s="14">
        <f>IF('Données projet'!$A$62&gt;35,AI22+AH23-AQ22,IF(A23&lt;'Données projet'!$A$62,$AF$205^A23,IF(A23='Données projet'!$A$62,'Données projet'!$B$62,AI22+AH23-AQ22)))</f>
        <v>137</v>
      </c>
      <c r="AJ23" s="14">
        <f>AI23*VLOOKUP('Données projet'!$B$10,Paramètres!$A$1:$I$89,3,0)*VLOOKUP('Données projet'!$B$10,Paramètres!$A$1:$I$89,5,0)</f>
        <v>119.68320000000003</v>
      </c>
      <c r="AK23" s="14">
        <f t="shared" si="35"/>
        <v>31.601099532596194</v>
      </c>
      <c r="AL23" s="22">
        <f t="shared" si="4"/>
        <v>263.48682168593842</v>
      </c>
      <c r="AM23" s="62">
        <f t="shared" si="5"/>
        <v>480.00152457283411</v>
      </c>
      <c r="AN23" s="62">
        <f ca="1">AVERAGE(OFFSET($AM$3,0,0,'Données projet'!$E$10+1,1))-AVERAGE(OFFSET($H$3,0,0,'Données projet'!$E$10+1,1))</f>
        <v>341.62910675299065</v>
      </c>
      <c r="AO23" s="62">
        <f t="shared" si="36"/>
        <v>407.15938341104709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43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0.215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8.8931024011363835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8.8931024011363835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14.04</v>
      </c>
      <c r="BD23" s="13">
        <f>IF('Données projet'!$A$88&gt;35,BD22+BC23-BL22,IF(A23&lt;'Données projet'!$A$88,$BA$205^A23,IF(A23='Données projet'!$A$88,'Données projet'!$B$88,BD22+BC23-BL22)))</f>
        <v>108.70404204611974</v>
      </c>
      <c r="BE23" s="14">
        <f>BD23*VLOOKUP('Données projet'!$B$11,Paramètres!$A$1:$I$89,3,0)*VLOOKUP('Données projet'!$B$11,Paramètres!$A$1:$I$89,5,0)</f>
        <v>52.286644224183597</v>
      </c>
      <c r="BF23" s="14">
        <f t="shared" si="37"/>
        <v>15.20274982455669</v>
      </c>
      <c r="BG23" s="22">
        <f t="shared" si="7"/>
        <v>117.54402796822266</v>
      </c>
      <c r="BH23" s="62">
        <f t="shared" si="8"/>
        <v>334.05873085511837</v>
      </c>
      <c r="BI23" s="62">
        <f ca="1">AVERAGE(OFFSET($BH$3,0,0,'Données projet'!$E$11+1,1))-AVERAGE(OFFSET($H$3,0,0,'Données projet'!$E$11+1,1))</f>
        <v>405.94837980869011</v>
      </c>
      <c r="BJ23" s="62">
        <f t="shared" si="38"/>
        <v>511.37583835090879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4.4400000000000004</v>
      </c>
      <c r="BY23" s="13">
        <f>IF('Données projet'!$A$114&gt;35,BY22+BX23-CG22,IF(A23&lt;'Données projet'!$A$114,$BV$205^A23,IF(A23='Données projet'!$A$114,'Données projet'!$B$114,BY22+BX23-CG22)))</f>
        <v>43.277123123042891</v>
      </c>
      <c r="BZ23" s="14">
        <f>BY23*VLOOKUP('Données projet'!$B$12,Paramètres!$A$1:$I$89,3,0)*VLOOKUP('Données projet'!$B$12,Paramètres!$A$1:$I$89,5,0)</f>
        <v>37.131771639570808</v>
      </c>
      <c r="CA23" s="14">
        <f t="shared" si="39"/>
        <v>11.235162019590065</v>
      </c>
      <c r="CB23" s="22">
        <f t="shared" si="10"/>
        <v>84.239076123038515</v>
      </c>
      <c r="CC23" s="62">
        <f t="shared" si="11"/>
        <v>300.75377900993425</v>
      </c>
      <c r="CD23" s="62">
        <f ca="1">AVERAGE(OFFSET($CC$3,0,0,'Données projet'!$E$12+1,1))-AVERAGE(OFFSET($H$3,0,0,'Données projet'!$E$12+1,1))</f>
        <v>590.18141384962507</v>
      </c>
      <c r="CE23" s="62">
        <f t="shared" si="40"/>
        <v>331.25104323342907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4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2.4423076923076925</v>
      </c>
      <c r="N24" s="14">
        <f>IF('Données projet'!$A$36&gt;35,N23+M24-V23,IF(A24&lt;'Données projet'!$A$36,$K$205^A24,IF(A24='Données projet'!$A$36,'Données projet'!$B$36,N23+M24-V23)))</f>
        <v>51.288461538461554</v>
      </c>
      <c r="O24" s="14">
        <f>N24*VLOOKUP('Données projet'!$B$9,Paramètres!$A$1:$I$89,3,0)*VLOOKUP('Données projet'!$B$9,Paramètres!$A$1:$I$89,5,0)</f>
        <v>46.405800000000013</v>
      </c>
      <c r="P24" s="14">
        <f t="shared" si="33"/>
        <v>13.681550484401901</v>
      </c>
      <c r="Q24" s="22">
        <f t="shared" si="2"/>
        <v>104.652135427</v>
      </c>
      <c r="R24" s="62">
        <f t="shared" si="0"/>
        <v>323.5096638028744</v>
      </c>
      <c r="S24" s="62">
        <f ca="1">AVERAGE(OFFSET($R$3,0,0,'Données projet'!$E$9+1,1))-AVERAGE(OFFSET($H$3,0,0,'Données projet'!$E$9+1,1))</f>
        <v>432.80275651765203</v>
      </c>
      <c r="T24" s="62">
        <f t="shared" si="34"/>
        <v>203.89279893419919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13.8</v>
      </c>
      <c r="AI24" s="14">
        <f>IF('Données projet'!$A$62&gt;35,AI23+AH24-AQ23,IF(A24&lt;'Données projet'!$A$62,$AF$205^A24,IF(A24='Données projet'!$A$62,'Données projet'!$B$62,AI23+AH24-AQ23)))</f>
        <v>107.80000000000001</v>
      </c>
      <c r="AJ24" s="14">
        <f>AI24*VLOOKUP('Données projet'!$B$10,Paramètres!$A$1:$I$89,3,0)*VLOOKUP('Données projet'!$B$10,Paramètres!$A$1:$I$89,5,0)</f>
        <v>94.174080000000018</v>
      </c>
      <c r="AK24" s="14">
        <f t="shared" si="35"/>
        <v>25.569241067746205</v>
      </c>
      <c r="AL24" s="22">
        <f t="shared" si="4"/>
        <v>208.55295085965801</v>
      </c>
      <c r="AM24" s="62">
        <f t="shared" si="5"/>
        <v>427.41047923553242</v>
      </c>
      <c r="AN24" s="62">
        <f ca="1">AVERAGE(OFFSET($AM$3,0,0,'Données projet'!$E$10+1,1))-AVERAGE(OFFSET($H$3,0,0,'Données projet'!$E$10+1,1))</f>
        <v>341.62910675299065</v>
      </c>
      <c r="AO24" s="62">
        <f t="shared" si="36"/>
        <v>407.15938341104709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8.6499200483093794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8.6499200483093794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14.04</v>
      </c>
      <c r="BD24" s="13">
        <f>IF('Données projet'!$A$88&gt;35,BD23+BC24-BL23,IF(A24&lt;'Données projet'!$A$88,$BA$205^A24,IF(A24='Données projet'!$A$88,'Données projet'!$B$88,BD23+BC24-BL23)))</f>
        <v>137.42254203356754</v>
      </c>
      <c r="BE24" s="14">
        <f>BD24*VLOOKUP('Données projet'!$B$11,Paramètres!$A$1:$I$89,3,0)*VLOOKUP('Données projet'!$B$11,Paramètres!$A$1:$I$89,5,0)</f>
        <v>66.100242718145992</v>
      </c>
      <c r="BF24" s="14">
        <f t="shared" si="37"/>
        <v>18.701803242329653</v>
      </c>
      <c r="BG24" s="22">
        <f t="shared" si="7"/>
        <v>147.6968967144951</v>
      </c>
      <c r="BH24" s="62">
        <f t="shared" si="8"/>
        <v>366.55442509036948</v>
      </c>
      <c r="BI24" s="62">
        <f ca="1">AVERAGE(OFFSET($BH$3,0,0,'Données projet'!$E$11+1,1))-AVERAGE(OFFSET($H$3,0,0,'Données projet'!$E$11+1,1))</f>
        <v>405.94837980869011</v>
      </c>
      <c r="BJ24" s="62">
        <f t="shared" si="38"/>
        <v>511.37583835090879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4.4400000000000004</v>
      </c>
      <c r="BY24" s="13">
        <f>IF('Données projet'!$A$114&gt;35,BY23+BX24-CG23,IF(A24&lt;'Données projet'!$A$114,$BV$205^A24,IF(A24='Données projet'!$A$114,'Données projet'!$B$114,BY23+BX24-CG23)))</f>
        <v>52.248196270085352</v>
      </c>
      <c r="BZ24" s="14">
        <f>BY24*VLOOKUP('Données projet'!$B$12,Paramètres!$A$1:$I$89,3,0)*VLOOKUP('Données projet'!$B$12,Paramètres!$A$1:$I$89,5,0)</f>
        <v>44.82895239973324</v>
      </c>
      <c r="CA24" s="14">
        <f t="shared" si="39"/>
        <v>13.269948427488305</v>
      </c>
      <c r="CB24" s="22">
        <f t="shared" si="10"/>
        <v>101.18891894074419</v>
      </c>
      <c r="CC24" s="62">
        <f t="shared" si="11"/>
        <v>320.04644731661858</v>
      </c>
      <c r="CD24" s="62">
        <f ca="1">AVERAGE(OFFSET($CC$3,0,0,'Données projet'!$E$12+1,1))-AVERAGE(OFFSET($H$3,0,0,'Données projet'!$E$12+1,1))</f>
        <v>590.18141384962507</v>
      </c>
      <c r="CE24" s="62">
        <f t="shared" si="40"/>
        <v>331.25104323342907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4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2.4423076923076925</v>
      </c>
      <c r="N25" s="14">
        <f>IF('Données projet'!$A$36&gt;35,N24+M25-V24,IF(A25&lt;'Données projet'!$A$36,$K$205^A25,IF(A25='Données projet'!$A$36,'Données projet'!$B$36,N24+M25-V24)))</f>
        <v>53.730769230769248</v>
      </c>
      <c r="O25" s="14">
        <f>N25*VLOOKUP('Données projet'!$B$9,Paramètres!$A$1:$I$89,3,0)*VLOOKUP('Données projet'!$B$9,Paramètres!$A$1:$I$89,5,0)</f>
        <v>48.615600000000015</v>
      </c>
      <c r="P25" s="14">
        <f t="shared" si="33"/>
        <v>14.255650167206925</v>
      </c>
      <c r="Q25" s="22">
        <f t="shared" si="2"/>
        <v>109.50076070788542</v>
      </c>
      <c r="R25" s="62">
        <f t="shared" si="0"/>
        <v>330.6816746113538</v>
      </c>
      <c r="S25" s="62">
        <f ca="1">AVERAGE(OFFSET($R$3,0,0,'Données projet'!$E$9+1,1))-AVERAGE(OFFSET($H$3,0,0,'Données projet'!$E$9+1,1))</f>
        <v>432.80275651765203</v>
      </c>
      <c r="T25" s="62">
        <f t="shared" si="34"/>
        <v>203.89279893419919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13.8</v>
      </c>
      <c r="AI25" s="14">
        <f>IF('Données projet'!$A$62&gt;35,AI24+AH25-AQ24,IF(A25&lt;'Données projet'!$A$62,$AF$205^A25,IF(A25='Données projet'!$A$62,'Données projet'!$B$62,AI24+AH25-AQ24)))</f>
        <v>121.60000000000001</v>
      </c>
      <c r="AJ25" s="14">
        <f>AI25*VLOOKUP('Données projet'!$B$10,Paramètres!$A$1:$I$89,3,0)*VLOOKUP('Données projet'!$B$10,Paramètres!$A$1:$I$89,5,0)</f>
        <v>106.22976000000003</v>
      </c>
      <c r="AK25" s="14">
        <f t="shared" si="35"/>
        <v>28.440891625171492</v>
      </c>
      <c r="AL25" s="22">
        <f t="shared" si="4"/>
        <v>234.55138491384039</v>
      </c>
      <c r="AM25" s="62">
        <f t="shared" si="5"/>
        <v>455.73229881730879</v>
      </c>
      <c r="AN25" s="62">
        <f ca="1">AVERAGE(OFFSET($AM$3,0,0,'Données projet'!$E$10+1,1))-AVERAGE(OFFSET($H$3,0,0,'Données projet'!$E$10+1,1))</f>
        <v>341.62910675299065</v>
      </c>
      <c r="AO25" s="62">
        <f t="shared" si="36"/>
        <v>407.15938341104709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8.4133875297088334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8.4133875297088334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14.04</v>
      </c>
      <c r="BD25" s="13">
        <f>IF('Données projet'!$A$88&gt;35,BD24+BC25-BL24,IF(A25&lt;'Données projet'!$A$88,$BA$205^A25,IF(A25='Données projet'!$A$88,'Données projet'!$B$88,BD24+BC25-BL24)))</f>
        <v>173.72817701622671</v>
      </c>
      <c r="BE25" s="14">
        <f>BD25*VLOOKUP('Données projet'!$B$11,Paramètres!$A$1:$I$89,3,0)*VLOOKUP('Données projet'!$B$11,Paramètres!$A$1:$I$89,5,0)</f>
        <v>83.563253144805046</v>
      </c>
      <c r="BF25" s="14">
        <f t="shared" si="37"/>
        <v>23.006196152083991</v>
      </c>
      <c r="BG25" s="22">
        <f t="shared" si="7"/>
        <v>185.60845752541505</v>
      </c>
      <c r="BH25" s="62">
        <f t="shared" si="8"/>
        <v>406.78937142888344</v>
      </c>
      <c r="BI25" s="62">
        <f ca="1">AVERAGE(OFFSET($BH$3,0,0,'Données projet'!$E$11+1,1))-AVERAGE(OFFSET($H$3,0,0,'Données projet'!$E$11+1,1))</f>
        <v>405.94837980869011</v>
      </c>
      <c r="BJ25" s="62">
        <f t="shared" si="38"/>
        <v>511.37583835090879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4.4400000000000004</v>
      </c>
      <c r="BY25" s="13">
        <f>IF('Données projet'!$A$114&gt;35,BY24+BX25-CG24,IF(A25&lt;'Données projet'!$A$114,$BV$205^A25,IF(A25='Données projet'!$A$114,'Données projet'!$B$114,BY24+BX25-CG24)))</f>
        <v>63.078915983300199</v>
      </c>
      <c r="BZ25" s="14">
        <f>BY25*VLOOKUP('Données projet'!$B$12,Paramètres!$A$1:$I$89,3,0)*VLOOKUP('Données projet'!$B$12,Paramètres!$A$1:$I$89,5,0)</f>
        <v>54.121709913671573</v>
      </c>
      <c r="CA25" s="14">
        <f t="shared" si="39"/>
        <v>15.673252505051483</v>
      </c>
      <c r="CB25" s="22">
        <f t="shared" si="10"/>
        <v>121.55955954594265</v>
      </c>
      <c r="CC25" s="62">
        <f t="shared" si="11"/>
        <v>342.74047344941107</v>
      </c>
      <c r="CD25" s="62">
        <f ca="1">AVERAGE(OFFSET($CC$3,0,0,'Données projet'!$E$12+1,1))-AVERAGE(OFFSET($H$3,0,0,'Données projet'!$E$12+1,1))</f>
        <v>590.18141384962507</v>
      </c>
      <c r="CE25" s="62">
        <f t="shared" si="40"/>
        <v>331.25104323342907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4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2.4423076923076925</v>
      </c>
      <c r="N26" s="14">
        <f>IF('Données projet'!$A$36&gt;35,N25+M26-V25,IF(A26&lt;'Données projet'!$A$36,$K$205^A26,IF(A26='Données projet'!$A$36,'Données projet'!$B$36,N25+M26-V25)))</f>
        <v>56.173076923076941</v>
      </c>
      <c r="O26" s="14">
        <f>N26*VLOOKUP('Données projet'!$B$9,Paramètres!$A$1:$I$89,3,0)*VLOOKUP('Données projet'!$B$9,Paramètres!$A$1:$I$89,5,0)</f>
        <v>50.825400000000016</v>
      </c>
      <c r="P26" s="14">
        <f t="shared" si="33"/>
        <v>14.826719260258802</v>
      </c>
      <c r="Q26" s="22">
        <f t="shared" si="2"/>
        <v>114.34410771161743</v>
      </c>
      <c r="R26" s="62">
        <f t="shared" si="0"/>
        <v>337.8293044211639</v>
      </c>
      <c r="S26" s="62">
        <f ca="1">AVERAGE(OFFSET($R$3,0,0,'Données projet'!$E$9+1,1))-AVERAGE(OFFSET($H$3,0,0,'Données projet'!$E$9+1,1))</f>
        <v>432.80275651765203</v>
      </c>
      <c r="T26" s="62">
        <f t="shared" si="34"/>
        <v>203.89279893419919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13.8</v>
      </c>
      <c r="AI26" s="14">
        <f>IF('Données projet'!$A$62&gt;35,AI25+AH26-AQ25,IF(A26&lt;'Données projet'!$A$62,$AF$205^A26,IF(A26='Données projet'!$A$62,'Données projet'!$B$62,AI25+AH26-AQ25)))</f>
        <v>135.4</v>
      </c>
      <c r="AJ26" s="14">
        <f>AI26*VLOOKUP('Données projet'!$B$10,Paramètres!$A$1:$I$89,3,0)*VLOOKUP('Données projet'!$B$10,Paramètres!$A$1:$I$89,5,0)</f>
        <v>118.28544000000002</v>
      </c>
      <c r="AK26" s="14">
        <f t="shared" si="35"/>
        <v>31.274772013169596</v>
      </c>
      <c r="AL26" s="22">
        <f t="shared" si="4"/>
        <v>260.48403592293715</v>
      </c>
      <c r="AM26" s="62">
        <f t="shared" si="5"/>
        <v>483.96923263248368</v>
      </c>
      <c r="AN26" s="62">
        <f ca="1">AVERAGE(OFFSET($AM$3,0,0,'Données projet'!$E$10+1,1))-AVERAGE(OFFSET($H$3,0,0,'Données projet'!$E$10+1,1))</f>
        <v>341.62910675299065</v>
      </c>
      <c r="AO26" s="62">
        <f t="shared" si="36"/>
        <v>407.15938341104709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8.1833230052681234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8.1833230052681234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14.04</v>
      </c>
      <c r="BD26" s="13">
        <f>IF('Données projet'!$A$88&gt;35,BD25+BC26-BL25,IF(A26&lt;'Données projet'!$A$88,$BA$205^A26,IF(A26='Données projet'!$A$88,'Données projet'!$B$88,BD25+BC26-BL25)))</f>
        <v>219.62539073108627</v>
      </c>
      <c r="BE26" s="14">
        <f>BD26*VLOOKUP('Données projet'!$B$11,Paramètres!$A$1:$I$89,3,0)*VLOOKUP('Données projet'!$B$11,Paramètres!$A$1:$I$89,5,0)</f>
        <v>105.63981294165249</v>
      </c>
      <c r="BF26" s="14">
        <f t="shared" si="37"/>
        <v>28.301284883063079</v>
      </c>
      <c r="BG26" s="22">
        <f t="shared" si="7"/>
        <v>233.28074537804628</v>
      </c>
      <c r="BH26" s="62">
        <f t="shared" si="8"/>
        <v>456.76594208759275</v>
      </c>
      <c r="BI26" s="62">
        <f ca="1">AVERAGE(OFFSET($BH$3,0,0,'Données projet'!$E$11+1,1))-AVERAGE(OFFSET($H$3,0,0,'Données projet'!$E$11+1,1))</f>
        <v>405.94837980869011</v>
      </c>
      <c r="BJ26" s="62">
        <f t="shared" si="38"/>
        <v>511.37583835090879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4.4400000000000004</v>
      </c>
      <c r="BY26" s="13">
        <f>IF('Données projet'!$A$114&gt;35,BY25+BX26-CG25,IF(A26&lt;'Données projet'!$A$114,$BV$205^A26,IF(A26='Données projet'!$A$114,'Données projet'!$B$114,BY25+BX26-CG25)))</f>
        <v>76.1547752014243</v>
      </c>
      <c r="BZ26" s="14">
        <f>BY26*VLOOKUP('Données projet'!$B$12,Paramètres!$A$1:$I$89,3,0)*VLOOKUP('Données projet'!$B$12,Paramètres!$A$1:$I$89,5,0)</f>
        <v>65.340797122822053</v>
      </c>
      <c r="CA26" s="14">
        <f t="shared" si="39"/>
        <v>18.51181603526388</v>
      </c>
      <c r="CB26" s="22">
        <f t="shared" si="10"/>
        <v>146.04330125033297</v>
      </c>
      <c r="CC26" s="62">
        <f t="shared" si="11"/>
        <v>369.52849795987947</v>
      </c>
      <c r="CD26" s="62">
        <f ca="1">AVERAGE(OFFSET($CC$3,0,0,'Données projet'!$E$12+1,1))-AVERAGE(OFFSET($H$3,0,0,'Données projet'!$E$12+1,1))</f>
        <v>590.18141384962507</v>
      </c>
      <c r="CE26" s="62">
        <f t="shared" si="40"/>
        <v>331.25104323342907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4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2.4423076923076925</v>
      </c>
      <c r="N27" s="14">
        <f>IF('Données projet'!$A$36&gt;35,N26+M27-V26,IF(A27&lt;'Données projet'!$A$36,$K$205^A27,IF(A27='Données projet'!$A$36,'Données projet'!$B$36,N26+M27-V26)))</f>
        <v>58.615384615384635</v>
      </c>
      <c r="O27" s="14">
        <f>N27*VLOOKUP('Données projet'!$B$9,Paramètres!$A$1:$I$89,3,0)*VLOOKUP('Données projet'!$B$9,Paramètres!$A$1:$I$89,5,0)</f>
        <v>53.035200000000017</v>
      </c>
      <c r="P27" s="14">
        <f t="shared" si="33"/>
        <v>15.394904588576118</v>
      </c>
      <c r="Q27" s="22">
        <f t="shared" si="2"/>
        <v>119.18243215843677</v>
      </c>
      <c r="R27" s="62">
        <f t="shared" si="0"/>
        <v>344.9531403420566</v>
      </c>
      <c r="S27" s="62">
        <f ca="1">AVERAGE(OFFSET($R$3,0,0,'Données projet'!$E$9+1,1))-AVERAGE(OFFSET($H$3,0,0,'Données projet'!$E$9+1,1))</f>
        <v>432.80275651765203</v>
      </c>
      <c r="T27" s="62">
        <f t="shared" si="34"/>
        <v>203.89279893419919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13.8</v>
      </c>
      <c r="AI27" s="14">
        <f>IF('Données projet'!$A$62&gt;35,AI26+AH27-AQ26,IF(A27&lt;'Données projet'!$A$62,$AF$205^A27,IF(A27='Données projet'!$A$62,'Données projet'!$B$62,AI26+AH27-AQ26)))</f>
        <v>149.20000000000002</v>
      </c>
      <c r="AJ27" s="14">
        <f>AI27*VLOOKUP('Données projet'!$B$10,Paramètres!$A$1:$I$89,3,0)*VLOOKUP('Données projet'!$B$10,Paramètres!$A$1:$I$89,5,0)</f>
        <v>130.34112000000005</v>
      </c>
      <c r="AK27" s="14">
        <f t="shared" si="35"/>
        <v>34.075170122989917</v>
      </c>
      <c r="AL27" s="22">
        <f t="shared" si="4"/>
        <v>286.35837196420749</v>
      </c>
      <c r="AM27" s="62">
        <f t="shared" si="5"/>
        <v>512.12908014782727</v>
      </c>
      <c r="AN27" s="62">
        <f ca="1">AVERAGE(OFFSET($AM$3,0,0,'Données projet'!$E$10+1,1))-AVERAGE(OFFSET($H$3,0,0,'Données projet'!$E$10+1,1))</f>
        <v>341.62910675299065</v>
      </c>
      <c r="AO27" s="62">
        <f t="shared" si="36"/>
        <v>407.15938341104709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7.9595496073468128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7.9595496073468128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14.04</v>
      </c>
      <c r="BD27" s="13">
        <f>IF('Données projet'!$A$88&gt;35,BD26+BC27-BL26,IF(A27&lt;'Données projet'!$A$88,$BA$205^A27,IF(A27='Données projet'!$A$88,'Données projet'!$B$88,BD26+BC27-BL26)))</f>
        <v>277.64818052098138</v>
      </c>
      <c r="BE27" s="14">
        <f>BD27*VLOOKUP('Données projet'!$B$11,Paramètres!$A$1:$I$89,3,0)*VLOOKUP('Données projet'!$B$11,Paramètres!$A$1:$I$89,5,0)</f>
        <v>133.54877483059204</v>
      </c>
      <c r="BF27" s="14">
        <f t="shared" si="37"/>
        <v>34.815087237258972</v>
      </c>
      <c r="BG27" s="22">
        <f t="shared" si="7"/>
        <v>293.23372643484055</v>
      </c>
      <c r="BH27" s="62">
        <f t="shared" si="8"/>
        <v>519.00443461846032</v>
      </c>
      <c r="BI27" s="62">
        <f ca="1">AVERAGE(OFFSET($BH$3,0,0,'Données projet'!$E$11+1,1))-AVERAGE(OFFSET($H$3,0,0,'Données projet'!$E$11+1,1))</f>
        <v>405.94837980869011</v>
      </c>
      <c r="BJ27" s="62">
        <f t="shared" si="38"/>
        <v>511.37583835090879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4.4400000000000004</v>
      </c>
      <c r="BY27" s="13">
        <f>IF('Données projet'!$A$114&gt;35,BY26+BX27-CG26,IF(A27&lt;'Données projet'!$A$114,$BV$205^A27,IF(A27='Données projet'!$A$114,'Données projet'!$B$114,BY26+BX27-CG26)))</f>
        <v>91.941177104483984</v>
      </c>
      <c r="BZ27" s="14">
        <f>BY27*VLOOKUP('Données projet'!$B$12,Paramètres!$A$1:$I$89,3,0)*VLOOKUP('Données projet'!$B$12,Paramètres!$A$1:$I$89,5,0)</f>
        <v>78.885529955647272</v>
      </c>
      <c r="CA27" s="14">
        <f t="shared" si="39"/>
        <v>21.864468323534297</v>
      </c>
      <c r="CB27" s="22">
        <f t="shared" si="10"/>
        <v>175.47291366957458</v>
      </c>
      <c r="CC27" s="62">
        <f t="shared" si="11"/>
        <v>401.24362185319438</v>
      </c>
      <c r="CD27" s="62">
        <f ca="1">AVERAGE(OFFSET($CC$3,0,0,'Données projet'!$E$12+1,1))-AVERAGE(OFFSET($H$3,0,0,'Données projet'!$E$12+1,1))</f>
        <v>590.18141384962507</v>
      </c>
      <c r="CE27" s="62">
        <f t="shared" si="40"/>
        <v>331.25104323342907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4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2.4423076923076925</v>
      </c>
      <c r="N28" s="14">
        <f>IF('Données projet'!$A$36&gt;35,N27+M28-V27,IF(A28&lt;'Données projet'!$A$36,$K$205^A28,IF(A28='Données projet'!$A$36,'Données projet'!$B$36,N27+M28-V27)))</f>
        <v>61.057692307692328</v>
      </c>
      <c r="O28" s="14">
        <f>N28*VLOOKUP('Données projet'!$B$9,Paramètres!$A$1:$I$89,3,0)*VLOOKUP('Données projet'!$B$9,Paramètres!$A$1:$I$89,5,0)</f>
        <v>55.245000000000019</v>
      </c>
      <c r="P28" s="14">
        <f t="shared" si="33"/>
        <v>15.960340049529075</v>
      </c>
      <c r="Q28" s="22">
        <f t="shared" si="2"/>
        <v>124.01596725292983</v>
      </c>
      <c r="R28" s="62">
        <f t="shared" si="0"/>
        <v>352.05374121926195</v>
      </c>
      <c r="S28" s="62">
        <f ca="1">AVERAGE(OFFSET($R$3,0,0,'Données projet'!$E$9+1,1))-AVERAGE(OFFSET($H$3,0,0,'Données projet'!$E$9+1,1))</f>
        <v>432.80275651765203</v>
      </c>
      <c r="T28" s="62">
        <f t="shared" si="34"/>
        <v>203.89279893419919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163</v>
      </c>
      <c r="AG28" s="13">
        <f>VLOOKUP(A28,'Données projet'!$A$61:$I$81,9,0)</f>
        <v>13.8</v>
      </c>
      <c r="AH28" s="13">
        <f t="array" ref="AH28">INDEX(AG:AG,MIN(IF(ISNUMBER(AG28:AG224),ROW(AG28:AG224),"")))</f>
        <v>13.8</v>
      </c>
      <c r="AI28" s="14">
        <f>IF('Données projet'!$A$62&gt;35,AI27+AH28-AQ27,IF(A28&lt;'Données projet'!$A$62,$AF$205^A28,IF(A28='Données projet'!$A$62,'Données projet'!$B$62,AI27+AH28-AQ27)))</f>
        <v>163.00000000000003</v>
      </c>
      <c r="AJ28" s="14">
        <f>AI28*VLOOKUP('Données projet'!$B$10,Paramètres!$A$1:$I$89,3,0)*VLOOKUP('Données projet'!$B$10,Paramètres!$A$1:$I$89,5,0)</f>
        <v>142.39680000000004</v>
      </c>
      <c r="AK28" s="14">
        <f t="shared" si="35"/>
        <v>36.845535084476985</v>
      </c>
      <c r="AL28" s="22">
        <f t="shared" si="4"/>
        <v>312.18040027213078</v>
      </c>
      <c r="AM28" s="62">
        <f t="shared" si="5"/>
        <v>540.21817423846289</v>
      </c>
      <c r="AN28" s="62">
        <f ca="1">AVERAGE(OFFSET($AM$3,0,0,'Données projet'!$E$10+1,1))-AVERAGE(OFFSET($H$3,0,0,'Données projet'!$E$10+1,1))</f>
        <v>341.62910675299065</v>
      </c>
      <c r="AO28" s="62">
        <f t="shared" si="36"/>
        <v>407.15938341104709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44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0.215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16.841814040805925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16.841814040805925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351</v>
      </c>
      <c r="BB28" s="13">
        <f>VLOOKUP(A28,'Données projet'!$A$87:$I$107,9,0)</f>
        <v>14.04</v>
      </c>
      <c r="BC28" s="13">
        <f t="array" ref="BC28">INDEX(BB:BB,MIN(IF(ISNUMBER(BB28:BB224),ROW(BB28:BB224),"")))</f>
        <v>14.04</v>
      </c>
      <c r="BD28" s="13">
        <f>IF('Données projet'!$A$88&gt;35,BD27+BC28-BL27,IF(A28&lt;'Données projet'!$A$88,$BA$205^A28,IF(A28='Données projet'!$A$88,'Données projet'!$B$88,BD27+BC28-BL27)))</f>
        <v>351</v>
      </c>
      <c r="BE28" s="14">
        <f>BD28*VLOOKUP('Données projet'!$B$11,Paramètres!$A$1:$I$89,3,0)*VLOOKUP('Données projet'!$B$11,Paramètres!$A$1:$I$89,5,0)</f>
        <v>168.83100000000002</v>
      </c>
      <c r="BF28" s="14">
        <f t="shared" si="37"/>
        <v>42.828101421759989</v>
      </c>
      <c r="BG28" s="22">
        <f t="shared" si="7"/>
        <v>368.63960164289864</v>
      </c>
      <c r="BH28" s="62">
        <f t="shared" si="8"/>
        <v>596.67737560923069</v>
      </c>
      <c r="BI28" s="62">
        <f ca="1">AVERAGE(OFFSET($BH$3,0,0,'Données projet'!$E$11+1,1))-AVERAGE(OFFSET($H$3,0,0,'Données projet'!$E$11+1,1))</f>
        <v>405.94837980869011</v>
      </c>
      <c r="BJ28" s="62">
        <f t="shared" si="38"/>
        <v>511.37583835090879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21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0.27500000000000002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3.6703887343792334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3.6703887343792334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111</v>
      </c>
      <c r="BW28" s="13">
        <f>VLOOKUP(A28,'Données projet'!$A$113:$I$133,9,0)</f>
        <v>4.4400000000000004</v>
      </c>
      <c r="BX28" s="13">
        <f t="array" ref="BX28">INDEX(BW:BW,MIN(IF(ISNUMBER(BW28:BW224),ROW(BW28:BW224),"")))</f>
        <v>4.4400000000000004</v>
      </c>
      <c r="BY28" s="13">
        <f>IF('Données projet'!$A$114&gt;35,BY27+BX28-CG27,IF(A28&lt;'Données projet'!$A$114,$BV$205^A28,IF(A28='Données projet'!$A$114,'Données projet'!$B$114,BY27+BX28-CG27)))</f>
        <v>111</v>
      </c>
      <c r="BZ28" s="14">
        <f>BY28*VLOOKUP('Données projet'!$B$12,Paramètres!$A$1:$I$89,3,0)*VLOOKUP('Données projet'!$B$12,Paramètres!$A$1:$I$89,5,0)</f>
        <v>95.238000000000014</v>
      </c>
      <c r="CA28" s="14">
        <f t="shared" si="39"/>
        <v>25.824315354051141</v>
      </c>
      <c r="CB28" s="22">
        <f t="shared" si="10"/>
        <v>210.85019924163907</v>
      </c>
      <c r="CC28" s="62">
        <f t="shared" si="11"/>
        <v>438.88797320797119</v>
      </c>
      <c r="CD28" s="62">
        <f ca="1">AVERAGE(OFFSET($CC$3,0,0,'Données projet'!$E$12+1,1))-AVERAGE(OFFSET($H$3,0,0,'Données projet'!$E$12+1,1))</f>
        <v>590.18141384962507</v>
      </c>
      <c r="CE28" s="62">
        <f t="shared" si="40"/>
        <v>331.25104323342907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26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4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2.4423076923076925</v>
      </c>
      <c r="N29" s="14">
        <f>IF('Données projet'!$A$36&gt;35,N28+M29-V28,IF(A29&lt;'Données projet'!$A$36,$K$205^A29,IF(A29='Données projet'!$A$36,'Données projet'!$B$36,N28+M29-V28)))</f>
        <v>63.500000000000021</v>
      </c>
      <c r="O29" s="14">
        <f>N29*VLOOKUP('Données projet'!$B$9,Paramètres!$A$1:$I$89,3,0)*VLOOKUP('Données projet'!$B$9,Paramètres!$A$1:$I$89,5,0)</f>
        <v>57.45480000000002</v>
      </c>
      <c r="P29" s="14">
        <f t="shared" si="33"/>
        <v>16.523148222376751</v>
      </c>
      <c r="Q29" s="22">
        <f t="shared" si="2"/>
        <v>128.8449264873062</v>
      </c>
      <c r="R29" s="62">
        <f t="shared" si="0"/>
        <v>359.13164053649638</v>
      </c>
      <c r="S29" s="62">
        <f ca="1">AVERAGE(OFFSET($R$3,0,0,'Données projet'!$E$9+1,1))-AVERAGE(OFFSET($H$3,0,0,'Données projet'!$E$9+1,1))</f>
        <v>432.80275651765203</v>
      </c>
      <c r="T29" s="62">
        <f t="shared" si="34"/>
        <v>203.89279893419919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</v>
      </c>
      <c r="AI29" s="14">
        <f>IF('Données projet'!$A$62&gt;35,AI28+AH29-AQ28,IF(A29&lt;'Données projet'!$A$62,$AF$205^A29,IF(A29='Données projet'!$A$62,'Données projet'!$B$62,AI28+AH29-AQ28)))</f>
        <v>132.00000000000003</v>
      </c>
      <c r="AJ29" s="14">
        <f>AI29*VLOOKUP('Données projet'!$B$10,Paramètres!$A$1:$I$89,3,0)*VLOOKUP('Données projet'!$B$10,Paramètres!$A$1:$I$89,5,0)</f>
        <v>115.31520000000003</v>
      </c>
      <c r="AK29" s="14">
        <f t="shared" si="35"/>
        <v>30.579827148797317</v>
      </c>
      <c r="AL29" s="22">
        <f t="shared" si="4"/>
        <v>254.10050561748869</v>
      </c>
      <c r="AM29" s="62">
        <f t="shared" si="5"/>
        <v>484.3872196666789</v>
      </c>
      <c r="AN29" s="62">
        <f ca="1">AVERAGE(OFFSET($AM$3,0,0,'Données projet'!$E$10+1,1))-AVERAGE(OFFSET($H$3,0,0,'Données projet'!$E$10+1,1))</f>
        <v>341.62910675299065</v>
      </c>
      <c r="AO29" s="62">
        <f t="shared" si="36"/>
        <v>407.15938341104709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16.381273750187578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16.381273750187578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21.2</v>
      </c>
      <c r="BD29" s="13">
        <f>IF('Données projet'!$A$88&gt;35,BD28+BC29-BL28,IF(A29&lt;'Données projet'!$A$88,$BA$205^A29,IF(A29='Données projet'!$A$88,'Données projet'!$B$88,BD28+BC29-BL28)))</f>
        <v>351.2</v>
      </c>
      <c r="BE29" s="14">
        <f>BD29*VLOOKUP('Données projet'!$B$11,Paramètres!$A$1:$I$89,3,0)*VLOOKUP('Données projet'!$B$11,Paramètres!$A$1:$I$89,5,0)</f>
        <v>168.9272</v>
      </c>
      <c r="BF29" s="14">
        <f t="shared" si="37"/>
        <v>42.849663618751919</v>
      </c>
      <c r="BG29" s="22">
        <f t="shared" si="7"/>
        <v>368.84470413599291</v>
      </c>
      <c r="BH29" s="62">
        <f t="shared" si="8"/>
        <v>599.13141818518307</v>
      </c>
      <c r="BI29" s="62">
        <f ca="1">AVERAGE(OFFSET($BH$3,0,0,'Données projet'!$E$11+1,1))-AVERAGE(OFFSET($H$3,0,0,'Données projet'!$E$11+1,1))</f>
        <v>405.94837980869011</v>
      </c>
      <c r="BJ29" s="62">
        <f t="shared" si="38"/>
        <v>511.37583835090879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3.5700217614202785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3.5700217614202785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12.2</v>
      </c>
      <c r="BY29" s="13">
        <f>IF('Données projet'!$A$114&gt;35,BY28+BX29-CG28,IF(A29&lt;'Données projet'!$A$114,$BV$205^A29,IF(A29='Données projet'!$A$114,'Données projet'!$B$114,BY28+BX29-CG28)))</f>
        <v>97.2</v>
      </c>
      <c r="BZ29" s="14">
        <f>BY29*VLOOKUP('Données projet'!$B$12,Paramètres!$A$1:$I$89,3,0)*VLOOKUP('Données projet'!$B$12,Paramètres!$A$1:$I$89,5,0)</f>
        <v>83.397600000000011</v>
      </c>
      <c r="CA29" s="14">
        <f t="shared" si="39"/>
        <v>22.965893371329315</v>
      </c>
      <c r="CB29" s="22">
        <f t="shared" si="10"/>
        <v>185.24975095506522</v>
      </c>
      <c r="CC29" s="62">
        <f t="shared" si="11"/>
        <v>415.53646500425543</v>
      </c>
      <c r="CD29" s="62">
        <f ca="1">AVERAGE(OFFSET($CC$3,0,0,'Données projet'!$E$12+1,1))-AVERAGE(OFFSET($H$3,0,0,'Données projet'!$E$12+1,1))</f>
        <v>590.18141384962507</v>
      </c>
      <c r="CE29" s="62">
        <f t="shared" si="40"/>
        <v>331.25104323342907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4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2.4423076923076925</v>
      </c>
      <c r="N30" s="14">
        <f>IF('Données projet'!$A$36&gt;35,N29+M30-V29,IF(A30&lt;'Données projet'!$A$36,$K$205^A30,IF(A30='Données projet'!$A$36,'Données projet'!$B$36,N29+M30-V29)))</f>
        <v>65.942307692307708</v>
      </c>
      <c r="O30" s="14">
        <f>N30*VLOOKUP('Données projet'!$B$9,Paramètres!$A$1:$I$89,3,0)*VLOOKUP('Données projet'!$B$9,Paramètres!$A$1:$I$89,5,0)</f>
        <v>59.664600000000014</v>
      </c>
      <c r="P30" s="14">
        <f t="shared" si="33"/>
        <v>17.083441723218392</v>
      </c>
      <c r="Q30" s="22">
        <f t="shared" si="2"/>
        <v>133.66950600127205</v>
      </c>
      <c r="R30" s="62">
        <f t="shared" si="0"/>
        <v>366.18734887383556</v>
      </c>
      <c r="S30" s="62">
        <f ca="1">AVERAGE(OFFSET($R$3,0,0,'Données projet'!$E$9+1,1))-AVERAGE(OFFSET($H$3,0,0,'Données projet'!$E$9+1,1))</f>
        <v>432.80275651765203</v>
      </c>
      <c r="T30" s="62">
        <f t="shared" si="34"/>
        <v>203.89279893419919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</v>
      </c>
      <c r="AI30" s="14">
        <f>IF('Données projet'!$A$62&gt;35,AI29+AH30-AQ29,IF(A30&lt;'Données projet'!$A$62,$AF$205^A30,IF(A30='Données projet'!$A$62,'Données projet'!$B$62,AI29+AH30-AQ29)))</f>
        <v>145.00000000000003</v>
      </c>
      <c r="AJ30" s="14">
        <f>AI30*VLOOKUP('Données projet'!$B$10,Paramètres!$A$1:$I$89,3,0)*VLOOKUP('Données projet'!$B$10,Paramètres!$A$1:$I$89,5,0)</f>
        <v>126.67200000000003</v>
      </c>
      <c r="AK30" s="14">
        <f t="shared" si="35"/>
        <v>33.226199426361347</v>
      </c>
      <c r="AL30" s="22">
        <f t="shared" si="4"/>
        <v>278.48936400091276</v>
      </c>
      <c r="AM30" s="62">
        <f t="shared" si="5"/>
        <v>511.00720687347626</v>
      </c>
      <c r="AN30" s="62">
        <f ca="1">AVERAGE(OFFSET($AM$3,0,0,'Données projet'!$E$10+1,1))-AVERAGE(OFFSET($H$3,0,0,'Données projet'!$E$10+1,1))</f>
        <v>341.62910675299065</v>
      </c>
      <c r="AO30" s="62">
        <f t="shared" si="36"/>
        <v>407.15938341104709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15.933326958034952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15.933326958034952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21.2</v>
      </c>
      <c r="BD30" s="13">
        <f>IF('Données projet'!$A$88&gt;35,BD29+BC30-BL29,IF(A30&lt;'Données projet'!$A$88,$BA$205^A30,IF(A30='Données projet'!$A$88,'Données projet'!$B$88,BD29+BC30-BL29)))</f>
        <v>372.4</v>
      </c>
      <c r="BE30" s="14">
        <f>BD30*VLOOKUP('Données projet'!$B$11,Paramètres!$A$1:$I$89,3,0)*VLOOKUP('Données projet'!$B$11,Paramètres!$A$1:$I$89,5,0)</f>
        <v>179.12439999999998</v>
      </c>
      <c r="BF30" s="14">
        <f t="shared" si="37"/>
        <v>45.127326047106848</v>
      </c>
      <c r="BG30" s="22">
        <f t="shared" si="7"/>
        <v>390.57175619871106</v>
      </c>
      <c r="BH30" s="62">
        <f t="shared" si="8"/>
        <v>623.08959907127451</v>
      </c>
      <c r="BI30" s="62">
        <f ca="1">AVERAGE(OFFSET($BH$3,0,0,'Données projet'!$E$11+1,1))-AVERAGE(OFFSET($H$3,0,0,'Données projet'!$E$11+1,1))</f>
        <v>405.94837980869011</v>
      </c>
      <c r="BJ30" s="62">
        <f t="shared" si="38"/>
        <v>511.37583835090879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3.4723993286149559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3.4723993286149559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12.2</v>
      </c>
      <c r="BY30" s="13">
        <f>IF('Données projet'!$A$114&gt;35,BY29+BX30-CG29,IF(A30&lt;'Données projet'!$A$114,$BV$205^A30,IF(A30='Données projet'!$A$114,'Données projet'!$B$114,BY29+BX30-CG29)))</f>
        <v>109.4</v>
      </c>
      <c r="BZ30" s="14">
        <f>BY30*VLOOKUP('Données projet'!$B$12,Paramètres!$A$1:$I$89,3,0)*VLOOKUP('Données projet'!$B$12,Paramètres!$A$1:$I$89,5,0)</f>
        <v>93.865200000000016</v>
      </c>
      <c r="CA30" s="14">
        <f t="shared" si="39"/>
        <v>25.495124560846406</v>
      </c>
      <c r="CB30" s="22">
        <f t="shared" si="10"/>
        <v>207.88589861014086</v>
      </c>
      <c r="CC30" s="62">
        <f t="shared" si="11"/>
        <v>440.40374148270439</v>
      </c>
      <c r="CD30" s="62">
        <f ca="1">AVERAGE(OFFSET($CC$3,0,0,'Données projet'!$E$12+1,1))-AVERAGE(OFFSET($H$3,0,0,'Données projet'!$E$12+1,1))</f>
        <v>590.18141384962507</v>
      </c>
      <c r="CE30" s="62">
        <f t="shared" si="40"/>
        <v>331.25104323342907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4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2.4423076923076925</v>
      </c>
      <c r="N31" s="14">
        <f>IF('Données projet'!$A$36&gt;35,N30+M31-V30,IF(A31&lt;'Données projet'!$A$36,$K$205^A31,IF(A31='Données projet'!$A$36,'Données projet'!$B$36,N30+M31-V30)))</f>
        <v>68.384615384615401</v>
      </c>
      <c r="O31" s="14">
        <f>N31*VLOOKUP('Données projet'!$B$9,Paramètres!$A$1:$I$89,3,0)*VLOOKUP('Données projet'!$B$9,Paramètres!$A$1:$I$89,5,0)</f>
        <v>61.874400000000009</v>
      </c>
      <c r="P31" s="14">
        <f t="shared" si="33"/>
        <v>17.641324353568287</v>
      </c>
      <c r="Q31" s="22">
        <f t="shared" si="2"/>
        <v>138.48988658246478</v>
      </c>
      <c r="R31" s="62">
        <f t="shared" si="0"/>
        <v>373.22135600444886</v>
      </c>
      <c r="S31" s="62">
        <f ca="1">AVERAGE(OFFSET($R$3,0,0,'Données projet'!$E$9+1,1))-AVERAGE(OFFSET($H$3,0,0,'Données projet'!$E$9+1,1))</f>
        <v>432.80275651765203</v>
      </c>
      <c r="T31" s="62">
        <f t="shared" si="34"/>
        <v>203.89279893419919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</v>
      </c>
      <c r="AI31" s="14">
        <f>IF('Données projet'!$A$62&gt;35,AI30+AH31-AQ30,IF(A31&lt;'Données projet'!$A$62,$AF$205^A31,IF(A31='Données projet'!$A$62,'Données projet'!$B$62,AI30+AH31-AQ30)))</f>
        <v>158.00000000000003</v>
      </c>
      <c r="AJ31" s="14">
        <f>AI31*VLOOKUP('Données projet'!$B$10,Paramètres!$A$1:$I$89,3,0)*VLOOKUP('Données projet'!$B$10,Paramètres!$A$1:$I$89,5,0)</f>
        <v>138.02880000000005</v>
      </c>
      <c r="AK31" s="14">
        <f t="shared" si="35"/>
        <v>35.845059256813073</v>
      </c>
      <c r="AL31" s="22">
        <f t="shared" si="4"/>
        <v>302.83030487228285</v>
      </c>
      <c r="AM31" s="62">
        <f t="shared" si="5"/>
        <v>537.56177429426691</v>
      </c>
      <c r="AN31" s="62">
        <f ca="1">AVERAGE(OFFSET($AM$3,0,0,'Données projet'!$E$10+1,1))-AVERAGE(OFFSET($H$3,0,0,'Données projet'!$E$10+1,1))</f>
        <v>341.62910675299065</v>
      </c>
      <c r="AO31" s="62">
        <f t="shared" si="36"/>
        <v>407.15938341104709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15.497629294470238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15.497629294470238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21.2</v>
      </c>
      <c r="BD31" s="13">
        <f>IF('Données projet'!$A$88&gt;35,BD30+BC31-BL30,IF(A31&lt;'Données projet'!$A$88,$BA$205^A31,IF(A31='Données projet'!$A$88,'Données projet'!$B$88,BD30+BC31-BL30)))</f>
        <v>393.59999999999997</v>
      </c>
      <c r="BE31" s="14">
        <f>BD31*VLOOKUP('Données projet'!$B$11,Paramètres!$A$1:$I$89,3,0)*VLOOKUP('Données projet'!$B$11,Paramètres!$A$1:$I$89,5,0)</f>
        <v>189.32159999999999</v>
      </c>
      <c r="BF31" s="14">
        <f t="shared" si="37"/>
        <v>47.389937034309156</v>
      </c>
      <c r="BG31" s="22">
        <f t="shared" si="7"/>
        <v>412.2725936680884</v>
      </c>
      <c r="BH31" s="62">
        <f t="shared" si="8"/>
        <v>647.00406309007246</v>
      </c>
      <c r="BI31" s="62">
        <f ca="1">AVERAGE(OFFSET($BH$3,0,0,'Données projet'!$E$11+1,1))-AVERAGE(OFFSET($H$3,0,0,'Données projet'!$E$11+1,1))</f>
        <v>405.94837980869011</v>
      </c>
      <c r="BJ31" s="62">
        <f t="shared" si="38"/>
        <v>511.37583835090879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3.3774463863684354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3.3774463863684354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12.2</v>
      </c>
      <c r="BY31" s="13">
        <f>IF('Données projet'!$A$114&gt;35,BY30+BX31-CG30,IF(A31&lt;'Données projet'!$A$114,$BV$205^A31,IF(A31='Données projet'!$A$114,'Données projet'!$B$114,BY30+BX31-CG30)))</f>
        <v>121.60000000000001</v>
      </c>
      <c r="BZ31" s="14">
        <f>BY31*VLOOKUP('Données projet'!$B$12,Paramètres!$A$1:$I$89,3,0)*VLOOKUP('Données projet'!$B$12,Paramètres!$A$1:$I$89,5,0)</f>
        <v>104.33280000000002</v>
      </c>
      <c r="CA31" s="14">
        <f t="shared" si="39"/>
        <v>27.991665469945552</v>
      </c>
      <c r="CB31" s="22">
        <f t="shared" si="10"/>
        <v>230.46511069348855</v>
      </c>
      <c r="CC31" s="62">
        <f t="shared" si="11"/>
        <v>465.19658011547267</v>
      </c>
      <c r="CD31" s="62">
        <f ca="1">AVERAGE(OFFSET($CC$3,0,0,'Données projet'!$E$12+1,1))-AVERAGE(OFFSET($H$3,0,0,'Données projet'!$E$12+1,1))</f>
        <v>590.18141384962507</v>
      </c>
      <c r="CE31" s="62">
        <f t="shared" si="40"/>
        <v>331.25104323342907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4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2.4423076923076925</v>
      </c>
      <c r="N32" s="14">
        <f>IF('Données projet'!$A$36&gt;35,N31+M32-V31,IF(A32&lt;'Données projet'!$A$36,$K$205^A32,IF(A32='Données projet'!$A$36,'Données projet'!$B$36,N31+M32-V31)))</f>
        <v>70.826923076923094</v>
      </c>
      <c r="O32" s="14">
        <f>N32*VLOOKUP('Données projet'!$B$9,Paramètres!$A$1:$I$89,3,0)*VLOOKUP('Données projet'!$B$9,Paramètres!$A$1:$I$89,5,0)</f>
        <v>64.084200000000024</v>
      </c>
      <c r="P32" s="14">
        <f t="shared" si="33"/>
        <v>18.196892080237518</v>
      </c>
      <c r="Q32" s="22">
        <f t="shared" si="2"/>
        <v>143.30623537308037</v>
      </c>
      <c r="R32" s="62">
        <f t="shared" si="0"/>
        <v>380.2341326958562</v>
      </c>
      <c r="S32" s="62">
        <f ca="1">AVERAGE(OFFSET($R$3,0,0,'Données projet'!$E$9+1,1))-AVERAGE(OFFSET($H$3,0,0,'Données projet'!$E$9+1,1))</f>
        <v>432.80275651765203</v>
      </c>
      <c r="T32" s="62">
        <f t="shared" si="34"/>
        <v>203.89279893419919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</v>
      </c>
      <c r="AI32" s="14">
        <f>IF('Données projet'!$A$62&gt;35,AI31+AH32-AQ31,IF(A32&lt;'Données projet'!$A$62,$AF$205^A32,IF(A32='Données projet'!$A$62,'Données projet'!$B$62,AI31+AH32-AQ31)))</f>
        <v>171.00000000000003</v>
      </c>
      <c r="AJ32" s="14">
        <f>AI32*VLOOKUP('Données projet'!$B$10,Paramètres!$A$1:$I$89,3,0)*VLOOKUP('Données projet'!$B$10,Paramètres!$A$1:$I$89,5,0)</f>
        <v>149.38560000000004</v>
      </c>
      <c r="AK32" s="14">
        <f t="shared" si="35"/>
        <v>38.438927680599591</v>
      </c>
      <c r="AL32" s="22">
        <f t="shared" si="4"/>
        <v>327.12771904371101</v>
      </c>
      <c r="AM32" s="62">
        <f t="shared" si="5"/>
        <v>564.0556163664869</v>
      </c>
      <c r="AN32" s="62">
        <f ca="1">AVERAGE(OFFSET($AM$3,0,0,'Données projet'!$E$10+1,1))-AVERAGE(OFFSET($H$3,0,0,'Données projet'!$E$10+1,1))</f>
        <v>341.62910675299065</v>
      </c>
      <c r="AO32" s="62">
        <f t="shared" si="36"/>
        <v>407.15938341104709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15.073845806428045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15.073845806428045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21.2</v>
      </c>
      <c r="BD32" s="13">
        <f>IF('Données projet'!$A$88&gt;35,BD31+BC32-BL31,IF(A32&lt;'Données projet'!$A$88,$BA$205^A32,IF(A32='Données projet'!$A$88,'Données projet'!$B$88,BD31+BC32-BL31)))</f>
        <v>414.79999999999995</v>
      </c>
      <c r="BE32" s="14">
        <f>BD32*VLOOKUP('Données projet'!$B$11,Paramètres!$A$1:$I$89,3,0)*VLOOKUP('Données projet'!$B$11,Paramètres!$A$1:$I$89,5,0)</f>
        <v>199.51879999999997</v>
      </c>
      <c r="BF32" s="14">
        <f t="shared" si="37"/>
        <v>49.638399708047267</v>
      </c>
      <c r="BG32" s="22">
        <f t="shared" si="7"/>
        <v>433.94878949151558</v>
      </c>
      <c r="BH32" s="62">
        <f t="shared" si="8"/>
        <v>670.87668681429136</v>
      </c>
      <c r="BI32" s="62">
        <f ca="1">AVERAGE(OFFSET($BH$3,0,0,'Données projet'!$E$11+1,1))-AVERAGE(OFFSET($H$3,0,0,'Données projet'!$E$11+1,1))</f>
        <v>405.94837980869011</v>
      </c>
      <c r="BJ32" s="62">
        <f t="shared" si="38"/>
        <v>511.37583835090879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3.2850899373210045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3.2850899373210045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12.2</v>
      </c>
      <c r="BY32" s="13">
        <f>IF('Données projet'!$A$114&gt;35,BY31+BX32-CG31,IF(A32&lt;'Données projet'!$A$114,$BV$205^A32,IF(A32='Données projet'!$A$114,'Données projet'!$B$114,BY31+BX32-CG31)))</f>
        <v>133.80000000000001</v>
      </c>
      <c r="BZ32" s="14">
        <f>BY32*VLOOKUP('Données projet'!$B$12,Paramètres!$A$1:$I$89,3,0)*VLOOKUP('Données projet'!$B$12,Paramètres!$A$1:$I$89,5,0)</f>
        <v>114.80040000000002</v>
      </c>
      <c r="CA32" s="14">
        <f t="shared" si="39"/>
        <v>30.459169258522444</v>
      </c>
      <c r="CB32" s="22">
        <f t="shared" si="10"/>
        <v>252.99374979192666</v>
      </c>
      <c r="CC32" s="62">
        <f t="shared" si="11"/>
        <v>489.92164711470252</v>
      </c>
      <c r="CD32" s="62">
        <f ca="1">AVERAGE(OFFSET($CC$3,0,0,'Données projet'!$E$12+1,1))-AVERAGE(OFFSET($H$3,0,0,'Données projet'!$E$12+1,1))</f>
        <v>590.18141384962507</v>
      </c>
      <c r="CE32" s="62">
        <f t="shared" si="40"/>
        <v>331.25104323342907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4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2.4423076923076925</v>
      </c>
      <c r="N33" s="14">
        <f>IF('Données projet'!$A$36&gt;35,N32+M33-V32,IF(A33&lt;'Données projet'!$A$36,$K$205^A33,IF(A33='Données projet'!$A$36,'Données projet'!$B$36,N32+M33-V32)))</f>
        <v>73.269230769230788</v>
      </c>
      <c r="O33" s="14">
        <f>N33*VLOOKUP('Données projet'!$B$9,Paramètres!$A$1:$I$89,3,0)*VLOOKUP('Données projet'!$B$9,Paramètres!$A$1:$I$89,5,0)</f>
        <v>66.294000000000011</v>
      </c>
      <c r="P33" s="14">
        <f t="shared" si="33"/>
        <v>18.750233876262516</v>
      </c>
      <c r="Q33" s="22">
        <f t="shared" si="2"/>
        <v>148.11870733449055</v>
      </c>
      <c r="R33" s="62">
        <f t="shared" si="0"/>
        <v>387.22613226753253</v>
      </c>
      <c r="S33" s="62">
        <f ca="1">AVERAGE(OFFSET($R$3,0,0,'Données projet'!$E$9+1,1))-AVERAGE(OFFSET($H$3,0,0,'Données projet'!$E$9+1,1))</f>
        <v>432.80275651765203</v>
      </c>
      <c r="T33" s="62">
        <f t="shared" si="34"/>
        <v>203.89279893419919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184</v>
      </c>
      <c r="AG33" s="13">
        <f>VLOOKUP(A33,'Données projet'!$A$61:$I$81,9,0)</f>
        <v>13</v>
      </c>
      <c r="AH33" s="13">
        <f t="array" ref="AH33">INDEX(AG:AG,MIN(IF(ISNUMBER(AG33:AG229),ROW(AG33:AG229),"")))</f>
        <v>13</v>
      </c>
      <c r="AI33" s="14">
        <f>IF('Données projet'!$A$62&gt;35,AI32+AH33-AQ32,IF(A33&lt;'Données projet'!$A$62,$AF$205^A33,IF(A33='Données projet'!$A$62,'Données projet'!$B$62,AI32+AH33-AQ32)))</f>
        <v>184.00000000000003</v>
      </c>
      <c r="AJ33" s="14">
        <f>AI33*VLOOKUP('Données projet'!$B$10,Paramètres!$A$1:$I$89,3,0)*VLOOKUP('Données projet'!$B$10,Paramètres!$A$1:$I$89,5,0)</f>
        <v>160.74240000000003</v>
      </c>
      <c r="AK33" s="14">
        <f t="shared" si="35"/>
        <v>41.009920657227809</v>
      </c>
      <c r="AL33" s="22">
        <f t="shared" si="4"/>
        <v>351.38529181133845</v>
      </c>
      <c r="AM33" s="62">
        <f t="shared" si="5"/>
        <v>590.49271674438046</v>
      </c>
      <c r="AN33" s="62">
        <f ca="1">AVERAGE(OFFSET($AM$3,0,0,'Données projet'!$E$10+1,1))-AVERAGE(OFFSET($H$3,0,0,'Données projet'!$E$10+1,1))</f>
        <v>341.62910675299065</v>
      </c>
      <c r="AO33" s="62">
        <f t="shared" si="36"/>
        <v>407.15938341104709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44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0.215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23.761569436198705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23.761569436198705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436</v>
      </c>
      <c r="BB33" s="13">
        <f>VLOOKUP(A33,'Données projet'!$A$87:$I$107,9,0)</f>
        <v>21.2</v>
      </c>
      <c r="BC33" s="13">
        <f t="array" ref="BC33">INDEX(BB:BB,MIN(IF(ISNUMBER(BB33:BB229),ROW(BB33:BB229),"")))</f>
        <v>21.2</v>
      </c>
      <c r="BD33" s="13">
        <f>IF('Données projet'!$A$88&gt;35,BD32+BC33-BL32,IF(A33&lt;'Données projet'!$A$88,$BA$205^A33,IF(A33='Données projet'!$A$88,'Données projet'!$B$88,BD32+BC33-BL32)))</f>
        <v>435.99999999999994</v>
      </c>
      <c r="BE33" s="14">
        <f>BD33*VLOOKUP('Données projet'!$B$11,Paramètres!$A$1:$I$89,3,0)*VLOOKUP('Données projet'!$B$11,Paramètres!$A$1:$I$89,5,0)</f>
        <v>209.71599999999995</v>
      </c>
      <c r="BF33" s="14">
        <f t="shared" si="37"/>
        <v>51.873519665760895</v>
      </c>
      <c r="BG33" s="22">
        <f t="shared" si="7"/>
        <v>455.60174675120015</v>
      </c>
      <c r="BH33" s="62">
        <f t="shared" si="8"/>
        <v>694.70917168424216</v>
      </c>
      <c r="BI33" s="62">
        <f ca="1">AVERAGE(OFFSET($BH$3,0,0,'Données projet'!$E$11+1,1))-AVERAGE(OFFSET($H$3,0,0,'Données projet'!$E$11+1,1))</f>
        <v>405.94837980869011</v>
      </c>
      <c r="BJ33" s="62">
        <f t="shared" si="38"/>
        <v>511.37583835090879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48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0.27500000000000002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11.584718944524983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11.584718944524983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146</v>
      </c>
      <c r="BW33" s="13">
        <f>VLOOKUP(A33,'Données projet'!$A$113:$I$133,9,0)</f>
        <v>12.2</v>
      </c>
      <c r="BX33" s="13">
        <f t="array" ref="BX33">INDEX(BW:BW,MIN(IF(ISNUMBER(BW33:BW229),ROW(BW33:BW229),"")))</f>
        <v>12.2</v>
      </c>
      <c r="BY33" s="13">
        <f>IF('Données projet'!$A$114&gt;35,BY32+BX33-CG32,IF(A33&lt;'Données projet'!$A$114,$BV$205^A33,IF(A33='Données projet'!$A$114,'Données projet'!$B$114,BY32+BX33-CG32)))</f>
        <v>146</v>
      </c>
      <c r="BZ33" s="14">
        <f>BY33*VLOOKUP('Données projet'!$B$12,Paramètres!$A$1:$I$89,3,0)*VLOOKUP('Données projet'!$B$12,Paramètres!$A$1:$I$89,5,0)</f>
        <v>125.26800000000003</v>
      </c>
      <c r="CA33" s="14">
        <f t="shared" si="39"/>
        <v>32.9005846700787</v>
      </c>
      <c r="CB33" s="22">
        <f t="shared" si="10"/>
        <v>275.47695163372049</v>
      </c>
      <c r="CC33" s="62">
        <f t="shared" si="11"/>
        <v>514.58437656676244</v>
      </c>
      <c r="CD33" s="62">
        <f ca="1">AVERAGE(OFFSET($CC$3,0,0,'Données projet'!$E$12+1,1))-AVERAGE(OFFSET($H$3,0,0,'Données projet'!$E$12+1,1))</f>
        <v>590.18141384962507</v>
      </c>
      <c r="CE33" s="62">
        <f t="shared" si="40"/>
        <v>331.25104323342907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35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4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2.4423076923076925</v>
      </c>
      <c r="N34" s="14">
        <f>IF('Données projet'!$A$36&gt;35,N33+M34-V33,IF(A34&lt;'Données projet'!$A$36,$K$205^A34,IF(A34='Données projet'!$A$36,'Données projet'!$B$36,N33+M34-V33)))</f>
        <v>75.711538461538481</v>
      </c>
      <c r="O34" s="14">
        <f>N34*VLOOKUP('Données projet'!$B$9,Paramètres!$A$1:$I$89,3,0)*VLOOKUP('Données projet'!$B$9,Paramètres!$A$1:$I$89,5,0)</f>
        <v>68.503800000000012</v>
      </c>
      <c r="P34" s="14">
        <f t="shared" si="33"/>
        <v>19.301432446560082</v>
      </c>
      <c r="Q34" s="22">
        <f t="shared" si="2"/>
        <v>152.92744651109214</v>
      </c>
      <c r="R34" s="62">
        <f t="shared" si="0"/>
        <v>392.9755697239097</v>
      </c>
      <c r="S34" s="62">
        <f ca="1">AVERAGE(OFFSET($R$3,0,0,'Données projet'!$E$9+1,1))-AVERAGE(OFFSET($H$3,0,0,'Données projet'!$E$9+1,1))</f>
        <v>432.80275651765203</v>
      </c>
      <c r="T34" s="62">
        <f t="shared" si="34"/>
        <v>203.89279893419919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12.2</v>
      </c>
      <c r="AI34" s="14">
        <f>IF('Données projet'!$A$62&gt;35,AI33+AH34-AQ33,IF(A34&lt;'Données projet'!$A$62,$AF$205^A34,IF(A34='Données projet'!$A$62,'Données projet'!$B$62,AI33+AH34-AQ33)))</f>
        <v>152.20000000000002</v>
      </c>
      <c r="AJ34" s="14">
        <f>AI34*VLOOKUP('Données projet'!$B$10,Paramètres!$A$1:$I$89,3,0)*VLOOKUP('Données projet'!$B$10,Paramètres!$A$1:$I$89,5,0)</f>
        <v>132.96192000000002</v>
      </c>
      <c r="AK34" s="14">
        <f t="shared" si="35"/>
        <v>34.679872132599144</v>
      </c>
      <c r="AL34" s="22">
        <f t="shared" si="4"/>
        <v>291.97612129761018</v>
      </c>
      <c r="AM34" s="62">
        <f t="shared" si="5"/>
        <v>532.02424451042771</v>
      </c>
      <c r="AN34" s="62">
        <f ca="1">AVERAGE(OFFSET($AM$3,0,0,'Données projet'!$E$10+1,1))-AVERAGE(OFFSET($H$3,0,0,'Données projet'!$E$10+1,1))</f>
        <v>341.62910675299065</v>
      </c>
      <c r="AO34" s="62">
        <f t="shared" si="36"/>
        <v>407.15938341104709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23.111808070399224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23.111808070399224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22</v>
      </c>
      <c r="BD34" s="13">
        <f>IF('Données projet'!$A$88&gt;35,BD33+BC34-BL33,IF(A34&lt;'Données projet'!$A$88,$BA$205^A34,IF(A34='Données projet'!$A$88,'Données projet'!$B$88,BD33+BC34-BL33)))</f>
        <v>409.99999999999994</v>
      </c>
      <c r="BE34" s="14">
        <f>BD34*VLOOKUP('Données projet'!$B$11,Paramètres!$A$1:$I$89,3,0)*VLOOKUP('Données projet'!$B$11,Paramètres!$A$1:$I$89,5,0)</f>
        <v>197.20999999999998</v>
      </c>
      <c r="BF34" s="14">
        <f t="shared" si="37"/>
        <v>49.130509750258973</v>
      </c>
      <c r="BG34" s="22">
        <f t="shared" si="7"/>
        <v>429.04305448170095</v>
      </c>
      <c r="BH34" s="62">
        <f t="shared" si="8"/>
        <v>669.09117769451848</v>
      </c>
      <c r="BI34" s="62">
        <f ca="1">AVERAGE(OFFSET($BH$3,0,0,'Données projet'!$E$11+1,1))-AVERAGE(OFFSET($H$3,0,0,'Données projet'!$E$11+1,1))</f>
        <v>405.94837980869011</v>
      </c>
      <c r="BJ34" s="62">
        <f t="shared" si="38"/>
        <v>511.37583835090879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11.267934195773055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11.267934195773055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12.8</v>
      </c>
      <c r="BY34" s="13">
        <f>IF('Données projet'!$A$114&gt;35,BY33+BX34-CG33,IF(A34&lt;'Données projet'!$A$114,$BV$205^A34,IF(A34='Données projet'!$A$114,'Données projet'!$B$114,BY33+BX34-CG33)))</f>
        <v>123.80000000000001</v>
      </c>
      <c r="BZ34" s="14">
        <f>BY34*VLOOKUP('Données projet'!$B$12,Paramètres!$A$1:$I$89,3,0)*VLOOKUP('Données projet'!$B$12,Paramètres!$A$1:$I$89,5,0)</f>
        <v>106.22040000000003</v>
      </c>
      <c r="CA34" s="14">
        <f t="shared" si="39"/>
        <v>28.438677354079406</v>
      </c>
      <c r="CB34" s="22">
        <f t="shared" si="10"/>
        <v>234.53122639168836</v>
      </c>
      <c r="CC34" s="62">
        <f t="shared" si="11"/>
        <v>474.57934960450592</v>
      </c>
      <c r="CD34" s="62">
        <f ca="1">AVERAGE(OFFSET($CC$3,0,0,'Données projet'!$E$12+1,1))-AVERAGE(OFFSET($H$3,0,0,'Données projet'!$E$12+1,1))</f>
        <v>590.18141384962507</v>
      </c>
      <c r="CE34" s="62">
        <f t="shared" si="40"/>
        <v>331.25104323342907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4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2.4423076923076925</v>
      </c>
      <c r="N35" s="14">
        <f>IF('Données projet'!$A$36&gt;35,N34+M35-V34,IF(A35&lt;'Données projet'!$A$36,$K$205^A35,IF(A35='Données projet'!$A$36,'Données projet'!$B$36,N34+M35-V34)))</f>
        <v>78.153846153846175</v>
      </c>
      <c r="O35" s="14">
        <f>N35*VLOOKUP('Données projet'!$B$9,Paramètres!$A$1:$I$89,3,0)*VLOOKUP('Données projet'!$B$9,Paramètres!$A$1:$I$89,5,0)</f>
        <v>70.713600000000014</v>
      </c>
      <c r="P35" s="14">
        <f t="shared" si="33"/>
        <v>19.850564857319299</v>
      </c>
      <c r="Q35" s="22">
        <f t="shared" ref="Q35:Q66" si="53">(O35+P35)*0.475*44/12</f>
        <v>157.7325871264978</v>
      </c>
      <c r="R35" s="62">
        <f t="shared" si="0"/>
        <v>398.70508960702313</v>
      </c>
      <c r="S35" s="62">
        <f ca="1">AVERAGE(OFFSET($R$3,0,0,'Données projet'!$E$9+1,1))-AVERAGE(OFFSET($H$3,0,0,'Données projet'!$E$9+1,1))</f>
        <v>432.80275651765203</v>
      </c>
      <c r="T35" s="62">
        <f t="shared" si="34"/>
        <v>203.89279893419919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12.2</v>
      </c>
      <c r="AI35" s="14">
        <f>IF('Données projet'!$A$62&gt;35,AI34+AH35-AQ34,IF(A35&lt;'Données projet'!$A$62,$AF$205^A35,IF(A35='Données projet'!$A$62,'Données projet'!$B$62,AI34+AH35-AQ34)))</f>
        <v>164.4</v>
      </c>
      <c r="AJ35" s="14">
        <f>AI35*VLOOKUP('Données projet'!$B$10,Paramètres!$A$1:$I$89,3,0)*VLOOKUP('Données projet'!$B$10,Paramètres!$A$1:$I$89,5,0)</f>
        <v>143.61984000000001</v>
      </c>
      <c r="AK35" s="14">
        <f t="shared" si="35"/>
        <v>37.125023974706046</v>
      </c>
      <c r="AL35" s="22">
        <f t="shared" si="4"/>
        <v>314.79730475594641</v>
      </c>
      <c r="AM35" s="62">
        <f t="shared" si="5"/>
        <v>555.76980723647171</v>
      </c>
      <c r="AN35" s="62">
        <f ca="1">AVERAGE(OFFSET($AM$3,0,0,'Données projet'!$E$10+1,1))-AVERAGE(OFFSET($H$3,0,0,'Données projet'!$E$10+1,1))</f>
        <v>341.62910675299065</v>
      </c>
      <c r="AO35" s="62">
        <f t="shared" si="36"/>
        <v>407.15938341104709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22.479814463316995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22.479814463316995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22</v>
      </c>
      <c r="BD35" s="13">
        <f>IF('Données projet'!$A$88&gt;35,BD34+BC35-BL34,IF(A35&lt;'Données projet'!$A$88,$BA$205^A35,IF(A35='Données projet'!$A$88,'Données projet'!$B$88,BD34+BC35-BL34)))</f>
        <v>431.99999999999994</v>
      </c>
      <c r="BE35" s="14">
        <f>BD35*VLOOKUP('Données projet'!$B$11,Paramètres!$A$1:$I$89,3,0)*VLOOKUP('Données projet'!$B$11,Paramètres!$A$1:$I$89,5,0)</f>
        <v>207.79199999999997</v>
      </c>
      <c r="BF35" s="14">
        <f t="shared" si="37"/>
        <v>51.452785725007864</v>
      </c>
      <c r="BG35" s="22">
        <f t="shared" si="7"/>
        <v>451.51800180438863</v>
      </c>
      <c r="BH35" s="62">
        <f t="shared" si="8"/>
        <v>692.49050428491398</v>
      </c>
      <c r="BI35" s="62">
        <f ca="1">AVERAGE(OFFSET($BH$3,0,0,'Données projet'!$E$11+1,1))-AVERAGE(OFFSET($H$3,0,0,'Données projet'!$E$11+1,1))</f>
        <v>405.94837980869011</v>
      </c>
      <c r="BJ35" s="62">
        <f t="shared" si="38"/>
        <v>511.37583835090879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10.959811942634735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10.959811942634735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12.8</v>
      </c>
      <c r="BY35" s="13">
        <f>IF('Données projet'!$A$114&gt;35,BY34+BX35-CG34,IF(A35&lt;'Données projet'!$A$114,$BV$205^A35,IF(A35='Données projet'!$A$114,'Données projet'!$B$114,BY34+BX35-CG34)))</f>
        <v>136.60000000000002</v>
      </c>
      <c r="BZ35" s="14">
        <f>BY35*VLOOKUP('Données projet'!$B$12,Paramètres!$A$1:$I$89,3,0)*VLOOKUP('Données projet'!$B$12,Paramètres!$A$1:$I$89,5,0)</f>
        <v>117.20280000000004</v>
      </c>
      <c r="CA35" s="14">
        <f t="shared" si="39"/>
        <v>31.021705481209352</v>
      </c>
      <c r="CB35" s="22">
        <f t="shared" si="10"/>
        <v>258.15768037977301</v>
      </c>
      <c r="CC35" s="62">
        <f t="shared" si="11"/>
        <v>499.13018286029831</v>
      </c>
      <c r="CD35" s="62">
        <f ca="1">AVERAGE(OFFSET($CC$3,0,0,'Données projet'!$E$12+1,1))-AVERAGE(OFFSET($H$3,0,0,'Données projet'!$E$12+1,1))</f>
        <v>590.18141384962507</v>
      </c>
      <c r="CE35" s="62">
        <f t="shared" si="40"/>
        <v>331.25104323342907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4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2.4423076923076925</v>
      </c>
      <c r="N36" s="14">
        <f>IF('Données projet'!$A$36&gt;35,N35+M36-V35,IF(A36&lt;'Données projet'!$A$36,$K$205^A36,IF(A36='Données projet'!$A$36,'Données projet'!$B$36,N35+M36-V35)))</f>
        <v>80.596153846153868</v>
      </c>
      <c r="O36" s="14">
        <f>N36*VLOOKUP('Données projet'!$B$9,Paramètres!$A$1:$I$89,3,0)*VLOOKUP('Données projet'!$B$9,Paramètres!$A$1:$I$89,5,0)</f>
        <v>72.923400000000015</v>
      </c>
      <c r="P36" s="14">
        <f t="shared" si="33"/>
        <v>20.397703084509246</v>
      </c>
      <c r="Q36" s="22">
        <f t="shared" si="53"/>
        <v>162.53425453885362</v>
      </c>
      <c r="R36" s="62">
        <f t="shared" si="0"/>
        <v>404.41510037339435</v>
      </c>
      <c r="S36" s="62">
        <f ca="1">AVERAGE(OFFSET($R$3,0,0,'Données projet'!$E$9+1,1))-AVERAGE(OFFSET($H$3,0,0,'Données projet'!$E$9+1,1))</f>
        <v>432.80275651765203</v>
      </c>
      <c r="T36" s="62">
        <f t="shared" si="34"/>
        <v>203.89279893419919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12.2</v>
      </c>
      <c r="AI36" s="14">
        <f>IF('Données projet'!$A$62&gt;35,AI35+AH36-AQ35,IF(A36&lt;'Données projet'!$A$62,$AF$205^A36,IF(A36='Données projet'!$A$62,'Données projet'!$B$62,AI35+AH36-AQ35)))</f>
        <v>176.6</v>
      </c>
      <c r="AJ36" s="14">
        <f>AI36*VLOOKUP('Données projet'!$B$10,Paramètres!$A$1:$I$89,3,0)*VLOOKUP('Données projet'!$B$10,Paramètres!$A$1:$I$89,5,0)</f>
        <v>154.27776</v>
      </c>
      <c r="AK36" s="14">
        <f t="shared" si="35"/>
        <v>39.549125277353333</v>
      </c>
      <c r="AL36" s="22">
        <f t="shared" si="4"/>
        <v>337.58182519139035</v>
      </c>
      <c r="AM36" s="62">
        <f t="shared" si="5"/>
        <v>579.46267102593106</v>
      </c>
      <c r="AN36" s="62">
        <f ca="1">AVERAGE(OFFSET($AM$3,0,0,'Données projet'!$E$10+1,1))-AVERAGE(OFFSET($H$3,0,0,'Données projet'!$E$10+1,1))</f>
        <v>341.62910675299065</v>
      </c>
      <c r="AO36" s="62">
        <f t="shared" si="36"/>
        <v>407.15938341104709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21.865102754655528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21.865102754655528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22</v>
      </c>
      <c r="BD36" s="13">
        <f>IF('Données projet'!$A$88&gt;35,BD35+BC36-BL35,IF(A36&lt;'Données projet'!$A$88,$BA$205^A36,IF(A36='Données projet'!$A$88,'Données projet'!$B$88,BD35+BC36-BL35)))</f>
        <v>453.99999999999994</v>
      </c>
      <c r="BE36" s="14">
        <f>BD36*VLOOKUP('Données projet'!$B$11,Paramètres!$A$1:$I$89,3,0)*VLOOKUP('Données projet'!$B$11,Paramètres!$A$1:$I$89,5,0)</f>
        <v>218.374</v>
      </c>
      <c r="BF36" s="14">
        <f t="shared" si="37"/>
        <v>53.761330217946302</v>
      </c>
      <c r="BG36" s="22">
        <f t="shared" si="7"/>
        <v>473.96903346292311</v>
      </c>
      <c r="BH36" s="62">
        <f t="shared" si="8"/>
        <v>715.84987929746387</v>
      </c>
      <c r="BI36" s="62">
        <f ca="1">AVERAGE(OFFSET($BH$3,0,0,'Données projet'!$E$11+1,1))-AVERAGE(OFFSET($H$3,0,0,'Données projet'!$E$11+1,1))</f>
        <v>405.94837980869011</v>
      </c>
      <c r="BJ36" s="62">
        <f t="shared" si="38"/>
        <v>511.37583835090879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10.660115308711926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10.660115308711926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12.8</v>
      </c>
      <c r="BY36" s="13">
        <f>IF('Données projet'!$A$114&gt;35,BY35+BX36-CG35,IF(A36&lt;'Données projet'!$A$114,$BV$205^A36,IF(A36='Données projet'!$A$114,'Données projet'!$B$114,BY35+BX36-CG35)))</f>
        <v>149.40000000000003</v>
      </c>
      <c r="BZ36" s="14">
        <f>BY36*VLOOKUP('Données projet'!$B$12,Paramètres!$A$1:$I$89,3,0)*VLOOKUP('Données projet'!$B$12,Paramètres!$A$1:$I$89,5,0)</f>
        <v>128.18520000000004</v>
      </c>
      <c r="CA36" s="14">
        <f t="shared" si="39"/>
        <v>33.57666984533806</v>
      </c>
      <c r="CB36" s="22">
        <f t="shared" si="10"/>
        <v>281.73525664729715</v>
      </c>
      <c r="CC36" s="62">
        <f t="shared" si="11"/>
        <v>523.61610248183786</v>
      </c>
      <c r="CD36" s="62">
        <f ca="1">AVERAGE(OFFSET($CC$3,0,0,'Données projet'!$E$12+1,1))-AVERAGE(OFFSET($H$3,0,0,'Données projet'!$E$12+1,1))</f>
        <v>590.18141384962507</v>
      </c>
      <c r="CE36" s="62">
        <f t="shared" si="40"/>
        <v>331.25104323342907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4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2.4423076923076925</v>
      </c>
      <c r="N37" s="14">
        <f>IF('Données projet'!$A$36&gt;35,N36+M37-V36,IF(A37&lt;'Données projet'!$A$36,$K$205^A37,IF(A37='Données projet'!$A$36,'Données projet'!$B$36,N36+M37-V36)))</f>
        <v>83.038461538461561</v>
      </c>
      <c r="O37" s="14">
        <f>N37*VLOOKUP('Données projet'!$B$9,Paramètres!$A$1:$I$89,3,0)*VLOOKUP('Données projet'!$B$9,Paramètres!$A$1:$I$89,5,0)</f>
        <v>75.133200000000016</v>
      </c>
      <c r="P37" s="14">
        <f t="shared" si="33"/>
        <v>20.942914494033012</v>
      </c>
      <c r="Q37" s="22">
        <f t="shared" si="53"/>
        <v>167.33256607710749</v>
      </c>
      <c r="R37" s="62">
        <f t="shared" si="0"/>
        <v>410.10599753922304</v>
      </c>
      <c r="S37" s="62">
        <f ca="1">AVERAGE(OFFSET($R$3,0,0,'Données projet'!$E$9+1,1))-AVERAGE(OFFSET($H$3,0,0,'Données projet'!$E$9+1,1))</f>
        <v>432.80275651765203</v>
      </c>
      <c r="T37" s="62">
        <f t="shared" si="34"/>
        <v>203.89279893419919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12.2</v>
      </c>
      <c r="AI37" s="14">
        <f>IF('Données projet'!$A$62&gt;35,AI36+AH37-AQ36,IF(A37&lt;'Données projet'!$A$62,$AF$205^A37,IF(A37='Données projet'!$A$62,'Données projet'!$B$62,AI36+AH37-AQ36)))</f>
        <v>188.79999999999998</v>
      </c>
      <c r="AJ37" s="14">
        <f>AI37*VLOOKUP('Données projet'!$B$10,Paramètres!$A$1:$I$89,3,0)*VLOOKUP('Données projet'!$B$10,Paramètres!$A$1:$I$89,5,0)</f>
        <v>164.93567999999999</v>
      </c>
      <c r="AK37" s="14">
        <f t="shared" si="35"/>
        <v>41.953795695589498</v>
      </c>
      <c r="AL37" s="22">
        <f t="shared" si="4"/>
        <v>360.33250350315166</v>
      </c>
      <c r="AM37" s="62">
        <f t="shared" si="5"/>
        <v>603.10593496526724</v>
      </c>
      <c r="AN37" s="62">
        <f ca="1">AVERAGE(OFFSET($AM$3,0,0,'Données projet'!$E$10+1,1))-AVERAGE(OFFSET($H$3,0,0,'Données projet'!$E$10+1,1))</f>
        <v>341.62910675299065</v>
      </c>
      <c r="AO37" s="62">
        <f t="shared" si="36"/>
        <v>407.15938341104709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21.267200369993692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21.267200369993692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22</v>
      </c>
      <c r="BD37" s="13">
        <f>IF('Données projet'!$A$88&gt;35,BD36+BC37-BL36,IF(A37&lt;'Données projet'!$A$88,$BA$205^A37,IF(A37='Données projet'!$A$88,'Données projet'!$B$88,BD36+BC37-BL36)))</f>
        <v>475.99999999999994</v>
      </c>
      <c r="BE37" s="14">
        <f>BD37*VLOOKUP('Données projet'!$B$11,Paramètres!$A$1:$I$89,3,0)*VLOOKUP('Données projet'!$B$11,Paramètres!$A$1:$I$89,5,0)</f>
        <v>228.95599999999999</v>
      </c>
      <c r="BF37" s="14">
        <f t="shared" si="37"/>
        <v>56.056884586774721</v>
      </c>
      <c r="BG37" s="22">
        <f t="shared" si="7"/>
        <v>496.39744065529925</v>
      </c>
      <c r="BH37" s="62">
        <f t="shared" si="8"/>
        <v>739.17087211741477</v>
      </c>
      <c r="BI37" s="62">
        <f ca="1">AVERAGE(OFFSET($BH$3,0,0,'Données projet'!$E$11+1,1))-AVERAGE(OFFSET($H$3,0,0,'Données projet'!$E$11+1,1))</f>
        <v>405.94837980869011</v>
      </c>
      <c r="BJ37" s="62">
        <f t="shared" si="38"/>
        <v>511.37583835090879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10.368613895004099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10.368613895004099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12.8</v>
      </c>
      <c r="BY37" s="13">
        <f>IF('Données projet'!$A$114&gt;35,BY36+BX37-CG36,IF(A37&lt;'Données projet'!$A$114,$BV$205^A37,IF(A37='Données projet'!$A$114,'Données projet'!$B$114,BY36+BX37-CG36)))</f>
        <v>162.20000000000005</v>
      </c>
      <c r="BZ37" s="14">
        <f>BY37*VLOOKUP('Données projet'!$B$12,Paramètres!$A$1:$I$89,3,0)*VLOOKUP('Données projet'!$B$12,Paramètres!$A$1:$I$89,5,0)</f>
        <v>139.16760000000005</v>
      </c>
      <c r="CA37" s="14">
        <f t="shared" si="39"/>
        <v>36.106248210614609</v>
      </c>
      <c r="CB37" s="22">
        <f t="shared" si="10"/>
        <v>305.2686189668205</v>
      </c>
      <c r="CC37" s="62">
        <f t="shared" si="11"/>
        <v>548.04205042893614</v>
      </c>
      <c r="CD37" s="62">
        <f ca="1">AVERAGE(OFFSET($CC$3,0,0,'Données projet'!$E$12+1,1))-AVERAGE(OFFSET($H$3,0,0,'Données projet'!$E$12+1,1))</f>
        <v>590.18141384962507</v>
      </c>
      <c r="CE37" s="62">
        <f t="shared" si="40"/>
        <v>331.25104323342907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4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2.4423076923076925</v>
      </c>
      <c r="N38" s="14">
        <f>IF('Données projet'!$A$36&gt;35,N37+M38-V37,IF(A38&lt;'Données projet'!$A$36,$K$205^A38,IF(A38='Données projet'!$A$36,'Données projet'!$B$36,N37+M38-V37)))</f>
        <v>85.480769230769255</v>
      </c>
      <c r="O38" s="14">
        <f>N38*VLOOKUP('Données projet'!$B$9,Paramètres!$A$1:$I$89,3,0)*VLOOKUP('Données projet'!$B$9,Paramètres!$A$1:$I$89,5,0)</f>
        <v>77.343000000000018</v>
      </c>
      <c r="P38" s="14">
        <f t="shared" si="33"/>
        <v>21.48626226380561</v>
      </c>
      <c r="Q38" s="22">
        <f t="shared" si="53"/>
        <v>172.12763177612814</v>
      </c>
      <c r="R38" s="62">
        <f t="shared" si="0"/>
        <v>415.77816450070264</v>
      </c>
      <c r="S38" s="62">
        <f ca="1">AVERAGE(OFFSET($R$3,0,0,'Données projet'!$E$9+1,1))-AVERAGE(OFFSET($H$3,0,0,'Données projet'!$E$9+1,1))</f>
        <v>432.80275651765203</v>
      </c>
      <c r="T38" s="62">
        <f t="shared" si="34"/>
        <v>203.89279893419919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201</v>
      </c>
      <c r="AG38" s="13">
        <f>VLOOKUP(A38,'Données projet'!$A$61:$I$81,9,0)</f>
        <v>12.2</v>
      </c>
      <c r="AH38" s="13">
        <f t="array" ref="AH38">INDEX(AG:AG,MIN(IF(ISNUMBER(AG38:AG234),ROW(AG38:AG234),"")))</f>
        <v>12.2</v>
      </c>
      <c r="AI38" s="14">
        <f>IF('Données projet'!$A$62&gt;35,AI37+AH38-AQ37,IF(A38&lt;'Données projet'!$A$62,$AF$205^A38,IF(A38='Données projet'!$A$62,'Données projet'!$B$62,AI37+AH38-AQ37)))</f>
        <v>200.99999999999997</v>
      </c>
      <c r="AJ38" s="14">
        <f>AI38*VLOOKUP('Données projet'!$B$10,Paramètres!$A$1:$I$89,3,0)*VLOOKUP('Données projet'!$B$10,Paramètres!$A$1:$I$89,5,0)</f>
        <v>175.59359999999998</v>
      </c>
      <c r="AK38" s="14">
        <f t="shared" si="35"/>
        <v>44.340433728638573</v>
      </c>
      <c r="AL38" s="22">
        <f t="shared" si="4"/>
        <v>383.05177541071208</v>
      </c>
      <c r="AM38" s="62">
        <f t="shared" si="5"/>
        <v>626.70230813528656</v>
      </c>
      <c r="AN38" s="62">
        <f ca="1">AVERAGE(OFFSET($AM$3,0,0,'Données projet'!$E$10+1,1))-AVERAGE(OFFSET($H$3,0,0,'Données projet'!$E$10+1,1))</f>
        <v>341.62910675299065</v>
      </c>
      <c r="AO38" s="62">
        <f t="shared" si="36"/>
        <v>407.15938341104709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0.38700000000000001</v>
      </c>
      <c r="AT38" s="17">
        <f>IF(ISNA(VLOOKUP(A38,'Données projet'!$A$61:$I$81,7,0)),0%,VLOOKUP(A38,'Données projet'!$A$61:$I$81,7,0))</f>
        <v>0.1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36.320962576689979</v>
      </c>
      <c r="AW38" s="23">
        <f>EXP(-LN(2)/2)*AW37+(1-EXP(-LN(2)/2))/(LN(2)/2)*AQ38*AT38*VLOOKUP('Données projet'!$B$10,Paramètres!$A$1:$I$89,3,0)*0.475*44/12</f>
        <v>3.4619134729169225</v>
      </c>
      <c r="AX38" s="23">
        <f t="shared" si="6"/>
        <v>39.782876049606898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498</v>
      </c>
      <c r="BB38" s="13">
        <f>VLOOKUP(A38,'Données projet'!$A$87:$I$107,9,0)</f>
        <v>22</v>
      </c>
      <c r="BC38" s="13">
        <f t="array" ref="BC38">INDEX(BB:BB,MIN(IF(ISNUMBER(BB38:BB234),ROW(BB38:BB234),"")))</f>
        <v>22</v>
      </c>
      <c r="BD38" s="13">
        <f>IF('Données projet'!$A$88&gt;35,BD37+BC38-BL37,IF(A38&lt;'Données projet'!$A$88,$BA$205^A38,IF(A38='Données projet'!$A$88,'Données projet'!$B$88,BD37+BC38-BL37)))</f>
        <v>497.99999999999994</v>
      </c>
      <c r="BE38" s="14">
        <f>BD38*VLOOKUP('Données projet'!$B$11,Paramètres!$A$1:$I$89,3,0)*VLOOKUP('Données projet'!$B$11,Paramètres!$A$1:$I$89,5,0)</f>
        <v>239.53799999999998</v>
      </c>
      <c r="BF38" s="14">
        <f t="shared" si="37"/>
        <v>58.340117787192874</v>
      </c>
      <c r="BG38" s="22">
        <f t="shared" si="7"/>
        <v>518.80438847936091</v>
      </c>
      <c r="BH38" s="62">
        <f t="shared" si="8"/>
        <v>762.45492120393544</v>
      </c>
      <c r="BI38" s="62">
        <f ca="1">AVERAGE(OFFSET($BH$3,0,0,'Données projet'!$E$11+1,1))-AVERAGE(OFFSET($H$3,0,0,'Données projet'!$E$11+1,1))</f>
        <v>405.94837980869011</v>
      </c>
      <c r="BJ38" s="62">
        <f t="shared" si="38"/>
        <v>511.37583835090879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61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0.27500000000000002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20.746688974075568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20.746688974075568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175</v>
      </c>
      <c r="BW38" s="13">
        <f>VLOOKUP(A38,'Données projet'!$A$113:$I$133,9,0)</f>
        <v>12.8</v>
      </c>
      <c r="BX38" s="13">
        <f t="array" ref="BX38">INDEX(BW:BW,MIN(IF(ISNUMBER(BW38:BW234),ROW(BW38:BW234),"")))</f>
        <v>12.8</v>
      </c>
      <c r="BY38" s="13">
        <f>IF('Données projet'!$A$114&gt;35,BY37+BX38-CG37,IF(A38&lt;'Données projet'!$A$114,$BV$205^A38,IF(A38='Données projet'!$A$114,'Données projet'!$B$114,BY37+BX38-CG37)))</f>
        <v>175.00000000000006</v>
      </c>
      <c r="BZ38" s="14">
        <f>BY38*VLOOKUP('Données projet'!$B$12,Paramètres!$A$1:$I$89,3,0)*VLOOKUP('Données projet'!$B$12,Paramètres!$A$1:$I$89,5,0)</f>
        <v>150.15000000000006</v>
      </c>
      <c r="CA38" s="14">
        <f t="shared" si="39"/>
        <v>38.612671675922371</v>
      </c>
      <c r="CB38" s="22">
        <f t="shared" si="10"/>
        <v>328.76165316889825</v>
      </c>
      <c r="CC38" s="62">
        <f t="shared" si="11"/>
        <v>572.41218589347272</v>
      </c>
      <c r="CD38" s="62">
        <f ca="1">AVERAGE(OFFSET($CC$3,0,0,'Données projet'!$E$12+1,1))-AVERAGE(OFFSET($H$3,0,0,'Données projet'!$E$12+1,1))</f>
        <v>590.18141384962507</v>
      </c>
      <c r="CE38" s="62">
        <f t="shared" si="40"/>
        <v>331.25104323342907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35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4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2.4423076923076925</v>
      </c>
      <c r="N39" s="14">
        <f>IF('Données projet'!$A$36&gt;35,N38+M39-V38,IF(A39&lt;'Données projet'!$A$36,$K$205^A39,IF(A39='Données projet'!$A$36,'Données projet'!$B$36,N38+M39-V38)))</f>
        <v>87.923076923076948</v>
      </c>
      <c r="O39" s="14">
        <f>N39*VLOOKUP('Données projet'!$B$9,Paramètres!$A$1:$I$89,3,0)*VLOOKUP('Données projet'!$B$9,Paramètres!$A$1:$I$89,5,0)</f>
        <v>79.552800000000019</v>
      </c>
      <c r="P39" s="14">
        <f t="shared" si="33"/>
        <v>22.027805756238603</v>
      </c>
      <c r="Q39" s="22">
        <f t="shared" si="53"/>
        <v>176.91955502544894</v>
      </c>
      <c r="R39" s="62">
        <f t="shared" si="0"/>
        <v>421.4319732664834</v>
      </c>
      <c r="S39" s="62">
        <f ca="1">AVERAGE(OFFSET($R$3,0,0,'Données projet'!$E$9+1,1))-AVERAGE(OFFSET($H$3,0,0,'Données projet'!$E$9+1,1))</f>
        <v>432.80275651765203</v>
      </c>
      <c r="T39" s="62">
        <f t="shared" si="34"/>
        <v>203.89279893419919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10.8</v>
      </c>
      <c r="AI39" s="14">
        <f>IF('Données projet'!$A$62&gt;35,AI38+AH39-AQ38,IF(A39&lt;'Données projet'!$A$62,$AF$205^A39,IF(A39='Données projet'!$A$62,'Données projet'!$B$62,AI38+AH39-AQ38)))</f>
        <v>169.79999999999998</v>
      </c>
      <c r="AJ39" s="14">
        <f>AI39*VLOOKUP('Données projet'!$B$10,Paramètres!$A$1:$I$89,3,0)*VLOOKUP('Données projet'!$B$10,Paramètres!$A$1:$I$89,5,0)</f>
        <v>148.33727999999999</v>
      </c>
      <c r="AK39" s="14">
        <f t="shared" si="35"/>
        <v>38.200481752654802</v>
      </c>
      <c r="AL39" s="22">
        <f t="shared" si="4"/>
        <v>324.88660171920714</v>
      </c>
      <c r="AM39" s="62">
        <f t="shared" si="5"/>
        <v>569.3990199602415</v>
      </c>
      <c r="AN39" s="62">
        <f ca="1">AVERAGE(OFFSET($AM$3,0,0,'Données projet'!$E$10+1,1))-AVERAGE(OFFSET($H$3,0,0,'Données projet'!$E$10+1,1))</f>
        <v>341.62910675299065</v>
      </c>
      <c r="AO39" s="62">
        <f t="shared" si="36"/>
        <v>407.15938341104709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35.327763944993983</v>
      </c>
      <c r="AW39" s="23">
        <f>EXP(-LN(2)/2)*AW38+(1-EXP(-LN(2)/2))/(LN(2)/2)*AQ39*AT39*VLOOKUP('Données projet'!$B$10,Paramètres!$A$1:$I$89,3,0)*0.475*44/12</f>
        <v>2.4479424925806272</v>
      </c>
      <c r="AX39" s="23">
        <f t="shared" si="6"/>
        <v>37.775706437574613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21.2</v>
      </c>
      <c r="BD39" s="13">
        <f>IF('Données projet'!$A$88&gt;35,BD38+BC39-BL38,IF(A39&lt;'Données projet'!$A$88,$BA$205^A39,IF(A39='Données projet'!$A$88,'Données projet'!$B$88,BD38+BC39-BL38)))</f>
        <v>458.19999999999993</v>
      </c>
      <c r="BE39" s="14">
        <f>BD39*VLOOKUP('Données projet'!$B$11,Paramètres!$A$1:$I$89,3,0)*VLOOKUP('Données projet'!$B$11,Paramètres!$A$1:$I$89,5,0)</f>
        <v>220.39419999999996</v>
      </c>
      <c r="BF39" s="14">
        <f t="shared" si="37"/>
        <v>54.200554214113602</v>
      </c>
      <c r="BG39" s="22">
        <f t="shared" si="7"/>
        <v>478.25253025624767</v>
      </c>
      <c r="BH39" s="62">
        <f t="shared" si="8"/>
        <v>722.76494849728215</v>
      </c>
      <c r="BI39" s="62">
        <f ca="1">AVERAGE(OFFSET($BH$3,0,0,'Données projet'!$E$11+1,1))-AVERAGE(OFFSET($H$3,0,0,'Données projet'!$E$11+1,1))</f>
        <v>405.94837980869011</v>
      </c>
      <c r="BJ39" s="62">
        <f t="shared" si="38"/>
        <v>511.37583835090879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20.179369673058517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20.179369673058517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13.4</v>
      </c>
      <c r="BY39" s="13">
        <f>IF('Données projet'!$A$114&gt;35,BY38+BX39-CG38,IF(A39&lt;'Données projet'!$A$114,$BV$205^A39,IF(A39='Données projet'!$A$114,'Données projet'!$B$114,BY38+BX39-CG38)))</f>
        <v>153.40000000000006</v>
      </c>
      <c r="BZ39" s="14">
        <f>BY39*VLOOKUP('Données projet'!$B$12,Paramètres!$A$1:$I$89,3,0)*VLOOKUP('Données projet'!$B$12,Paramètres!$A$1:$I$89,5,0)</f>
        <v>131.61720000000008</v>
      </c>
      <c r="CA39" s="14">
        <f t="shared" si="39"/>
        <v>34.369777461794328</v>
      </c>
      <c r="CB39" s="22">
        <f t="shared" si="10"/>
        <v>289.09398574595861</v>
      </c>
      <c r="CC39" s="62">
        <f t="shared" si="11"/>
        <v>533.60640398699297</v>
      </c>
      <c r="CD39" s="62">
        <f ca="1">AVERAGE(OFFSET($CC$3,0,0,'Données projet'!$E$12+1,1))-AVERAGE(OFFSET($H$3,0,0,'Données projet'!$E$12+1,1))</f>
        <v>590.18141384962507</v>
      </c>
      <c r="CE39" s="62">
        <f t="shared" si="40"/>
        <v>331.25104323342907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4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2.4423076923076925</v>
      </c>
      <c r="N40" s="14">
        <f>IF('Données projet'!$A$36&gt;35,N39+M40-V39,IF(A40&lt;'Données projet'!$A$36,$K$205^A40,IF(A40='Données projet'!$A$36,'Données projet'!$B$36,N39+M40-V39)))</f>
        <v>90.365384615384642</v>
      </c>
      <c r="O40" s="14">
        <f>N40*VLOOKUP('Données projet'!$B$9,Paramètres!$A$1:$I$89,3,0)*VLOOKUP('Données projet'!$B$9,Paramètres!$A$1:$I$89,5,0)</f>
        <v>81.76260000000002</v>
      </c>
      <c r="P40" s="14">
        <f t="shared" si="33"/>
        <v>22.567600848174017</v>
      </c>
      <c r="Q40" s="22">
        <f t="shared" si="53"/>
        <v>181.70843314390311</v>
      </c>
      <c r="R40" s="62">
        <f t="shared" si="0"/>
        <v>427.06778511457424</v>
      </c>
      <c r="S40" s="62">
        <f ca="1">AVERAGE(OFFSET($R$3,0,0,'Données projet'!$E$9+1,1))-AVERAGE(OFFSET($H$3,0,0,'Données projet'!$E$9+1,1))</f>
        <v>432.80275651765203</v>
      </c>
      <c r="T40" s="62">
        <f t="shared" si="34"/>
        <v>203.89279893419919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10.8</v>
      </c>
      <c r="AI40" s="14">
        <f>IF('Données projet'!$A$62&gt;35,AI39+AH40-AQ39,IF(A40&lt;'Données projet'!$A$62,$AF$205^A40,IF(A40='Données projet'!$A$62,'Données projet'!$B$62,AI39+AH40-AQ39)))</f>
        <v>180.6</v>
      </c>
      <c r="AJ40" s="14">
        <f>AI40*VLOOKUP('Données projet'!$B$10,Paramètres!$A$1:$I$89,3,0)*VLOOKUP('Données projet'!$B$10,Paramètres!$A$1:$I$89,5,0)</f>
        <v>157.77216000000001</v>
      </c>
      <c r="AK40" s="14">
        <f t="shared" si="35"/>
        <v>40.339610539653599</v>
      </c>
      <c r="AL40" s="22">
        <f t="shared" si="4"/>
        <v>345.04466702323003</v>
      </c>
      <c r="AM40" s="62">
        <f t="shared" si="5"/>
        <v>590.4040189939011</v>
      </c>
      <c r="AN40" s="62">
        <f ca="1">AVERAGE(OFFSET($AM$3,0,0,'Données projet'!$E$10+1,1))-AVERAGE(OFFSET($H$3,0,0,'Données projet'!$E$10+1,1))</f>
        <v>341.62910675299065</v>
      </c>
      <c r="AO40" s="62">
        <f t="shared" si="36"/>
        <v>407.15938341104709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34.36172438211176</v>
      </c>
      <c r="AW40" s="23">
        <f>EXP(-LN(2)/2)*AW39+(1-EXP(-LN(2)/2))/(LN(2)/2)*AQ40*AT40*VLOOKUP('Données projet'!$B$10,Paramètres!$A$1:$I$89,3,0)*0.475*44/12</f>
        <v>1.7309567364584615</v>
      </c>
      <c r="AX40" s="23">
        <f t="shared" si="6"/>
        <v>36.092681118570219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21.2</v>
      </c>
      <c r="BD40" s="13">
        <f>IF('Données projet'!$A$88&gt;35,BD39+BC40-BL39,IF(A40&lt;'Données projet'!$A$88,$BA$205^A40,IF(A40='Données projet'!$A$88,'Données projet'!$B$88,BD39+BC40-BL39)))</f>
        <v>479.39999999999992</v>
      </c>
      <c r="BE40" s="14">
        <f>BD40*VLOOKUP('Données projet'!$B$11,Paramètres!$A$1:$I$89,3,0)*VLOOKUP('Données projet'!$B$11,Paramètres!$A$1:$I$89,5,0)</f>
        <v>230.59139999999996</v>
      </c>
      <c r="BF40" s="14">
        <f t="shared" si="37"/>
        <v>56.41053691995269</v>
      </c>
      <c r="BG40" s="22">
        <f t="shared" si="7"/>
        <v>499.86170680225081</v>
      </c>
      <c r="BH40" s="62">
        <f t="shared" si="8"/>
        <v>745.22105877292188</v>
      </c>
      <c r="BI40" s="62">
        <f ca="1">AVERAGE(OFFSET($BH$3,0,0,'Données projet'!$E$11+1,1))-AVERAGE(OFFSET($H$3,0,0,'Données projet'!$E$11+1,1))</f>
        <v>405.94837980869011</v>
      </c>
      <c r="BJ40" s="62">
        <f t="shared" si="38"/>
        <v>511.37583835090879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19.627563748161801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19.627563748161801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13.4</v>
      </c>
      <c r="BY40" s="13">
        <f>IF('Données projet'!$A$114&gt;35,BY39+BX40-CG39,IF(A40&lt;'Données projet'!$A$114,$BV$205^A40,IF(A40='Données projet'!$A$114,'Données projet'!$B$114,BY39+BX40-CG39)))</f>
        <v>166.80000000000007</v>
      </c>
      <c r="BZ40" s="14">
        <f>BY40*VLOOKUP('Données projet'!$B$12,Paramètres!$A$1:$I$89,3,0)*VLOOKUP('Données projet'!$B$12,Paramètres!$A$1:$I$89,5,0)</f>
        <v>143.11440000000007</v>
      </c>
      <c r="CA40" s="14">
        <f t="shared" si="39"/>
        <v>37.009554635379814</v>
      </c>
      <c r="CB40" s="22">
        <f t="shared" si="10"/>
        <v>313.71588765662</v>
      </c>
      <c r="CC40" s="62">
        <f t="shared" si="11"/>
        <v>559.07523962729113</v>
      </c>
      <c r="CD40" s="62">
        <f ca="1">AVERAGE(OFFSET($CC$3,0,0,'Données projet'!$E$12+1,1))-AVERAGE(OFFSET($H$3,0,0,'Données projet'!$E$12+1,1))</f>
        <v>590.18141384962507</v>
      </c>
      <c r="CE40" s="62">
        <f t="shared" si="40"/>
        <v>331.25104323342907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4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2.4423076923076925</v>
      </c>
      <c r="N41" s="14">
        <f>IF('Données projet'!$A$36&gt;35,N40+M41-V40,IF(A41&lt;'Données projet'!$A$36,$K$205^A41,IF(A41='Données projet'!$A$36,'Données projet'!$B$36,N40+M41-V40)))</f>
        <v>92.807692307692335</v>
      </c>
      <c r="O41" s="14">
        <f>N41*VLOOKUP('Données projet'!$B$9,Paramètres!$A$1:$I$89,3,0)*VLOOKUP('Données projet'!$B$9,Paramètres!$A$1:$I$89,5,0)</f>
        <v>83.972400000000022</v>
      </c>
      <c r="P41" s="14">
        <f t="shared" si="33"/>
        <v>23.105700224146609</v>
      </c>
      <c r="Q41" s="22">
        <f t="shared" si="53"/>
        <v>186.49435789038873</v>
      </c>
      <c r="R41" s="62">
        <f t="shared" si="0"/>
        <v>432.68595118394745</v>
      </c>
      <c r="S41" s="62">
        <f ca="1">AVERAGE(OFFSET($R$3,0,0,'Données projet'!$E$9+1,1))-AVERAGE(OFFSET($H$3,0,0,'Données projet'!$E$9+1,1))</f>
        <v>432.80275651765203</v>
      </c>
      <c r="T41" s="62">
        <f t="shared" si="34"/>
        <v>203.89279893419919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10.8</v>
      </c>
      <c r="AI41" s="14">
        <f>IF('Données projet'!$A$62&gt;35,AI40+AH41-AQ40,IF(A41&lt;'Données projet'!$A$62,$AF$205^A41,IF(A41='Données projet'!$A$62,'Données projet'!$B$62,AI40+AH41-AQ40)))</f>
        <v>191.4</v>
      </c>
      <c r="AJ41" s="14">
        <f>AI41*VLOOKUP('Données projet'!$B$10,Paramètres!$A$1:$I$89,3,0)*VLOOKUP('Données projet'!$B$10,Paramètres!$A$1:$I$89,5,0)</f>
        <v>167.20704000000003</v>
      </c>
      <c r="AK41" s="14">
        <f t="shared" si="35"/>
        <v>42.463891647822834</v>
      </c>
      <c r="AL41" s="22">
        <f t="shared" si="4"/>
        <v>365.17687261995815</v>
      </c>
      <c r="AM41" s="62">
        <f t="shared" si="5"/>
        <v>611.36846591351684</v>
      </c>
      <c r="AN41" s="62">
        <f ca="1">AVERAGE(OFFSET($AM$3,0,0,'Données projet'!$E$10+1,1))-AVERAGE(OFFSET($H$3,0,0,'Données projet'!$E$10+1,1))</f>
        <v>341.62910675299065</v>
      </c>
      <c r="AO41" s="62">
        <f t="shared" si="36"/>
        <v>407.15938341104709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33.422101221878364</v>
      </c>
      <c r="AW41" s="23">
        <f>EXP(-LN(2)/2)*AW40+(1-EXP(-LN(2)/2))/(LN(2)/2)*AQ41*AT41*VLOOKUP('Données projet'!$B$10,Paramètres!$A$1:$I$89,3,0)*0.475*44/12</f>
        <v>1.2239712462903138</v>
      </c>
      <c r="AX41" s="23">
        <f t="shared" si="6"/>
        <v>34.646072468168676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21.2</v>
      </c>
      <c r="BD41" s="13">
        <f>IF('Données projet'!$A$88&gt;35,BD40+BC41-BL40,IF(A41&lt;'Données projet'!$A$88,$BA$205^A41,IF(A41='Données projet'!$A$88,'Données projet'!$B$88,BD40+BC41-BL40)))</f>
        <v>500.59999999999991</v>
      </c>
      <c r="BE41" s="14">
        <f>BD41*VLOOKUP('Données projet'!$B$11,Paramètres!$A$1:$I$89,3,0)*VLOOKUP('Données projet'!$B$11,Paramètres!$A$1:$I$89,5,0)</f>
        <v>240.78859999999995</v>
      </c>
      <c r="BF41" s="14">
        <f t="shared" si="37"/>
        <v>58.60916920625705</v>
      </c>
      <c r="BG41" s="22">
        <f t="shared" si="7"/>
        <v>521.45111470089762</v>
      </c>
      <c r="BH41" s="62">
        <f t="shared" si="8"/>
        <v>767.64270799445637</v>
      </c>
      <c r="BI41" s="62">
        <f ca="1">AVERAGE(OFFSET($BH$3,0,0,'Données projet'!$E$11+1,1))-AVERAGE(OFFSET($H$3,0,0,'Données projet'!$E$11+1,1))</f>
        <v>405.94837980869011</v>
      </c>
      <c r="BJ41" s="62">
        <f t="shared" si="38"/>
        <v>511.37583835090879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19.090846985299599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19.090846985299599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13.4</v>
      </c>
      <c r="BY41" s="13">
        <f>IF('Données projet'!$A$114&gt;35,BY40+BX41-CG40,IF(A41&lt;'Données projet'!$A$114,$BV$205^A41,IF(A41='Données projet'!$A$114,'Données projet'!$B$114,BY40+BX41-CG40)))</f>
        <v>180.20000000000007</v>
      </c>
      <c r="BZ41" s="14">
        <f>BY41*VLOOKUP('Données projet'!$B$12,Paramètres!$A$1:$I$89,3,0)*VLOOKUP('Données projet'!$B$12,Paramètres!$A$1:$I$89,5,0)</f>
        <v>154.61160000000007</v>
      </c>
      <c r="CA41" s="14">
        <f t="shared" si="39"/>
        <v>39.624734188365885</v>
      </c>
      <c r="CB41" s="22">
        <f t="shared" si="10"/>
        <v>338.294948711404</v>
      </c>
      <c r="CC41" s="62">
        <f t="shared" si="11"/>
        <v>584.48654200496276</v>
      </c>
      <c r="CD41" s="62">
        <f ca="1">AVERAGE(OFFSET($CC$3,0,0,'Données projet'!$E$12+1,1))-AVERAGE(OFFSET($H$3,0,0,'Données projet'!$E$12+1,1))</f>
        <v>590.18141384962507</v>
      </c>
      <c r="CE41" s="62">
        <f t="shared" si="40"/>
        <v>331.25104323342907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4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2.4423076923076925</v>
      </c>
      <c r="N42" s="14">
        <f>IF('Données projet'!$A$36&gt;35,N41+M42-V41,IF(A42&lt;'Données projet'!$A$36,$K$205^A42,IF(A42='Données projet'!$A$36,'Données projet'!$B$36,N41+M42-V41)))</f>
        <v>95.250000000000028</v>
      </c>
      <c r="O42" s="14">
        <f>N42*VLOOKUP('Données projet'!$B$9,Paramètres!$A$1:$I$89,3,0)*VLOOKUP('Données projet'!$B$9,Paramètres!$A$1:$I$89,5,0)</f>
        <v>86.182200000000023</v>
      </c>
      <c r="P42" s="14">
        <f t="shared" si="33"/>
        <v>23.642153637908169</v>
      </c>
      <c r="Q42" s="22">
        <f t="shared" si="53"/>
        <v>191.27741591935674</v>
      </c>
      <c r="R42" s="62">
        <f t="shared" si="0"/>
        <v>438.28681300946386</v>
      </c>
      <c r="S42" s="62">
        <f ca="1">AVERAGE(OFFSET($R$3,0,0,'Données projet'!$E$9+1,1))-AVERAGE(OFFSET($H$3,0,0,'Données projet'!$E$9+1,1))</f>
        <v>432.80275651765203</v>
      </c>
      <c r="T42" s="62">
        <f t="shared" si="34"/>
        <v>203.89279893419919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10.8</v>
      </c>
      <c r="AI42" s="14">
        <f>IF('Données projet'!$A$62&gt;35,AI41+AH42-AQ41,IF(A42&lt;'Données projet'!$A$62,$AF$205^A42,IF(A42='Données projet'!$A$62,'Données projet'!$B$62,AI41+AH42-AQ41)))</f>
        <v>202.20000000000002</v>
      </c>
      <c r="AJ42" s="14">
        <f>AI42*VLOOKUP('Données projet'!$B$10,Paramètres!$A$1:$I$89,3,0)*VLOOKUP('Données projet'!$B$10,Paramètres!$A$1:$I$89,5,0)</f>
        <v>176.64192000000003</v>
      </c>
      <c r="AK42" s="14">
        <f t="shared" si="35"/>
        <v>44.574258350008236</v>
      </c>
      <c r="AL42" s="22">
        <f t="shared" si="4"/>
        <v>385.28484395959771</v>
      </c>
      <c r="AM42" s="62">
        <f t="shared" si="5"/>
        <v>632.29424104970485</v>
      </c>
      <c r="AN42" s="62">
        <f ca="1">AVERAGE(OFFSET($AM$3,0,0,'Données projet'!$E$10+1,1))-AVERAGE(OFFSET($H$3,0,0,'Données projet'!$E$10+1,1))</f>
        <v>341.62910675299065</v>
      </c>
      <c r="AO42" s="62">
        <f t="shared" si="36"/>
        <v>407.15938341104709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32.508172106374182</v>
      </c>
      <c r="AW42" s="23">
        <f>EXP(-LN(2)/2)*AW41+(1-EXP(-LN(2)/2))/(LN(2)/2)*AQ42*AT42*VLOOKUP('Données projet'!$B$10,Paramètres!$A$1:$I$89,3,0)*0.475*44/12</f>
        <v>0.86547836822923085</v>
      </c>
      <c r="AX42" s="23">
        <f t="shared" si="6"/>
        <v>33.373650474603416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21.2</v>
      </c>
      <c r="BD42" s="13">
        <f>IF('Données projet'!$A$88&gt;35,BD41+BC42-BL41,IF(A42&lt;'Données projet'!$A$88,$BA$205^A42,IF(A42='Données projet'!$A$88,'Données projet'!$B$88,BD41+BC42-BL41)))</f>
        <v>521.79999999999995</v>
      </c>
      <c r="BE42" s="14">
        <f>BD42*VLOOKUP('Données projet'!$B$11,Paramètres!$A$1:$I$89,3,0)*VLOOKUP('Données projet'!$B$11,Paramètres!$A$1:$I$89,5,0)</f>
        <v>250.98579999999998</v>
      </c>
      <c r="BF42" s="14">
        <f t="shared" si="37"/>
        <v>60.796986711441882</v>
      </c>
      <c r="BG42" s="22">
        <f t="shared" si="7"/>
        <v>543.02168685576123</v>
      </c>
      <c r="BH42" s="62">
        <f t="shared" si="8"/>
        <v>790.03108394586832</v>
      </c>
      <c r="BI42" s="62">
        <f ca="1">AVERAGE(OFFSET($BH$3,0,0,'Données projet'!$E$11+1,1))-AVERAGE(OFFSET($H$3,0,0,'Données projet'!$E$11+1,1))</f>
        <v>405.94837980869011</v>
      </c>
      <c r="BJ42" s="62">
        <f t="shared" si="38"/>
        <v>511.37583835090879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18.568806770542572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18.568806770542572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13.4</v>
      </c>
      <c r="BY42" s="13">
        <f>IF('Données projet'!$A$114&gt;35,BY41+BX42-CG41,IF(A42&lt;'Données projet'!$A$114,$BV$205^A42,IF(A42='Données projet'!$A$114,'Données projet'!$B$114,BY41+BX42-CG41)))</f>
        <v>193.60000000000008</v>
      </c>
      <c r="BZ42" s="14">
        <f>BY42*VLOOKUP('Données projet'!$B$12,Paramètres!$A$1:$I$89,3,0)*VLOOKUP('Données projet'!$B$12,Paramètres!$A$1:$I$89,5,0)</f>
        <v>166.10880000000009</v>
      </c>
      <c r="CA42" s="14">
        <f t="shared" si="39"/>
        <v>42.217353238107833</v>
      </c>
      <c r="CB42" s="22">
        <f t="shared" si="10"/>
        <v>362.83471688970462</v>
      </c>
      <c r="CC42" s="62">
        <f t="shared" si="11"/>
        <v>609.84411397981171</v>
      </c>
      <c r="CD42" s="62">
        <f ca="1">AVERAGE(OFFSET($CC$3,0,0,'Données projet'!$E$12+1,1))-AVERAGE(OFFSET($H$3,0,0,'Données projet'!$E$12+1,1))</f>
        <v>590.18141384962507</v>
      </c>
      <c r="CE42" s="62">
        <f t="shared" si="40"/>
        <v>331.25104323342907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4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2.4423076923076925</v>
      </c>
      <c r="N43" s="14">
        <f>IF('Données projet'!$A$36&gt;35,N42+M43-V42,IF(A43&lt;'Données projet'!$A$36,$K$205^A43,IF(A43='Données projet'!$A$36,'Données projet'!$B$36,N42+M43-V42)))</f>
        <v>97.692307692307722</v>
      </c>
      <c r="O43" s="14">
        <f>N43*VLOOKUP('Données projet'!$B$9,Paramètres!$A$1:$I$89,3,0)*VLOOKUP('Données projet'!$B$9,Paramètres!$A$1:$I$89,5,0)</f>
        <v>88.392000000000024</v>
      </c>
      <c r="P43" s="14">
        <f t="shared" si="33"/>
        <v>24.177008146373939</v>
      </c>
      <c r="Q43" s="22">
        <f t="shared" si="53"/>
        <v>196.05768918826797</v>
      </c>
      <c r="R43" s="62">
        <f t="shared" si="0"/>
        <v>443.87070300738878</v>
      </c>
      <c r="S43" s="62">
        <f ca="1">AVERAGE(OFFSET($R$3,0,0,'Données projet'!$E$9+1,1))-AVERAGE(OFFSET($H$3,0,0,'Données projet'!$E$9+1,1))</f>
        <v>432.80275651765203</v>
      </c>
      <c r="T43" s="62">
        <f t="shared" si="34"/>
        <v>203.89279893419919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213</v>
      </c>
      <c r="AG43" s="13">
        <f>VLOOKUP(A43,'Données projet'!$A$61:$I$81,9,0)</f>
        <v>10.8</v>
      </c>
      <c r="AH43" s="13">
        <f t="array" ref="AH43">INDEX(AG:AG,MIN(IF(ISNUMBER(AG43:AG239),ROW(AG43:AG239),"")))</f>
        <v>10.8</v>
      </c>
      <c r="AI43" s="14">
        <f>IF('Données projet'!$A$62&gt;35,AI42+AH43-AQ42,IF(A43&lt;'Données projet'!$A$62,$AF$205^A43,IF(A43='Données projet'!$A$62,'Données projet'!$B$62,AI42+AH43-AQ42)))</f>
        <v>213.00000000000003</v>
      </c>
      <c r="AJ43" s="14">
        <f>AI43*VLOOKUP('Données projet'!$B$10,Paramètres!$A$1:$I$89,3,0)*VLOOKUP('Données projet'!$B$10,Paramètres!$A$1:$I$89,5,0)</f>
        <v>186.07680000000005</v>
      </c>
      <c r="AK43" s="14">
        <f t="shared" si="35"/>
        <v>46.671538591528673</v>
      </c>
      <c r="AL43" s="22">
        <f t="shared" si="4"/>
        <v>405.37002304691242</v>
      </c>
      <c r="AM43" s="62">
        <f t="shared" si="5"/>
        <v>653.18303686603326</v>
      </c>
      <c r="AN43" s="62">
        <f ca="1">AVERAGE(OFFSET($AM$3,0,0,'Données projet'!$E$10+1,1))-AVERAGE(OFFSET($H$3,0,0,'Données projet'!$E$10+1,1))</f>
        <v>341.62910675299065</v>
      </c>
      <c r="AO43" s="62">
        <f t="shared" si="36"/>
        <v>407.15938341104709</v>
      </c>
      <c r="AP43" s="16">
        <f>IF(ISNA(VLOOKUP(A43,'Données projet'!$A$61:$I$81,3,0)),0,VLOOKUP(A43,'Données projet'!$A$61:$I$81,3,0))</f>
        <v>6</v>
      </c>
      <c r="AQ43" s="16">
        <f>IF(ISNA(VLOOKUP(A43,'Données projet'!$A$61:$I$81,4,0)),0,VLOOKUP(A43,'Données projet'!$A$61:$I$81,4,0))</f>
        <v>39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0.38700000000000001</v>
      </c>
      <c r="AT43" s="17">
        <f>IF(ISNA(VLOOKUP(A43,'Données projet'!$A$61:$I$81,7,0)),0%,VLOOKUP(A43,'Données projet'!$A$61:$I$81,7,0))</f>
        <v>0.1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46.137741141287329</v>
      </c>
      <c r="AW43" s="23">
        <f>EXP(-LN(2)/2)*AW42+(1-EXP(-LN(2)/2))/(LN(2)/2)*AQ43*AT43*VLOOKUP('Données projet'!$B$10,Paramètres!$A$1:$I$89,3,0)*0.475*44/12</f>
        <v>3.8266195622822994</v>
      </c>
      <c r="AX43" s="23">
        <f t="shared" si="6"/>
        <v>49.964360703569625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543</v>
      </c>
      <c r="BB43" s="13">
        <f>VLOOKUP(A43,'Données projet'!$A$87:$I$107,9,0)</f>
        <v>21.2</v>
      </c>
      <c r="BC43" s="13">
        <f t="array" ref="BC43">INDEX(BB:BB,MIN(IF(ISNUMBER(BB43:BB239),ROW(BB43:BB239),"")))</f>
        <v>21.2</v>
      </c>
      <c r="BD43" s="13">
        <f>IF('Données projet'!$A$88&gt;35,BD42+BC43-BL42,IF(A43&lt;'Données projet'!$A$88,$BA$205^A43,IF(A43='Données projet'!$A$88,'Données projet'!$B$88,BD42+BC43-BL42)))</f>
        <v>543</v>
      </c>
      <c r="BE43" s="14">
        <f>BD43*VLOOKUP('Données projet'!$B$11,Paramètres!$A$1:$I$89,3,0)*VLOOKUP('Données projet'!$B$11,Paramètres!$A$1:$I$89,5,0)</f>
        <v>261.18299999999999</v>
      </c>
      <c r="BF43" s="14">
        <f t="shared" si="37"/>
        <v>62.974479086291652</v>
      </c>
      <c r="BG43" s="22">
        <f t="shared" si="7"/>
        <v>564.57427607529121</v>
      </c>
      <c r="BH43" s="62">
        <f t="shared" si="8"/>
        <v>812.38728989441199</v>
      </c>
      <c r="BI43" s="62">
        <f ca="1">AVERAGE(OFFSET($BH$3,0,0,'Données projet'!$E$11+1,1))-AVERAGE(OFFSET($H$3,0,0,'Données projet'!$E$11+1,1))</f>
        <v>405.94837980869011</v>
      </c>
      <c r="BJ43" s="62">
        <f t="shared" si="38"/>
        <v>511.37583835090879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65</v>
      </c>
      <c r="BM43" s="17">
        <f>IF(ISNA(VLOOKUP(A43,'Données projet'!$A$87:$I$107,5,0)),0%,VLOOKUP(A43,'Données projet'!$A$87:$I$107,5,0)*VLOOKUP('Données projet'!$B$11,Paramètres!$A$1:$I$89,7,0))</f>
        <v>0.27500000000000002</v>
      </c>
      <c r="BN43" s="17">
        <f>IF(ISNA(VLOOKUP(A43,'Données projet'!$A$87:$I$107,6,0)),0%,VLOOKUP(A43,'Données projet'!$A$87:$I$107,6,0)*VLOOKUP('Données projet'!$B$11,Paramètres!$A$1:$I$89,7,0))</f>
        <v>0.22000000000000003</v>
      </c>
      <c r="BO43" s="17">
        <f>IF(ISNA(VLOOKUP(A43,'Données projet'!$A$87:$I$107,7,0)),0%,VLOOKUP(A43,'Données projet'!$A$87:$I$107,7,0))</f>
        <v>0.1</v>
      </c>
      <c r="BP43" s="23">
        <f>EXP(-LN(2)/35)*BP42+(1-EXP(-LN(2)/35))/(LN(2)/35)*BL43*BM43*VLOOKUP('Données projet'!$B$11,Paramètres!$A$1:$I$89,3,0)*0.475*44/12</f>
        <v>11.405635367312238</v>
      </c>
      <c r="BQ43" s="23">
        <f>EXP(-LN(2)/25)*BQ42+(1-EXP(-LN(2)/25))/(LN(2)/25)*Calculateur!BL43*Calculateur!BN43*VLOOKUP('Données projet'!$B$11,Paramètres!$A$1:$I$89,3,0)*0.475*44/12</f>
        <v>27.149623400897653</v>
      </c>
      <c r="BR43" s="23">
        <f>EXP(-LN(2)/2)*BR42+(1-EXP(-LN(2)/2))/(LN(2)/2)*BL43*BO43*VLOOKUP('Données projet'!$B$11,Paramètres!$A$1:$I$89,3,0)*0.475*44/12</f>
        <v>3.5399242782164961</v>
      </c>
      <c r="BS43" s="24">
        <f t="shared" si="9"/>
        <v>42.095183046426385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207</v>
      </c>
      <c r="BW43" s="13">
        <f>VLOOKUP(A43,'Données projet'!$A$113:$I$133,9,0)</f>
        <v>13.4</v>
      </c>
      <c r="BX43" s="13">
        <f t="array" ref="BX43">INDEX(BW:BW,MIN(IF(ISNUMBER(BW43:BW239),ROW(BW43:BW239),"")))</f>
        <v>13.4</v>
      </c>
      <c r="BY43" s="13">
        <f>IF('Données projet'!$A$114&gt;35,BY42+BX43-CG42,IF(A43&lt;'Données projet'!$A$114,$BV$205^A43,IF(A43='Données projet'!$A$114,'Données projet'!$B$114,BY42+BX43-CG42)))</f>
        <v>207.00000000000009</v>
      </c>
      <c r="BZ43" s="14">
        <f>BY43*VLOOKUP('Données projet'!$B$12,Paramètres!$A$1:$I$89,3,0)*VLOOKUP('Données projet'!$B$12,Paramètres!$A$1:$I$89,5,0)</f>
        <v>177.60600000000008</v>
      </c>
      <c r="CA43" s="14">
        <f t="shared" si="39"/>
        <v>44.789150937858665</v>
      </c>
      <c r="CB43" s="22">
        <f t="shared" si="10"/>
        <v>387.33822121677059</v>
      </c>
      <c r="CC43" s="62">
        <f t="shared" si="11"/>
        <v>635.15123503589143</v>
      </c>
      <c r="CD43" s="62">
        <f ca="1">AVERAGE(OFFSET($CC$3,0,0,'Données projet'!$E$12+1,1))-AVERAGE(OFFSET($H$3,0,0,'Données projet'!$E$12+1,1))</f>
        <v>590.18141384962507</v>
      </c>
      <c r="CE43" s="62">
        <f t="shared" si="40"/>
        <v>331.25104323342907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35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4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2.4423076923076925</v>
      </c>
      <c r="N44" s="14">
        <f>IF('Données projet'!$A$36&gt;35,N43+M44-V43,IF(A44&lt;'Données projet'!$A$36,$K$205^A44,IF(A44='Données projet'!$A$36,'Données projet'!$B$36,N43+M44-V43)))</f>
        <v>100.13461538461542</v>
      </c>
      <c r="O44" s="14">
        <f>N44*VLOOKUP('Données projet'!$B$9,Paramètres!$A$1:$I$89,3,0)*VLOOKUP('Données projet'!$B$9,Paramètres!$A$1:$I$89,5,0)</f>
        <v>90.601800000000026</v>
      </c>
      <c r="P44" s="14">
        <f t="shared" si="33"/>
        <v>24.710308319515875</v>
      </c>
      <c r="Q44" s="22">
        <f t="shared" si="53"/>
        <v>200.83525532315684</v>
      </c>
      <c r="R44" s="62">
        <f t="shared" si="0"/>
        <v>449.43794491766084</v>
      </c>
      <c r="S44" s="62">
        <f ca="1">AVERAGE(OFFSET($R$3,0,0,'Données projet'!$E$9+1,1))-AVERAGE(OFFSET($H$3,0,0,'Données projet'!$E$9+1,1))</f>
        <v>432.80275651765203</v>
      </c>
      <c r="T44" s="62">
        <f t="shared" si="34"/>
        <v>203.89279893419919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9.8000000000000007</v>
      </c>
      <c r="AI44" s="14">
        <f>IF('Données projet'!$A$62&gt;35,AI43+AH44-AQ43,IF(A44&lt;'Données projet'!$A$62,$AF$205^A44,IF(A44='Données projet'!$A$62,'Données projet'!$B$62,AI43+AH44-AQ43)))</f>
        <v>183.80000000000004</v>
      </c>
      <c r="AJ44" s="14">
        <f>AI44*VLOOKUP('Données projet'!$B$10,Paramètres!$A$1:$I$89,3,0)*VLOOKUP('Données projet'!$B$10,Paramètres!$A$1:$I$89,5,0)</f>
        <v>160.56768000000005</v>
      </c>
      <c r="AK44" s="14">
        <f t="shared" si="35"/>
        <v>40.970530810309882</v>
      </c>
      <c r="AL44" s="22">
        <f t="shared" si="4"/>
        <v>351.0123838279564</v>
      </c>
      <c r="AM44" s="62">
        <f t="shared" si="5"/>
        <v>599.61507342246034</v>
      </c>
      <c r="AN44" s="62">
        <f ca="1">AVERAGE(OFFSET($AM$3,0,0,'Données projet'!$E$10+1,1))-AVERAGE(OFFSET($H$3,0,0,'Données projet'!$E$10+1,1))</f>
        <v>341.62910675299065</v>
      </c>
      <c r="AO44" s="62">
        <f t="shared" si="36"/>
        <v>407.15938341104709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44.876102183500471</v>
      </c>
      <c r="AW44" s="23">
        <f>EXP(-LN(2)/2)*AW43+(1-EXP(-LN(2)/2))/(LN(2)/2)*AQ44*AT44*VLOOKUP('Données projet'!$B$10,Paramètres!$A$1:$I$89,3,0)*0.475*44/12</f>
        <v>2.7058286415109123</v>
      </c>
      <c r="AX44" s="23">
        <f t="shared" si="6"/>
        <v>47.581930825011383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18.8</v>
      </c>
      <c r="BD44" s="13">
        <f>IF('Données projet'!$A$88&gt;35,BD43+BC44-BL43,IF(A44&lt;'Données projet'!$A$88,$BA$205^A44,IF(A44='Données projet'!$A$88,'Données projet'!$B$88,BD43+BC44-BL43)))</f>
        <v>496.79999999999995</v>
      </c>
      <c r="BE44" s="14">
        <f>BD44*VLOOKUP('Données projet'!$B$11,Paramètres!$A$1:$I$89,3,0)*VLOOKUP('Données projet'!$B$11,Paramètres!$A$1:$I$89,5,0)</f>
        <v>238.96079999999998</v>
      </c>
      <c r="BF44" s="14">
        <f t="shared" si="37"/>
        <v>58.215885103108349</v>
      </c>
      <c r="BG44" s="22">
        <f t="shared" si="7"/>
        <v>517.58272655458029</v>
      </c>
      <c r="BH44" s="62">
        <f t="shared" si="8"/>
        <v>766.18541614908429</v>
      </c>
      <c r="BI44" s="62">
        <f ca="1">AVERAGE(OFFSET($BH$3,0,0,'Données projet'!$E$11+1,1))-AVERAGE(OFFSET($H$3,0,0,'Données projet'!$E$11+1,1))</f>
        <v>405.94837980869011</v>
      </c>
      <c r="BJ44" s="62">
        <f t="shared" si="38"/>
        <v>511.37583835090879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11.181977814509898</v>
      </c>
      <c r="BQ44" s="23">
        <f>EXP(-LN(2)/25)*BQ43+(1-EXP(-LN(2)/25))/(LN(2)/25)*Calculateur!BL44*Calculateur!BN44*VLOOKUP('Données projet'!$B$11,Paramètres!$A$1:$I$89,3,0)*0.475*44/12</f>
        <v>26.407215521263463</v>
      </c>
      <c r="BR44" s="23">
        <f>EXP(-LN(2)/2)*BR43+(1-EXP(-LN(2)/2))/(LN(2)/2)*BL44*BO44*VLOOKUP('Données projet'!$B$11,Paramètres!$A$1:$I$89,3,0)*0.475*44/12</f>
        <v>2.5031044620137792</v>
      </c>
      <c r="BS44" s="24">
        <f t="shared" si="9"/>
        <v>40.09229779778714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13.8</v>
      </c>
      <c r="BY44" s="13">
        <f>IF('Données projet'!$A$114&gt;35,BY43+BX44-CG43,IF(A44&lt;'Données projet'!$A$114,$BV$205^A44,IF(A44='Données projet'!$A$114,'Données projet'!$B$114,BY43+BX44-CG43)))</f>
        <v>185.8000000000001</v>
      </c>
      <c r="BZ44" s="14">
        <f>BY44*VLOOKUP('Données projet'!$B$12,Paramètres!$A$1:$I$89,3,0)*VLOOKUP('Données projet'!$B$12,Paramètres!$A$1:$I$89,5,0)</f>
        <v>159.4164000000001</v>
      </c>
      <c r="CA44" s="14">
        <f t="shared" si="39"/>
        <v>40.710854816108295</v>
      </c>
      <c r="CB44" s="22">
        <f t="shared" si="10"/>
        <v>348.55496880472214</v>
      </c>
      <c r="CC44" s="62">
        <f t="shared" si="11"/>
        <v>597.15765839922608</v>
      </c>
      <c r="CD44" s="62">
        <f ca="1">AVERAGE(OFFSET($CC$3,0,0,'Données projet'!$E$12+1,1))-AVERAGE(OFFSET($H$3,0,0,'Données projet'!$E$12+1,1))</f>
        <v>590.18141384962507</v>
      </c>
      <c r="CE44" s="62">
        <f t="shared" si="40"/>
        <v>331.25104323342907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4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2.4423076923076925</v>
      </c>
      <c r="N45" s="14">
        <f>IF('Données projet'!$A$36&gt;35,N44+M45-V44,IF(A45&lt;'Données projet'!$A$36,$K$205^A45,IF(A45='Données projet'!$A$36,'Données projet'!$B$36,N44+M45-V44)))</f>
        <v>102.57692307692311</v>
      </c>
      <c r="O45" s="14">
        <f>N45*VLOOKUP('Données projet'!$B$9,Paramètres!$A$1:$I$89,3,0)*VLOOKUP('Données projet'!$B$9,Paramètres!$A$1:$I$89,5,0)</f>
        <v>92.811600000000027</v>
      </c>
      <c r="P45" s="14">
        <f t="shared" si="33"/>
        <v>25.242096429202068</v>
      </c>
      <c r="Q45" s="22">
        <f t="shared" si="53"/>
        <v>205.61018794752695</v>
      </c>
      <c r="R45" s="62">
        <f t="shared" si="0"/>
        <v>454.98885420816168</v>
      </c>
      <c r="S45" s="62">
        <f ca="1">AVERAGE(OFFSET($R$3,0,0,'Données projet'!$E$9+1,1))-AVERAGE(OFFSET($H$3,0,0,'Données projet'!$E$9+1,1))</f>
        <v>432.80275651765203</v>
      </c>
      <c r="T45" s="62">
        <f t="shared" si="34"/>
        <v>203.89279893419919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9.8000000000000007</v>
      </c>
      <c r="AI45" s="14">
        <f>IF('Données projet'!$A$62&gt;35,AI44+AH45-AQ44,IF(A45&lt;'Données projet'!$A$62,$AF$205^A45,IF(A45='Données projet'!$A$62,'Données projet'!$B$62,AI44+AH45-AQ44)))</f>
        <v>193.60000000000005</v>
      </c>
      <c r="AJ45" s="14">
        <f>AI45*VLOOKUP('Données projet'!$B$10,Paramètres!$A$1:$I$89,3,0)*VLOOKUP('Données projet'!$B$10,Paramètres!$A$1:$I$89,5,0)</f>
        <v>169.12896000000006</v>
      </c>
      <c r="AK45" s="14">
        <f t="shared" si="35"/>
        <v>42.894881315146776</v>
      </c>
      <c r="AL45" s="22">
        <f t="shared" si="4"/>
        <v>369.27485695721407</v>
      </c>
      <c r="AM45" s="62">
        <f t="shared" si="5"/>
        <v>618.65352321784883</v>
      </c>
      <c r="AN45" s="62">
        <f ca="1">AVERAGE(OFFSET($AM$3,0,0,'Données projet'!$E$10+1,1))-AVERAGE(OFFSET($H$3,0,0,'Données projet'!$E$10+1,1))</f>
        <v>341.62910675299065</v>
      </c>
      <c r="AO45" s="62">
        <f t="shared" si="36"/>
        <v>407.15938341104709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43.648962809361002</v>
      </c>
      <c r="AW45" s="23">
        <f>EXP(-LN(2)/2)*AW44+(1-EXP(-LN(2)/2))/(LN(2)/2)*AQ45*AT45*VLOOKUP('Données projet'!$B$10,Paramètres!$A$1:$I$89,3,0)*0.475*44/12</f>
        <v>1.9133097811411499</v>
      </c>
      <c r="AX45" s="23">
        <f t="shared" si="6"/>
        <v>45.562272590502154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18.8</v>
      </c>
      <c r="BD45" s="13">
        <f>IF('Données projet'!$A$88&gt;35,BD44+BC45-BL44,IF(A45&lt;'Données projet'!$A$88,$BA$205^A45,IF(A45='Données projet'!$A$88,'Données projet'!$B$88,BD44+BC45-BL44)))</f>
        <v>515.59999999999991</v>
      </c>
      <c r="BE45" s="14">
        <f>BD45*VLOOKUP('Données projet'!$B$11,Paramètres!$A$1:$I$89,3,0)*VLOOKUP('Données projet'!$B$11,Paramètres!$A$1:$I$89,5,0)</f>
        <v>248.00359999999995</v>
      </c>
      <c r="BF45" s="14">
        <f t="shared" si="37"/>
        <v>60.158242561261559</v>
      </c>
      <c r="BG45" s="22">
        <f t="shared" si="7"/>
        <v>536.71520912753044</v>
      </c>
      <c r="BH45" s="62">
        <f t="shared" si="8"/>
        <v>786.0938753881652</v>
      </c>
      <c r="BI45" s="62">
        <f ca="1">AVERAGE(OFFSET($BH$3,0,0,'Données projet'!$E$11+1,1))-AVERAGE(OFFSET($H$3,0,0,'Données projet'!$E$11+1,1))</f>
        <v>405.94837980869011</v>
      </c>
      <c r="BJ45" s="62">
        <f t="shared" si="38"/>
        <v>511.37583835090879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10.962706049900373</v>
      </c>
      <c r="BQ45" s="23">
        <f>EXP(-LN(2)/25)*BQ44+(1-EXP(-LN(2)/25))/(LN(2)/25)*Calculateur!BL45*Calculateur!BN45*VLOOKUP('Données projet'!$B$11,Paramètres!$A$1:$I$89,3,0)*0.475*44/12</f>
        <v>25.685108824139405</v>
      </c>
      <c r="BR45" s="23">
        <f>EXP(-LN(2)/2)*BR44+(1-EXP(-LN(2)/2))/(LN(2)/2)*BL45*BO45*VLOOKUP('Données projet'!$B$11,Paramètres!$A$1:$I$89,3,0)*0.475*44/12</f>
        <v>1.7699621391082483</v>
      </c>
      <c r="BS45" s="24">
        <f t="shared" si="9"/>
        <v>38.417777013148033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13.8</v>
      </c>
      <c r="BY45" s="13">
        <f>IF('Données projet'!$A$114&gt;35,BY44+BX45-CG44,IF(A45&lt;'Données projet'!$A$114,$BV$205^A45,IF(A45='Données projet'!$A$114,'Données projet'!$B$114,BY44+BX45-CG44)))</f>
        <v>199.60000000000011</v>
      </c>
      <c r="BZ45" s="14">
        <f>BY45*VLOOKUP('Données projet'!$B$12,Paramètres!$A$1:$I$89,3,0)*VLOOKUP('Données projet'!$B$12,Paramètres!$A$1:$I$89,5,0)</f>
        <v>171.25680000000011</v>
      </c>
      <c r="CA45" s="14">
        <f t="shared" si="39"/>
        <v>43.371384196183378</v>
      </c>
      <c r="CB45" s="22">
        <f t="shared" si="10"/>
        <v>373.81075414168623</v>
      </c>
      <c r="CC45" s="62">
        <f t="shared" si="11"/>
        <v>623.18942040232093</v>
      </c>
      <c r="CD45" s="62">
        <f ca="1">AVERAGE(OFFSET($CC$3,0,0,'Données projet'!$E$12+1,1))-AVERAGE(OFFSET($H$3,0,0,'Données projet'!$E$12+1,1))</f>
        <v>590.18141384962507</v>
      </c>
      <c r="CE45" s="62">
        <f t="shared" si="40"/>
        <v>331.25104323342907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4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2.4423076923076925</v>
      </c>
      <c r="N46" s="14">
        <f>IF('Données projet'!$A$36&gt;35,N45+M46-V45,IF(A46&lt;'Données projet'!$A$36,$K$205^A46,IF(A46='Données projet'!$A$36,'Données projet'!$B$36,N45+M46-V45)))</f>
        <v>105.0192307692308</v>
      </c>
      <c r="O46" s="14">
        <f>N46*VLOOKUP('Données projet'!$B$9,Paramètres!$A$1:$I$89,3,0)*VLOOKUP('Données projet'!$B$9,Paramètres!$A$1:$I$89,5,0)</f>
        <v>95.021400000000028</v>
      </c>
      <c r="P46" s="14">
        <f t="shared" si="33"/>
        <v>25.772412619544667</v>
      </c>
      <c r="Q46" s="22">
        <f t="shared" si="53"/>
        <v>210.38255697904034</v>
      </c>
      <c r="R46" s="62">
        <f t="shared" si="0"/>
        <v>460.52373844547242</v>
      </c>
      <c r="S46" s="62">
        <f ca="1">AVERAGE(OFFSET($R$3,0,0,'Données projet'!$E$9+1,1))-AVERAGE(OFFSET($H$3,0,0,'Données projet'!$E$9+1,1))</f>
        <v>432.80275651765203</v>
      </c>
      <c r="T46" s="62">
        <f t="shared" si="34"/>
        <v>203.89279893419919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9.8000000000000007</v>
      </c>
      <c r="AI46" s="14">
        <f>IF('Données projet'!$A$62&gt;35,AI45+AH46-AQ45,IF(A46&lt;'Données projet'!$A$62,$AF$205^A46,IF(A46='Données projet'!$A$62,'Données projet'!$B$62,AI45+AH46-AQ45)))</f>
        <v>203.40000000000006</v>
      </c>
      <c r="AJ46" s="14">
        <f>AI46*VLOOKUP('Données projet'!$B$10,Paramètres!$A$1:$I$89,3,0)*VLOOKUP('Données projet'!$B$10,Paramètres!$A$1:$I$89,5,0)</f>
        <v>177.69024000000007</v>
      </c>
      <c r="AK46" s="14">
        <f t="shared" si="35"/>
        <v>44.807921499827692</v>
      </c>
      <c r="AL46" s="22">
        <f t="shared" si="4"/>
        <v>387.5176312788667</v>
      </c>
      <c r="AM46" s="62">
        <f t="shared" si="5"/>
        <v>637.65881274529875</v>
      </c>
      <c r="AN46" s="62">
        <f ca="1">AVERAGE(OFFSET($AM$3,0,0,'Données projet'!$E$10+1,1))-AVERAGE(OFFSET($H$3,0,0,'Données projet'!$E$10+1,1))</f>
        <v>341.62910675299065</v>
      </c>
      <c r="AO46" s="62">
        <f t="shared" si="36"/>
        <v>407.15938341104709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42.455379625939834</v>
      </c>
      <c r="AW46" s="23">
        <f>EXP(-LN(2)/2)*AW45+(1-EXP(-LN(2)/2))/(LN(2)/2)*AQ46*AT46*VLOOKUP('Données projet'!$B$10,Paramètres!$A$1:$I$89,3,0)*0.475*44/12</f>
        <v>1.3529143207554564</v>
      </c>
      <c r="AX46" s="23">
        <f t="shared" si="6"/>
        <v>43.808293946695294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18.8</v>
      </c>
      <c r="BD46" s="13">
        <f>IF('Données projet'!$A$88&gt;35,BD45+BC46-BL45,IF(A46&lt;'Données projet'!$A$88,$BA$205^A46,IF(A46='Données projet'!$A$88,'Données projet'!$B$88,BD45+BC46-BL45)))</f>
        <v>534.39999999999986</v>
      </c>
      <c r="BE46" s="14">
        <f>BD46*VLOOKUP('Données projet'!$B$11,Paramètres!$A$1:$I$89,3,0)*VLOOKUP('Données projet'!$B$11,Paramètres!$A$1:$I$89,5,0)</f>
        <v>257.04639999999995</v>
      </c>
      <c r="BF46" s="14">
        <f t="shared" si="37"/>
        <v>62.092371770032379</v>
      </c>
      <c r="BG46" s="22">
        <f t="shared" si="7"/>
        <v>555.83336083280631</v>
      </c>
      <c r="BH46" s="62">
        <f t="shared" si="8"/>
        <v>805.97454229923835</v>
      </c>
      <c r="BI46" s="62">
        <f ca="1">AVERAGE(OFFSET($BH$3,0,0,'Données projet'!$E$11+1,1))-AVERAGE(OFFSET($H$3,0,0,'Données projet'!$E$11+1,1))</f>
        <v>405.94837980869011</v>
      </c>
      <c r="BJ46" s="62">
        <f t="shared" si="38"/>
        <v>511.37583835090879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10.747734070852271</v>
      </c>
      <c r="BQ46" s="23">
        <f>EXP(-LN(2)/25)*BQ45+(1-EXP(-LN(2)/25))/(LN(2)/25)*Calculateur!BL46*Calculateur!BN46*VLOOKUP('Données projet'!$B$11,Paramètres!$A$1:$I$89,3,0)*0.475*44/12</f>
        <v>24.982748172622145</v>
      </c>
      <c r="BR46" s="23">
        <f>EXP(-LN(2)/2)*BR45+(1-EXP(-LN(2)/2))/(LN(2)/2)*BL46*BO46*VLOOKUP('Données projet'!$B$11,Paramètres!$A$1:$I$89,3,0)*0.475*44/12</f>
        <v>1.2515522310068898</v>
      </c>
      <c r="BS46" s="24">
        <f t="shared" si="9"/>
        <v>36.982034474481303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13.8</v>
      </c>
      <c r="BY46" s="13">
        <f>IF('Données projet'!$A$114&gt;35,BY45+BX46-CG45,IF(A46&lt;'Données projet'!$A$114,$BV$205^A46,IF(A46='Données projet'!$A$114,'Données projet'!$B$114,BY45+BX46-CG45)))</f>
        <v>213.40000000000012</v>
      </c>
      <c r="BZ46" s="14">
        <f>BY46*VLOOKUP('Données projet'!$B$12,Paramètres!$A$1:$I$89,3,0)*VLOOKUP('Données projet'!$B$12,Paramètres!$A$1:$I$89,5,0)</f>
        <v>183.09720000000013</v>
      </c>
      <c r="CA46" s="14">
        <f t="shared" si="39"/>
        <v>46.010570428845895</v>
      </c>
      <c r="CB46" s="22">
        <f t="shared" si="10"/>
        <v>399.02936683024018</v>
      </c>
      <c r="CC46" s="62">
        <f t="shared" si="11"/>
        <v>649.17054829667222</v>
      </c>
      <c r="CD46" s="62">
        <f ca="1">AVERAGE(OFFSET($CC$3,0,0,'Données projet'!$E$12+1,1))-AVERAGE(OFFSET($H$3,0,0,'Données projet'!$E$12+1,1))</f>
        <v>590.18141384962507</v>
      </c>
      <c r="CE46" s="62">
        <f t="shared" si="40"/>
        <v>331.25104323342907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4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2.4423076923076925</v>
      </c>
      <c r="N47" s="14">
        <f>IF('Données projet'!$A$36&gt;35,N46+M47-V46,IF(A47&lt;'Données projet'!$A$36,$K$205^A47,IF(A47='Données projet'!$A$36,'Données projet'!$B$36,N46+M47-V46)))</f>
        <v>107.4615384615385</v>
      </c>
      <c r="O47" s="14">
        <f>N47*VLOOKUP('Données projet'!$B$9,Paramètres!$A$1:$I$89,3,0)*VLOOKUP('Données projet'!$B$9,Paramètres!$A$1:$I$89,5,0)</f>
        <v>97.23120000000003</v>
      </c>
      <c r="P47" s="14">
        <f t="shared" si="33"/>
        <v>26.301295060955127</v>
      </c>
      <c r="Q47" s="22">
        <f t="shared" si="53"/>
        <v>215.15242889783022</v>
      </c>
      <c r="R47" s="62">
        <f t="shared" si="0"/>
        <v>466.04289763596762</v>
      </c>
      <c r="S47" s="62">
        <f ca="1">AVERAGE(OFFSET($R$3,0,0,'Données projet'!$E$9+1,1))-AVERAGE(OFFSET($H$3,0,0,'Données projet'!$E$9+1,1))</f>
        <v>432.80275651765203</v>
      </c>
      <c r="T47" s="62">
        <f t="shared" si="34"/>
        <v>203.89279893419919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9.8000000000000007</v>
      </c>
      <c r="AI47" s="14">
        <f>IF('Données projet'!$A$62&gt;35,AI46+AH47-AQ46,IF(A47&lt;'Données projet'!$A$62,$AF$205^A47,IF(A47='Données projet'!$A$62,'Données projet'!$B$62,AI46+AH47-AQ46)))</f>
        <v>213.20000000000007</v>
      </c>
      <c r="AJ47" s="14">
        <f>AI47*VLOOKUP('Données projet'!$B$10,Paramètres!$A$1:$I$89,3,0)*VLOOKUP('Données projet'!$B$10,Paramètres!$A$1:$I$89,5,0)</f>
        <v>186.25152000000008</v>
      </c>
      <c r="AK47" s="14">
        <f t="shared" si="35"/>
        <v>46.71025851515671</v>
      </c>
      <c r="AL47" s="22">
        <f t="shared" si="4"/>
        <v>405.7417642472314</v>
      </c>
      <c r="AM47" s="62">
        <f t="shared" si="5"/>
        <v>656.63223298536877</v>
      </c>
      <c r="AN47" s="62">
        <f ca="1">AVERAGE(OFFSET($AM$3,0,0,'Données projet'!$E$10+1,1))-AVERAGE(OFFSET($H$3,0,0,'Données projet'!$E$10+1,1))</f>
        <v>341.62910675299065</v>
      </c>
      <c r="AO47" s="62">
        <f t="shared" si="36"/>
        <v>407.15938341104709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41.294435037437125</v>
      </c>
      <c r="AW47" s="23">
        <f>EXP(-LN(2)/2)*AW46+(1-EXP(-LN(2)/2))/(LN(2)/2)*AQ47*AT47*VLOOKUP('Données projet'!$B$10,Paramètres!$A$1:$I$89,3,0)*0.475*44/12</f>
        <v>0.95665489057057518</v>
      </c>
      <c r="AX47" s="23">
        <f t="shared" si="6"/>
        <v>42.251089928007701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18.8</v>
      </c>
      <c r="BD47" s="13">
        <f>IF('Données projet'!$A$88&gt;35,BD46+BC47-BL46,IF(A47&lt;'Données projet'!$A$88,$BA$205^A47,IF(A47='Données projet'!$A$88,'Données projet'!$B$88,BD46+BC47-BL46)))</f>
        <v>553.19999999999982</v>
      </c>
      <c r="BE47" s="14">
        <f>BD47*VLOOKUP('Données projet'!$B$11,Paramètres!$A$1:$I$89,3,0)*VLOOKUP('Données projet'!$B$11,Paramètres!$A$1:$I$89,5,0)</f>
        <v>266.08919999999995</v>
      </c>
      <c r="BF47" s="14">
        <f t="shared" si="37"/>
        <v>64.018595364759307</v>
      </c>
      <c r="BG47" s="22">
        <f t="shared" si="7"/>
        <v>574.93774359362226</v>
      </c>
      <c r="BH47" s="62">
        <f t="shared" si="8"/>
        <v>825.82821233175969</v>
      </c>
      <c r="BI47" s="62">
        <f ca="1">AVERAGE(OFFSET($BH$3,0,0,'Données projet'!$E$11+1,1))-AVERAGE(OFFSET($H$3,0,0,'Données projet'!$E$11+1,1))</f>
        <v>405.94837980869011</v>
      </c>
      <c r="BJ47" s="62">
        <f t="shared" si="38"/>
        <v>511.37583835090879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10.536977561193343</v>
      </c>
      <c r="BQ47" s="23">
        <f>EXP(-LN(2)/25)*BQ46+(1-EXP(-LN(2)/25))/(LN(2)/25)*Calculateur!BL47*Calculateur!BN47*VLOOKUP('Données projet'!$B$11,Paramètres!$A$1:$I$89,3,0)*0.475*44/12</f>
        <v>24.299593610056164</v>
      </c>
      <c r="BR47" s="23">
        <f>EXP(-LN(2)/2)*BR46+(1-EXP(-LN(2)/2))/(LN(2)/2)*BL47*BO47*VLOOKUP('Données projet'!$B$11,Paramètres!$A$1:$I$89,3,0)*0.475*44/12</f>
        <v>0.88498106955412426</v>
      </c>
      <c r="BS47" s="24">
        <f t="shared" si="9"/>
        <v>35.721552240803625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13.8</v>
      </c>
      <c r="BY47" s="13">
        <f>IF('Données projet'!$A$114&gt;35,BY46+BX47-CG46,IF(A47&lt;'Données projet'!$A$114,$BV$205^A47,IF(A47='Données projet'!$A$114,'Données projet'!$B$114,BY46+BX47-CG46)))</f>
        <v>227.20000000000013</v>
      </c>
      <c r="BZ47" s="14">
        <f>BY47*VLOOKUP('Données projet'!$B$12,Paramètres!$A$1:$I$89,3,0)*VLOOKUP('Données projet'!$B$12,Paramètres!$A$1:$I$89,5,0)</f>
        <v>194.93760000000012</v>
      </c>
      <c r="CA47" s="14">
        <f t="shared" si="39"/>
        <v>48.629950800142524</v>
      </c>
      <c r="CB47" s="22">
        <f t="shared" si="10"/>
        <v>424.21348431024836</v>
      </c>
      <c r="CC47" s="62">
        <f t="shared" si="11"/>
        <v>675.10395304838585</v>
      </c>
      <c r="CD47" s="62">
        <f ca="1">AVERAGE(OFFSET($CC$3,0,0,'Données projet'!$E$12+1,1))-AVERAGE(OFFSET($H$3,0,0,'Données projet'!$E$12+1,1))</f>
        <v>590.18141384962507</v>
      </c>
      <c r="CE47" s="62">
        <f t="shared" si="40"/>
        <v>331.25104323342907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4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2.4423076923076925</v>
      </c>
      <c r="N48" s="14">
        <f>IF('Données projet'!$A$36&gt;35,N47+M48-V47,IF(A48&lt;'Données projet'!$A$36,$K$205^A48,IF(A48='Données projet'!$A$36,'Données projet'!$B$36,N47+M48-V47)))</f>
        <v>109.90384615384619</v>
      </c>
      <c r="O48" s="14">
        <f>N48*VLOOKUP('Données projet'!$B$9,Paramètres!$A$1:$I$89,3,0)*VLOOKUP('Données projet'!$B$9,Paramètres!$A$1:$I$89,5,0)</f>
        <v>99.441000000000017</v>
      </c>
      <c r="P48" s="14">
        <f t="shared" si="33"/>
        <v>26.828780089799594</v>
      </c>
      <c r="Q48" s="22">
        <f t="shared" si="53"/>
        <v>219.91986698973434</v>
      </c>
      <c r="R48" s="62">
        <f t="shared" si="0"/>
        <v>471.54662454056847</v>
      </c>
      <c r="S48" s="62">
        <f ca="1">AVERAGE(OFFSET($R$3,0,0,'Données projet'!$E$9+1,1))-AVERAGE(OFFSET($H$3,0,0,'Données projet'!$E$9+1,1))</f>
        <v>432.80275651765203</v>
      </c>
      <c r="T48" s="62">
        <f t="shared" si="34"/>
        <v>203.89279893419919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223</v>
      </c>
      <c r="AG48" s="13">
        <f>VLOOKUP(A48,'Données projet'!$A$61:$I$81,9,0)</f>
        <v>9.8000000000000007</v>
      </c>
      <c r="AH48" s="13">
        <f t="array" ref="AH48">INDEX(AG:AG,MIN(IF(ISNUMBER(AG48:AG244),ROW(AG48:AG244),"")))</f>
        <v>9.8000000000000007</v>
      </c>
      <c r="AI48" s="14">
        <f>IF('Données projet'!$A$62&gt;35,AI47+AH48-AQ47,IF(A48&lt;'Données projet'!$A$62,$AF$205^A48,IF(A48='Données projet'!$A$62,'Données projet'!$B$62,AI47+AH48-AQ47)))</f>
        <v>223.00000000000009</v>
      </c>
      <c r="AJ48" s="14">
        <f>AI48*VLOOKUP('Données projet'!$B$10,Paramètres!$A$1:$I$89,3,0)*VLOOKUP('Données projet'!$B$10,Paramètres!$A$1:$I$89,5,0)</f>
        <v>194.81280000000012</v>
      </c>
      <c r="AK48" s="14">
        <f t="shared" si="35"/>
        <v>48.602440540253902</v>
      </c>
      <c r="AL48" s="22">
        <f t="shared" si="4"/>
        <v>423.9482106076091</v>
      </c>
      <c r="AM48" s="62">
        <f t="shared" si="5"/>
        <v>675.5749681584432</v>
      </c>
      <c r="AN48" s="62">
        <f ca="1">AVERAGE(OFFSET($AM$3,0,0,'Données projet'!$E$10+1,1))-AVERAGE(OFFSET($H$3,0,0,'Données projet'!$E$10+1,1))</f>
        <v>341.62910675299065</v>
      </c>
      <c r="AO48" s="62">
        <f t="shared" si="36"/>
        <v>407.15938341104709</v>
      </c>
      <c r="AP48" s="16">
        <f>IF(ISNA(VLOOKUP(A48,'Données projet'!$A$61:$I$81,3,0)),0,VLOOKUP(A48,'Données projet'!$A$61:$I$81,3,0))</f>
        <v>7</v>
      </c>
      <c r="AQ48" s="16">
        <f>IF(ISNA(VLOOKUP(A48,'Données projet'!$A$61:$I$81,4,0)),0,VLOOKUP(A48,'Données projet'!$A$61:$I$81,4,0))</f>
        <v>36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0.38700000000000001</v>
      </c>
      <c r="AT48" s="17">
        <f>IF(ISNA(VLOOKUP(A48,'Données projet'!$A$61:$I$81,7,0)),0%,VLOOKUP(A48,'Données projet'!$A$61:$I$81,7,0))</f>
        <v>0.1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53.56693504193607</v>
      </c>
      <c r="AW48" s="23">
        <f>EXP(-LN(2)/2)*AW47+(1-EXP(-LN(2)/2))/(LN(2)/2)*AQ48*AT48*VLOOKUP('Données projet'!$B$10,Paramètres!$A$1:$I$89,3,0)*0.475*44/12</f>
        <v>3.6438115657350902</v>
      </c>
      <c r="AX48" s="23">
        <f t="shared" si="6"/>
        <v>57.210746607671162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572</v>
      </c>
      <c r="BB48" s="13">
        <f>VLOOKUP(A48,'Données projet'!$A$87:$I$107,9,0)</f>
        <v>18.8</v>
      </c>
      <c r="BC48" s="13">
        <f t="array" ref="BC48">INDEX(BB:BB,MIN(IF(ISNUMBER(BB48:BB244),ROW(BB48:BB244),"")))</f>
        <v>18.8</v>
      </c>
      <c r="BD48" s="13">
        <f>IF('Données projet'!$A$88&gt;35,BD47+BC48-BL47,IF(A48&lt;'Données projet'!$A$88,$BA$205^A48,IF(A48='Données projet'!$A$88,'Données projet'!$B$88,BD47+BC48-BL47)))</f>
        <v>571.99999999999977</v>
      </c>
      <c r="BE48" s="14">
        <f>BD48*VLOOKUP('Données projet'!$B$11,Paramètres!$A$1:$I$89,3,0)*VLOOKUP('Données projet'!$B$11,Paramètres!$A$1:$I$89,5,0)</f>
        <v>275.13199999999989</v>
      </c>
      <c r="BF48" s="14">
        <f t="shared" si="37"/>
        <v>65.937212807842172</v>
      </c>
      <c r="BG48" s="22">
        <f t="shared" si="7"/>
        <v>594.02887897365815</v>
      </c>
      <c r="BH48" s="62">
        <f t="shared" si="8"/>
        <v>845.65563652449225</v>
      </c>
      <c r="BI48" s="62">
        <f ca="1">AVERAGE(OFFSET($BH$3,0,0,'Données projet'!$E$11+1,1))-AVERAGE(OFFSET($H$3,0,0,'Données projet'!$E$11+1,1))</f>
        <v>405.94837980869011</v>
      </c>
      <c r="BJ48" s="62">
        <f t="shared" si="38"/>
        <v>511.37583835090879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69</v>
      </c>
      <c r="BM48" s="17">
        <f>IF(ISNA(VLOOKUP(A48,'Données projet'!$A$87:$I$107,5,0)),0%,VLOOKUP(A48,'Données projet'!$A$87:$I$107,5,0)*VLOOKUP('Données projet'!$B$11,Paramètres!$A$1:$I$89,7,0))</f>
        <v>0.27500000000000002</v>
      </c>
      <c r="BN48" s="17">
        <f>IF(ISNA(VLOOKUP(A48,'Données projet'!$A$87:$I$107,6,0)),0%,VLOOKUP(A48,'Données projet'!$A$87:$I$107,6,0)*VLOOKUP('Données projet'!$B$11,Paramètres!$A$1:$I$89,7,0))</f>
        <v>0.22000000000000003</v>
      </c>
      <c r="BO48" s="17">
        <f>IF(ISNA(VLOOKUP(A48,'Données projet'!$A$87:$I$107,7,0)),0%,VLOOKUP(A48,'Données projet'!$A$87:$I$107,7,0))</f>
        <v>0.1</v>
      </c>
      <c r="BP48" s="23">
        <f>EXP(-LN(2)/35)*BP47+(1-EXP(-LN(2)/35))/(LN(2)/35)*BL48*BM48*VLOOKUP('Données projet'!$B$11,Paramètres!$A$1:$I$89,3,0)*0.475*44/12</f>
        <v>22.43787447882535</v>
      </c>
      <c r="BQ48" s="23">
        <f>EXP(-LN(2)/25)*BQ47+(1-EXP(-LN(2)/25))/(LN(2)/25)*Calculateur!BL48*Calculateur!BN48*VLOOKUP('Données projet'!$B$11,Paramètres!$A$1:$I$89,3,0)*0.475*44/12</f>
        <v>33.282998903868787</v>
      </c>
      <c r="BR48" s="23">
        <f>EXP(-LN(2)/2)*BR47+(1-EXP(-LN(2)/2))/(LN(2)/2)*BL48*BO48*VLOOKUP('Données projet'!$B$11,Paramètres!$A$1:$I$89,3,0)*0.475*44/12</f>
        <v>4.3835418877640322</v>
      </c>
      <c r="BS48" s="24">
        <f t="shared" si="9"/>
        <v>60.104415270458169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241</v>
      </c>
      <c r="BW48" s="13">
        <f>VLOOKUP(A48,'Données projet'!$A$113:$I$133,9,0)</f>
        <v>13.8</v>
      </c>
      <c r="BX48" s="13">
        <f t="array" ref="BX48">INDEX(BW:BW,MIN(IF(ISNUMBER(BW48:BW244),ROW(BW48:BW244),"")))</f>
        <v>13.8</v>
      </c>
      <c r="BY48" s="13">
        <f>IF('Données projet'!$A$114&gt;35,BY47+BX48-CG47,IF(A48&lt;'Données projet'!$A$114,$BV$205^A48,IF(A48='Données projet'!$A$114,'Données projet'!$B$114,BY47+BX48-CG47)))</f>
        <v>241.00000000000014</v>
      </c>
      <c r="BZ48" s="14">
        <f>BY48*VLOOKUP('Données projet'!$B$12,Paramètres!$A$1:$I$89,3,0)*VLOOKUP('Données projet'!$B$12,Paramètres!$A$1:$I$89,5,0)</f>
        <v>206.77800000000016</v>
      </c>
      <c r="CA48" s="14">
        <f t="shared" si="39"/>
        <v>51.230865296361145</v>
      </c>
      <c r="CB48" s="22">
        <f t="shared" si="10"/>
        <v>449.36544039116256</v>
      </c>
      <c r="CC48" s="62">
        <f t="shared" si="11"/>
        <v>700.99219794199666</v>
      </c>
      <c r="CD48" s="62">
        <f ca="1">AVERAGE(OFFSET($CC$3,0,0,'Données projet'!$E$12+1,1))-AVERAGE(OFFSET($H$3,0,0,'Données projet'!$E$12+1,1))</f>
        <v>590.18141384962507</v>
      </c>
      <c r="CE48" s="62">
        <f t="shared" si="40"/>
        <v>331.25104323342907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35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4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2.4423076923076925</v>
      </c>
      <c r="N49" s="14">
        <f>IF('Données projet'!$A$36&gt;35,N48+M49-V48,IF(A49&lt;'Données projet'!$A$36,$K$205^A49,IF(A49='Données projet'!$A$36,'Données projet'!$B$36,N48+M49-V48)))</f>
        <v>112.34615384615388</v>
      </c>
      <c r="O49" s="14">
        <f>N49*VLOOKUP('Données projet'!$B$9,Paramètres!$A$1:$I$89,3,0)*VLOOKUP('Données projet'!$B$9,Paramètres!$A$1:$I$89,5,0)</f>
        <v>101.65080000000003</v>
      </c>
      <c r="P49" s="14">
        <f t="shared" si="33"/>
        <v>27.354902335290486</v>
      </c>
      <c r="Q49" s="22">
        <f t="shared" si="53"/>
        <v>224.68493156729764</v>
      </c>
      <c r="R49" s="62">
        <f t="shared" si="0"/>
        <v>477.03520496602329</v>
      </c>
      <c r="S49" s="62">
        <f ca="1">AVERAGE(OFFSET($R$3,0,0,'Données projet'!$E$9+1,1))-AVERAGE(OFFSET($H$3,0,0,'Données projet'!$E$9+1,1))</f>
        <v>432.80275651765203</v>
      </c>
      <c r="T49" s="62">
        <f t="shared" si="34"/>
        <v>203.89279893419919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8.8000000000000007</v>
      </c>
      <c r="AI49" s="14">
        <f>IF('Données projet'!$A$62&gt;35,AI48+AH49-AQ48,IF(A49&lt;'Données projet'!$A$62,$AF$205^A49,IF(A49='Données projet'!$A$62,'Données projet'!$B$62,AI48+AH49-AQ48)))</f>
        <v>195.8000000000001</v>
      </c>
      <c r="AJ49" s="14">
        <f>AI49*VLOOKUP('Données projet'!$B$10,Paramètres!$A$1:$I$89,3,0)*VLOOKUP('Données projet'!$B$10,Paramètres!$A$1:$I$89,5,0)</f>
        <v>171.05088000000012</v>
      </c>
      <c r="AK49" s="14">
        <f t="shared" si="35"/>
        <v>43.325301264581704</v>
      </c>
      <c r="AL49" s="22">
        <f t="shared" si="4"/>
        <v>373.37184903581334</v>
      </c>
      <c r="AM49" s="62">
        <f t="shared" si="5"/>
        <v>625.72212243453896</v>
      </c>
      <c r="AN49" s="62">
        <f ca="1">AVERAGE(OFFSET($AM$3,0,0,'Données projet'!$E$10+1,1))-AVERAGE(OFFSET($H$3,0,0,'Données projet'!$E$10+1,1))</f>
        <v>341.62910675299065</v>
      </c>
      <c r="AO49" s="62">
        <f t="shared" si="36"/>
        <v>407.15938341104709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52.102144386251645</v>
      </c>
      <c r="AW49" s="23">
        <f>EXP(-LN(2)/2)*AW48+(1-EXP(-LN(2)/2))/(LN(2)/2)*AQ49*AT49*VLOOKUP('Données projet'!$B$10,Paramètres!$A$1:$I$89,3,0)*0.475*44/12</f>
        <v>2.5765638674972537</v>
      </c>
      <c r="AX49" s="23">
        <f t="shared" si="6"/>
        <v>54.678708253748901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17.399999999999999</v>
      </c>
      <c r="BD49" s="13">
        <f>IF('Données projet'!$A$88&gt;35,BD48+BC49-BL48,IF(A49&lt;'Données projet'!$A$88,$BA$205^A49,IF(A49='Données projet'!$A$88,'Données projet'!$B$88,BD48+BC49-BL48)))</f>
        <v>520.39999999999975</v>
      </c>
      <c r="BE49" s="14">
        <f>BD49*VLOOKUP('Données projet'!$B$11,Paramètres!$A$1:$I$89,3,0)*VLOOKUP('Données projet'!$B$11,Paramètres!$A$1:$I$89,5,0)</f>
        <v>250.31239999999991</v>
      </c>
      <c r="BF49" s="14">
        <f t="shared" si="37"/>
        <v>60.652831747672998</v>
      </c>
      <c r="BG49" s="22">
        <f t="shared" si="7"/>
        <v>541.59777862719704</v>
      </c>
      <c r="BH49" s="62">
        <f t="shared" si="8"/>
        <v>793.94805202592272</v>
      </c>
      <c r="BI49" s="62">
        <f ca="1">AVERAGE(OFFSET($BH$3,0,0,'Données projet'!$E$11+1,1))-AVERAGE(OFFSET($H$3,0,0,'Données projet'!$E$11+1,1))</f>
        <v>405.94837980869011</v>
      </c>
      <c r="BJ49" s="62">
        <f t="shared" si="38"/>
        <v>511.37583835090879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21.997881446047661</v>
      </c>
      <c r="BQ49" s="23">
        <f>EXP(-LN(2)/25)*BQ48+(1-EXP(-LN(2)/25))/(LN(2)/25)*Calculateur!BL49*Calculateur!BN49*VLOOKUP('Données projet'!$B$11,Paramètres!$A$1:$I$89,3,0)*0.475*44/12</f>
        <v>32.37287354856565</v>
      </c>
      <c r="BR49" s="23">
        <f>EXP(-LN(2)/2)*BR48+(1-EXP(-LN(2)/2))/(LN(2)/2)*BL49*BO49*VLOOKUP('Données projet'!$B$11,Paramètres!$A$1:$I$89,3,0)*0.475*44/12</f>
        <v>3.099632194453227</v>
      </c>
      <c r="BS49" s="24">
        <f t="shared" si="9"/>
        <v>57.470387189066535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13.6</v>
      </c>
      <c r="BY49" s="13">
        <f>IF('Données projet'!$A$114&gt;35,BY48+BX49-CG48,IF(A49&lt;'Données projet'!$A$114,$BV$205^A49,IF(A49='Données projet'!$A$114,'Données projet'!$B$114,BY48+BX49-CG48)))</f>
        <v>219.60000000000014</v>
      </c>
      <c r="BZ49" s="14">
        <f>BY49*VLOOKUP('Données projet'!$B$12,Paramètres!$A$1:$I$89,3,0)*VLOOKUP('Données projet'!$B$12,Paramètres!$A$1:$I$89,5,0)</f>
        <v>188.41680000000014</v>
      </c>
      <c r="CA49" s="14">
        <f t="shared" si="39"/>
        <v>47.189759534268717</v>
      </c>
      <c r="CB49" s="22">
        <f t="shared" si="10"/>
        <v>410.34809118885158</v>
      </c>
      <c r="CC49" s="62">
        <f t="shared" si="11"/>
        <v>662.6983645875772</v>
      </c>
      <c r="CD49" s="62">
        <f ca="1">AVERAGE(OFFSET($CC$3,0,0,'Données projet'!$E$12+1,1))-AVERAGE(OFFSET($H$3,0,0,'Données projet'!$E$12+1,1))</f>
        <v>590.18141384962507</v>
      </c>
      <c r="CE49" s="62">
        <f t="shared" si="40"/>
        <v>331.25104323342907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4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2.4423076923076925</v>
      </c>
      <c r="N50" s="14">
        <f>IF('Données projet'!$A$36&gt;35,N49+M50-V49,IF(A50&lt;'Données projet'!$A$36,$K$205^A50,IF(A50='Données projet'!$A$36,'Données projet'!$B$36,N49+M50-V49)))</f>
        <v>114.78846153846158</v>
      </c>
      <c r="O50" s="14">
        <f>N50*VLOOKUP('Données projet'!$B$9,Paramètres!$A$1:$I$89,3,0)*VLOOKUP('Données projet'!$B$9,Paramètres!$A$1:$I$89,5,0)</f>
        <v>103.86060000000003</v>
      </c>
      <c r="P50" s="14">
        <f t="shared" si="33"/>
        <v>27.879694835032762</v>
      </c>
      <c r="Q50" s="22">
        <f t="shared" si="53"/>
        <v>229.44768017101543</v>
      </c>
      <c r="R50" s="62">
        <f t="shared" si="0"/>
        <v>482.50891803521085</v>
      </c>
      <c r="S50" s="62">
        <f ca="1">AVERAGE(OFFSET($R$3,0,0,'Données projet'!$E$9+1,1))-AVERAGE(OFFSET($H$3,0,0,'Données projet'!$E$9+1,1))</f>
        <v>432.80275651765203</v>
      </c>
      <c r="T50" s="62">
        <f t="shared" si="34"/>
        <v>203.89279893419919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8.8000000000000007</v>
      </c>
      <c r="AI50" s="14">
        <f>IF('Données projet'!$A$62&gt;35,AI49+AH50-AQ49,IF(A50&lt;'Données projet'!$A$62,$AF$205^A50,IF(A50='Données projet'!$A$62,'Données projet'!$B$62,AI49+AH50-AQ49)))</f>
        <v>204.60000000000011</v>
      </c>
      <c r="AJ50" s="14">
        <f>AI50*VLOOKUP('Données projet'!$B$10,Paramètres!$A$1:$I$89,3,0)*VLOOKUP('Données projet'!$B$10,Paramètres!$A$1:$I$89,5,0)</f>
        <v>178.73856000000012</v>
      </c>
      <c r="AK50" s="14">
        <f t="shared" si="35"/>
        <v>45.041424241265368</v>
      </c>
      <c r="AL50" s="22">
        <f t="shared" si="4"/>
        <v>389.75013922020406</v>
      </c>
      <c r="AM50" s="62">
        <f t="shared" si="5"/>
        <v>642.81137708439951</v>
      </c>
      <c r="AN50" s="62">
        <f ca="1">AVERAGE(OFFSET($AM$3,0,0,'Données projet'!$E$10+1,1))-AVERAGE(OFFSET($H$3,0,0,'Données projet'!$E$10+1,1))</f>
        <v>341.62910675299065</v>
      </c>
      <c r="AO50" s="62">
        <f t="shared" si="36"/>
        <v>407.15938341104709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50.677408508076901</v>
      </c>
      <c r="AW50" s="23">
        <f>EXP(-LN(2)/2)*AW49+(1-EXP(-LN(2)/2))/(LN(2)/2)*AQ50*AT50*VLOOKUP('Données projet'!$B$10,Paramètres!$A$1:$I$89,3,0)*0.475*44/12</f>
        <v>1.8219057828675453</v>
      </c>
      <c r="AX50" s="23">
        <f t="shared" si="6"/>
        <v>52.499314290944447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17.399999999999999</v>
      </c>
      <c r="BD50" s="13">
        <f>IF('Données projet'!$A$88&gt;35,BD49+BC50-BL49,IF(A50&lt;'Données projet'!$A$88,$BA$205^A50,IF(A50='Données projet'!$A$88,'Données projet'!$B$88,BD49+BC50-BL49)))</f>
        <v>537.79999999999973</v>
      </c>
      <c r="BE50" s="14">
        <f>BD50*VLOOKUP('Données projet'!$B$11,Paramètres!$A$1:$I$89,3,0)*VLOOKUP('Données projet'!$B$11,Paramètres!$A$1:$I$89,5,0)</f>
        <v>258.6817999999999</v>
      </c>
      <c r="BF50" s="14">
        <f t="shared" si="37"/>
        <v>62.441307917029441</v>
      </c>
      <c r="BG50" s="22">
        <f t="shared" si="7"/>
        <v>559.28941295549282</v>
      </c>
      <c r="BH50" s="62">
        <f t="shared" si="8"/>
        <v>812.35065081968821</v>
      </c>
      <c r="BI50" s="62">
        <f ca="1">AVERAGE(OFFSET($BH$3,0,0,'Données projet'!$E$11+1,1))-AVERAGE(OFFSET($H$3,0,0,'Données projet'!$E$11+1,1))</f>
        <v>405.94837980869011</v>
      </c>
      <c r="BJ50" s="62">
        <f t="shared" si="38"/>
        <v>511.37583835090879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21.566516408273493</v>
      </c>
      <c r="BQ50" s="23">
        <f>EXP(-LN(2)/25)*BQ49+(1-EXP(-LN(2)/25))/(LN(2)/25)*Calculateur!BL50*Calculateur!BN50*VLOOKUP('Données projet'!$B$11,Paramètres!$A$1:$I$89,3,0)*0.475*44/12</f>
        <v>31.487635618964692</v>
      </c>
      <c r="BR50" s="23">
        <f>EXP(-LN(2)/2)*BR49+(1-EXP(-LN(2)/2))/(LN(2)/2)*BL50*BO50*VLOOKUP('Données projet'!$B$11,Paramètres!$A$1:$I$89,3,0)*0.475*44/12</f>
        <v>2.1917709438820161</v>
      </c>
      <c r="BS50" s="24">
        <f t="shared" si="9"/>
        <v>55.245922971120208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13.6</v>
      </c>
      <c r="BY50" s="13">
        <f>IF('Données projet'!$A$114&gt;35,BY49+BX50-CG49,IF(A50&lt;'Données projet'!$A$114,$BV$205^A50,IF(A50='Données projet'!$A$114,'Données projet'!$B$114,BY49+BX50-CG49)))</f>
        <v>233.20000000000013</v>
      </c>
      <c r="BZ50" s="14">
        <f>BY50*VLOOKUP('Données projet'!$B$12,Paramètres!$A$1:$I$89,3,0)*VLOOKUP('Données projet'!$B$12,Paramètres!$A$1:$I$89,5,0)</f>
        <v>200.08560000000011</v>
      </c>
      <c r="CA50" s="14">
        <f t="shared" si="39"/>
        <v>49.762979545996977</v>
      </c>
      <c r="CB50" s="22">
        <f t="shared" si="10"/>
        <v>435.15294270927825</v>
      </c>
      <c r="CC50" s="62">
        <f t="shared" si="11"/>
        <v>688.21418057347364</v>
      </c>
      <c r="CD50" s="62">
        <f ca="1">AVERAGE(OFFSET($CC$3,0,0,'Données projet'!$E$12+1,1))-AVERAGE(OFFSET($H$3,0,0,'Données projet'!$E$12+1,1))</f>
        <v>590.18141384962507</v>
      </c>
      <c r="CE50" s="62">
        <f t="shared" si="40"/>
        <v>331.25104323342907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4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2.4423076923076925</v>
      </c>
      <c r="N51" s="14">
        <f>IF('Données projet'!$A$36&gt;35,N50+M51-V50,IF(A51&lt;'Données projet'!$A$36,$K$205^A51,IF(A51='Données projet'!$A$36,'Données projet'!$B$36,N50+M51-V50)))</f>
        <v>117.23076923076927</v>
      </c>
      <c r="O51" s="14">
        <f>N51*VLOOKUP('Données projet'!$B$9,Paramètres!$A$1:$I$89,3,0)*VLOOKUP('Données projet'!$B$9,Paramètres!$A$1:$I$89,5,0)</f>
        <v>106.07040000000003</v>
      </c>
      <c r="P51" s="14">
        <f t="shared" si="33"/>
        <v>28.403189140458888</v>
      </c>
      <c r="Q51" s="22">
        <f t="shared" si="53"/>
        <v>234.20816775296598</v>
      </c>
      <c r="R51" s="62">
        <f t="shared" si="0"/>
        <v>487.9680364386337</v>
      </c>
      <c r="S51" s="62">
        <f ca="1">AVERAGE(OFFSET($R$3,0,0,'Données projet'!$E$9+1,1))-AVERAGE(OFFSET($H$3,0,0,'Données projet'!$E$9+1,1))</f>
        <v>432.80275651765203</v>
      </c>
      <c r="T51" s="62">
        <f t="shared" si="34"/>
        <v>203.89279893419919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8.8000000000000007</v>
      </c>
      <c r="AI51" s="14">
        <f>IF('Données projet'!$A$62&gt;35,AI50+AH51-AQ50,IF(A51&lt;'Données projet'!$A$62,$AF$205^A51,IF(A51='Données projet'!$A$62,'Données projet'!$B$62,AI50+AH51-AQ50)))</f>
        <v>213.40000000000012</v>
      </c>
      <c r="AJ51" s="14">
        <f>AI51*VLOOKUP('Données projet'!$B$10,Paramètres!$A$1:$I$89,3,0)*VLOOKUP('Données projet'!$B$10,Paramètres!$A$1:$I$89,5,0)</f>
        <v>186.42624000000012</v>
      </c>
      <c r="AK51" s="14">
        <f t="shared" si="35"/>
        <v>46.748974211060826</v>
      </c>
      <c r="AL51" s="22">
        <f t="shared" si="4"/>
        <v>406.11349808426445</v>
      </c>
      <c r="AM51" s="62">
        <f t="shared" si="5"/>
        <v>659.87336676993209</v>
      </c>
      <c r="AN51" s="62">
        <f ca="1">AVERAGE(OFFSET($AM$3,0,0,'Données projet'!$E$10+1,1))-AVERAGE(OFFSET($H$3,0,0,'Données projet'!$E$10+1,1))</f>
        <v>341.62910675299065</v>
      </c>
      <c r="AO51" s="62">
        <f t="shared" si="36"/>
        <v>407.15938341104709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49.291632107414451</v>
      </c>
      <c r="AW51" s="23">
        <f>EXP(-LN(2)/2)*AW50+(1-EXP(-LN(2)/2))/(LN(2)/2)*AQ51*AT51*VLOOKUP('Données projet'!$B$10,Paramètres!$A$1:$I$89,3,0)*0.475*44/12</f>
        <v>1.2882819337486271</v>
      </c>
      <c r="AX51" s="23">
        <f t="shared" si="6"/>
        <v>50.579914041163079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17.399999999999999</v>
      </c>
      <c r="BD51" s="13">
        <f>IF('Données projet'!$A$88&gt;35,BD50+BC51-BL50,IF(A51&lt;'Données projet'!$A$88,$BA$205^A51,IF(A51='Données projet'!$A$88,'Données projet'!$B$88,BD50+BC51-BL50)))</f>
        <v>555.1999999999997</v>
      </c>
      <c r="BE51" s="14">
        <f>BD51*VLOOKUP('Données projet'!$B$11,Paramètres!$A$1:$I$89,3,0)*VLOOKUP('Données projet'!$B$11,Paramètres!$A$1:$I$89,5,0)</f>
        <v>267.05119999999988</v>
      </c>
      <c r="BF51" s="14">
        <f t="shared" si="37"/>
        <v>64.223060095412251</v>
      </c>
      <c r="BG51" s="22">
        <f t="shared" si="7"/>
        <v>576.96933633284277</v>
      </c>
      <c r="BH51" s="62">
        <f t="shared" si="8"/>
        <v>830.72920501851047</v>
      </c>
      <c r="BI51" s="62">
        <f ca="1">AVERAGE(OFFSET($BH$3,0,0,'Données projet'!$E$11+1,1))-AVERAGE(OFFSET($H$3,0,0,'Données projet'!$E$11+1,1))</f>
        <v>405.94837980869011</v>
      </c>
      <c r="BJ51" s="62">
        <f t="shared" si="38"/>
        <v>511.37583835090879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21.143610175783383</v>
      </c>
      <c r="BQ51" s="23">
        <f>EXP(-LN(2)/25)*BQ50+(1-EXP(-LN(2)/25))/(LN(2)/25)*Calculateur!BL51*Calculateur!BN51*VLOOKUP('Données projet'!$B$11,Paramètres!$A$1:$I$89,3,0)*0.475*44/12</f>
        <v>30.62660456710131</v>
      </c>
      <c r="BR51" s="23">
        <f>EXP(-LN(2)/2)*BR50+(1-EXP(-LN(2)/2))/(LN(2)/2)*BL51*BO51*VLOOKUP('Données projet'!$B$11,Paramètres!$A$1:$I$89,3,0)*0.475*44/12</f>
        <v>1.5498160972266135</v>
      </c>
      <c r="BS51" s="24">
        <f t="shared" si="9"/>
        <v>53.320030840111301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13.6</v>
      </c>
      <c r="BY51" s="13">
        <f>IF('Données projet'!$A$114&gt;35,BY50+BX51-CG50,IF(A51&lt;'Données projet'!$A$114,$BV$205^A51,IF(A51='Données projet'!$A$114,'Données projet'!$B$114,BY50+BX51-CG50)))</f>
        <v>246.80000000000013</v>
      </c>
      <c r="BZ51" s="14">
        <f>BY51*VLOOKUP('Données projet'!$B$12,Paramètres!$A$1:$I$89,3,0)*VLOOKUP('Données projet'!$B$12,Paramètres!$A$1:$I$89,5,0)</f>
        <v>211.75440000000012</v>
      </c>
      <c r="CA51" s="14">
        <f t="shared" si="39"/>
        <v>52.318780408268793</v>
      </c>
      <c r="CB51" s="22">
        <f t="shared" si="10"/>
        <v>459.92745587773499</v>
      </c>
      <c r="CC51" s="62">
        <f t="shared" si="11"/>
        <v>713.68732456340263</v>
      </c>
      <c r="CD51" s="62">
        <f ca="1">AVERAGE(OFFSET($CC$3,0,0,'Données projet'!$E$12+1,1))-AVERAGE(OFFSET($H$3,0,0,'Données projet'!$E$12+1,1))</f>
        <v>590.18141384962507</v>
      </c>
      <c r="CE51" s="62">
        <f t="shared" si="40"/>
        <v>331.25104323342907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4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2.4423076923076925</v>
      </c>
      <c r="N52" s="14">
        <f>IF('Données projet'!$A$36&gt;35,N51+M52-V51,IF(A52&lt;'Données projet'!$A$36,$K$205^A52,IF(A52='Données projet'!$A$36,'Données projet'!$B$36,N51+M52-V51)))</f>
        <v>119.67307692307696</v>
      </c>
      <c r="O52" s="14">
        <f>N52*VLOOKUP('Données projet'!$B$9,Paramètres!$A$1:$I$89,3,0)*VLOOKUP('Données projet'!$B$9,Paramètres!$A$1:$I$89,5,0)</f>
        <v>108.28020000000002</v>
      </c>
      <c r="P52" s="14">
        <f t="shared" si="33"/>
        <v>28.925415413229778</v>
      </c>
      <c r="Q52" s="22">
        <f t="shared" si="53"/>
        <v>238.96644684470857</v>
      </c>
      <c r="R52" s="62">
        <f t="shared" si="0"/>
        <v>493.41282666900054</v>
      </c>
      <c r="S52" s="62">
        <f ca="1">AVERAGE(OFFSET($R$3,0,0,'Données projet'!$E$9+1,1))-AVERAGE(OFFSET($H$3,0,0,'Données projet'!$E$9+1,1))</f>
        <v>432.80275651765203</v>
      </c>
      <c r="T52" s="62">
        <f t="shared" si="34"/>
        <v>203.89279893419919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8.8000000000000007</v>
      </c>
      <c r="AI52" s="14">
        <f>IF('Données projet'!$A$62&gt;35,AI51+AH52-AQ51,IF(A52&lt;'Données projet'!$A$62,$AF$205^A52,IF(A52='Données projet'!$A$62,'Données projet'!$B$62,AI51+AH52-AQ51)))</f>
        <v>222.20000000000013</v>
      </c>
      <c r="AJ52" s="14">
        <f>AI52*VLOOKUP('Données projet'!$B$10,Paramètres!$A$1:$I$89,3,0)*VLOOKUP('Données projet'!$B$10,Paramètres!$A$1:$I$89,5,0)</f>
        <v>194.11392000000015</v>
      </c>
      <c r="AK52" s="14">
        <f t="shared" si="35"/>
        <v>48.448345132424009</v>
      </c>
      <c r="AL52" s="22">
        <f t="shared" si="4"/>
        <v>422.46261177230537</v>
      </c>
      <c r="AM52" s="62">
        <f t="shared" si="5"/>
        <v>676.90899159659739</v>
      </c>
      <c r="AN52" s="62">
        <f ca="1">AVERAGE(OFFSET($AM$3,0,0,'Données projet'!$E$10+1,1))-AVERAGE(OFFSET($H$3,0,0,'Données projet'!$E$10+1,1))</f>
        <v>341.62910675299065</v>
      </c>
      <c r="AO52" s="62">
        <f t="shared" si="36"/>
        <v>407.15938341104709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47.943749835302924</v>
      </c>
      <c r="AW52" s="23">
        <f>EXP(-LN(2)/2)*AW51+(1-EXP(-LN(2)/2))/(LN(2)/2)*AQ52*AT52*VLOOKUP('Données projet'!$B$10,Paramètres!$A$1:$I$89,3,0)*0.475*44/12</f>
        <v>0.91095289143377278</v>
      </c>
      <c r="AX52" s="23">
        <f t="shared" si="6"/>
        <v>48.854702726736697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17.399999999999999</v>
      </c>
      <c r="BD52" s="13">
        <f>IF('Données projet'!$A$88&gt;35,BD51+BC52-BL51,IF(A52&lt;'Données projet'!$A$88,$BA$205^A52,IF(A52='Données projet'!$A$88,'Données projet'!$B$88,BD51+BC52-BL51)))</f>
        <v>572.59999999999968</v>
      </c>
      <c r="BE52" s="14">
        <f>BD52*VLOOKUP('Données projet'!$B$11,Paramètres!$A$1:$I$89,3,0)*VLOOKUP('Données projet'!$B$11,Paramètres!$A$1:$I$89,5,0)</f>
        <v>275.42059999999987</v>
      </c>
      <c r="BF52" s="14">
        <f t="shared" si="37"/>
        <v>65.998323191530915</v>
      </c>
      <c r="BG52" s="22">
        <f t="shared" si="7"/>
        <v>594.63795789191602</v>
      </c>
      <c r="BH52" s="62">
        <f t="shared" si="8"/>
        <v>849.08433771620798</v>
      </c>
      <c r="BI52" s="62">
        <f ca="1">AVERAGE(OFFSET($BH$3,0,0,'Données projet'!$E$11+1,1))-AVERAGE(OFFSET($H$3,0,0,'Données projet'!$E$11+1,1))</f>
        <v>405.94837980869011</v>
      </c>
      <c r="BJ52" s="62">
        <f t="shared" si="38"/>
        <v>511.37583835090879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20.72899687656507</v>
      </c>
      <c r="BQ52" s="23">
        <f>EXP(-LN(2)/25)*BQ51+(1-EXP(-LN(2)/25))/(LN(2)/25)*Calculateur!BL52*Calculateur!BN52*VLOOKUP('Données projet'!$B$11,Paramètres!$A$1:$I$89,3,0)*0.475*44/12</f>
        <v>29.789118454630788</v>
      </c>
      <c r="BR52" s="23">
        <f>EXP(-LN(2)/2)*BR51+(1-EXP(-LN(2)/2))/(LN(2)/2)*BL52*BO52*VLOOKUP('Données projet'!$B$11,Paramètres!$A$1:$I$89,3,0)*0.475*44/12</f>
        <v>1.095885471941008</v>
      </c>
      <c r="BS52" s="24">
        <f t="shared" si="9"/>
        <v>51.614000803136868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13.6</v>
      </c>
      <c r="BY52" s="13">
        <f>IF('Données projet'!$A$114&gt;35,BY51+BX52-CG51,IF(A52&lt;'Données projet'!$A$114,$BV$205^A52,IF(A52='Données projet'!$A$114,'Données projet'!$B$114,BY51+BX52-CG51)))</f>
        <v>260.40000000000015</v>
      </c>
      <c r="BZ52" s="14">
        <f>BY52*VLOOKUP('Données projet'!$B$12,Paramètres!$A$1:$I$89,3,0)*VLOOKUP('Données projet'!$B$12,Paramètres!$A$1:$I$89,5,0)</f>
        <v>223.42320000000015</v>
      </c>
      <c r="CA52" s="14">
        <f t="shared" si="39"/>
        <v>54.858231422257631</v>
      </c>
      <c r="CB52" s="22">
        <f t="shared" si="10"/>
        <v>484.67349306043229</v>
      </c>
      <c r="CC52" s="62">
        <f t="shared" si="11"/>
        <v>739.11987288472426</v>
      </c>
      <c r="CD52" s="62">
        <f ca="1">AVERAGE(OFFSET($CC$3,0,0,'Données projet'!$E$12+1,1))-AVERAGE(OFFSET($H$3,0,0,'Données projet'!$E$12+1,1))</f>
        <v>590.18141384962507</v>
      </c>
      <c r="CE52" s="62">
        <f t="shared" si="40"/>
        <v>331.25104323342907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4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2.4423076923076925</v>
      </c>
      <c r="N53" s="14">
        <f>IF('Données projet'!$A$36&gt;35,N52+M53-V52,IF(A53&lt;'Données projet'!$A$36,$K$205^A53,IF(A53='Données projet'!$A$36,'Données projet'!$B$36,N52+M53-V52)))</f>
        <v>122.11538461538466</v>
      </c>
      <c r="O53" s="14">
        <f>N53*VLOOKUP('Données projet'!$B$9,Paramètres!$A$1:$I$89,3,0)*VLOOKUP('Données projet'!$B$9,Paramètres!$A$1:$I$89,5,0)</f>
        <v>110.49000000000004</v>
      </c>
      <c r="P53" s="14">
        <f t="shared" si="33"/>
        <v>29.446402513543834</v>
      </c>
      <c r="Q53" s="22">
        <f t="shared" si="53"/>
        <v>243.72256771108889</v>
      </c>
      <c r="R53" s="62">
        <f t="shared" si="0"/>
        <v>498.84354924055901</v>
      </c>
      <c r="S53" s="62">
        <f ca="1">AVERAGE(OFFSET($R$3,0,0,'Données projet'!$E$9+1,1))-AVERAGE(OFFSET($H$3,0,0,'Données projet'!$E$9+1,1))</f>
        <v>432.80275651765203</v>
      </c>
      <c r="T53" s="62">
        <f t="shared" si="34"/>
        <v>203.89279893419919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8.8000000000000007</v>
      </c>
      <c r="AH53" s="13">
        <f t="array" ref="AH53">INDEX(AG:AG,MIN(IF(ISNUMBER(AG53:AG249),ROW(AG53:AG249),"")))</f>
        <v>8.8000000000000007</v>
      </c>
      <c r="AI53" s="14">
        <f>IF('Données projet'!$A$62&gt;35,AI52+AH53-AQ52,IF(A53&lt;'Données projet'!$A$62,$AF$205^A53,IF(A53='Données projet'!$A$62,'Données projet'!$B$62,AI52+AH53-AQ52)))</f>
        <v>231.00000000000014</v>
      </c>
      <c r="AJ53" s="14">
        <f>AI53*VLOOKUP('Données projet'!$B$10,Paramètres!$A$1:$I$89,3,0)*VLOOKUP('Données projet'!$B$10,Paramètres!$A$1:$I$89,5,0)</f>
        <v>201.80160000000015</v>
      </c>
      <c r="AK53" s="14">
        <f t="shared" si="35"/>
        <v>50.139897992681711</v>
      </c>
      <c r="AL53" s="22">
        <f t="shared" si="4"/>
        <v>438.7981090039209</v>
      </c>
      <c r="AM53" s="62">
        <f t="shared" si="5"/>
        <v>693.919090533391</v>
      </c>
      <c r="AN53" s="62">
        <f ca="1">AVERAGE(OFFSET($AM$3,0,0,'Données projet'!$E$10+1,1))-AVERAGE(OFFSET($H$3,0,0,'Données projet'!$E$10+1,1))</f>
        <v>341.62910675299065</v>
      </c>
      <c r="AO53" s="62">
        <f t="shared" si="36"/>
        <v>407.15938341104709</v>
      </c>
      <c r="AP53" s="16">
        <f>IF(ISNA(VLOOKUP(A53,'Données projet'!$A$61:$I$81,3,0)),0,VLOOKUP(A53,'Données projet'!$A$61:$I$81,3,0))</f>
        <v>8</v>
      </c>
      <c r="AQ53" s="16">
        <f>IF(ISNA(VLOOKUP(A53,'Données projet'!$A$61:$I$81,4,0)),0,VLOOKUP(A53,'Données projet'!$A$61:$I$81,4,0))</f>
        <v>33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0.38700000000000001</v>
      </c>
      <c r="AT53" s="17">
        <f>IF(ISNA(VLOOKUP(A53,'Données projet'!$A$61:$I$81,7,0)),0%,VLOOKUP(A53,'Données projet'!$A$61:$I$81,7,0))</f>
        <v>0.1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58.917615768467158</v>
      </c>
      <c r="AW53" s="23">
        <f>EXP(-LN(2)/2)*AW52+(1-EXP(-LN(2)/2))/(LN(2)/2)*AQ53*AT53*VLOOKUP('Données projet'!$B$10,Paramètres!$A$1:$I$89,3,0)*0.475*44/12</f>
        <v>3.3642158384518956</v>
      </c>
      <c r="AX53" s="23">
        <f t="shared" si="6"/>
        <v>62.281831606919056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590</v>
      </c>
      <c r="BB53" s="13">
        <f>VLOOKUP(A53,'Données projet'!$A$87:$I$107,9,0)</f>
        <v>17.399999999999999</v>
      </c>
      <c r="BC53" s="13">
        <f t="array" ref="BC53">INDEX(BB:BB,MIN(IF(ISNUMBER(BB53:BB249),ROW(BB53:BB249),"")))</f>
        <v>17.399999999999999</v>
      </c>
      <c r="BD53" s="13">
        <f>IF('Données projet'!$A$88&gt;35,BD52+BC53-BL52,IF(A53&lt;'Données projet'!$A$88,$BA$205^A53,IF(A53='Données projet'!$A$88,'Données projet'!$B$88,BD52+BC53-BL52)))</f>
        <v>589.99999999999966</v>
      </c>
      <c r="BE53" s="14">
        <f>BD53*VLOOKUP('Données projet'!$B$11,Paramètres!$A$1:$I$89,3,0)*VLOOKUP('Données projet'!$B$11,Paramètres!$A$1:$I$89,5,0)</f>
        <v>283.78999999999985</v>
      </c>
      <c r="BF53" s="14">
        <f t="shared" si="37"/>
        <v>67.767317026167248</v>
      </c>
      <c r="BG53" s="22">
        <f t="shared" si="7"/>
        <v>612.29566048724098</v>
      </c>
      <c r="BH53" s="62">
        <f t="shared" si="8"/>
        <v>867.41664201671108</v>
      </c>
      <c r="BI53" s="62">
        <f ca="1">AVERAGE(OFFSET($BH$3,0,0,'Données projet'!$E$11+1,1))-AVERAGE(OFFSET($H$3,0,0,'Données projet'!$E$11+1,1))</f>
        <v>405.94837980869011</v>
      </c>
      <c r="BJ53" s="62">
        <f t="shared" si="38"/>
        <v>511.37583835090879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73</v>
      </c>
      <c r="BM53" s="17">
        <f>IF(ISNA(VLOOKUP(A53,'Données projet'!$A$87:$I$107,5,0)),0%,VLOOKUP(A53,'Données projet'!$A$87:$I$107,5,0)*VLOOKUP('Données projet'!$B$11,Paramètres!$A$1:$I$89,7,0))</f>
        <v>0.27500000000000002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33.131919765313647</v>
      </c>
      <c r="BQ53" s="23">
        <f>EXP(-LN(2)/25)*BQ52+(1-EXP(-LN(2)/25))/(LN(2)/25)*Calculateur!BL53*Calculateur!BN53*VLOOKUP('Données projet'!$B$11,Paramètres!$A$1:$I$89,3,0)*0.475*44/12</f>
        <v>28.974533443947255</v>
      </c>
      <c r="BR53" s="23">
        <f>EXP(-LN(2)/2)*BR52+(1-EXP(-LN(2)/2))/(LN(2)/2)*BL53*BO53*VLOOKUP('Données projet'!$B$11,Paramètres!$A$1:$I$89,3,0)*0.475*44/12</f>
        <v>0.77490804861330675</v>
      </c>
      <c r="BS53" s="24">
        <f t="shared" si="9"/>
        <v>62.881361257874211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274</v>
      </c>
      <c r="BW53" s="13">
        <f>VLOOKUP(A53,'Données projet'!$A$113:$I$133,9,0)</f>
        <v>13.6</v>
      </c>
      <c r="BX53" s="13">
        <f t="array" ref="BX53">INDEX(BW:BW,MIN(IF(ISNUMBER(BW53:BW249),ROW(BW53:BW249),"")))</f>
        <v>13.6</v>
      </c>
      <c r="BY53" s="13">
        <f>IF('Données projet'!$A$114&gt;35,BY52+BX53-CG52,IF(A53&lt;'Données projet'!$A$114,$BV$205^A53,IF(A53='Données projet'!$A$114,'Données projet'!$B$114,BY52+BX53-CG52)))</f>
        <v>274.00000000000017</v>
      </c>
      <c r="BZ53" s="14">
        <f>BY53*VLOOKUP('Données projet'!$B$12,Paramètres!$A$1:$I$89,3,0)*VLOOKUP('Données projet'!$B$12,Paramètres!$A$1:$I$89,5,0)</f>
        <v>235.09200000000016</v>
      </c>
      <c r="CA53" s="14">
        <f t="shared" si="39"/>
        <v>57.38228388709345</v>
      </c>
      <c r="CB53" s="22">
        <f t="shared" si="10"/>
        <v>509.39271110335471</v>
      </c>
      <c r="CC53" s="62">
        <f t="shared" si="11"/>
        <v>764.51369263282481</v>
      </c>
      <c r="CD53" s="62">
        <f ca="1">AVERAGE(OFFSET($CC$3,0,0,'Données projet'!$E$12+1,1))-AVERAGE(OFFSET($H$3,0,0,'Données projet'!$E$12+1,1))</f>
        <v>590.18141384962507</v>
      </c>
      <c r="CE53" s="62">
        <f t="shared" si="40"/>
        <v>331.25104323342907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35</v>
      </c>
      <c r="CH53" s="17">
        <f>IF(ISNA(VLOOKUP(A53,'Données projet'!$A$113:$I$133,5,0)),0%,VLOOKUP(A53,'Données projet'!$A$113:$I$133,5,0)*VLOOKUP('Données projet'!$B$12,Paramètres!$A$1:$I$89,7,0))</f>
        <v>0.26500000000000001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8.7972780068042429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8.7972780068042429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4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2.4423076923076925</v>
      </c>
      <c r="N54" s="14">
        <f>IF('Données projet'!$A$36&gt;35,N53+M54-V53,IF(A54&lt;'Données projet'!$A$36,$K$205^A54,IF(A54='Données projet'!$A$36,'Données projet'!$B$36,N53+M54-V53)))</f>
        <v>124.55769230769235</v>
      </c>
      <c r="O54" s="14">
        <f>N54*VLOOKUP('Données projet'!$B$9,Paramètres!$A$1:$I$89,3,0)*VLOOKUP('Données projet'!$B$9,Paramètres!$A$1:$I$89,5,0)</f>
        <v>112.69980000000004</v>
      </c>
      <c r="P54" s="14">
        <f t="shared" si="33"/>
        <v>29.96617808118171</v>
      </c>
      <c r="Q54" s="22">
        <f t="shared" si="53"/>
        <v>248.47657849139151</v>
      </c>
      <c r="R54" s="62">
        <f t="shared" si="0"/>
        <v>504.2604588946383</v>
      </c>
      <c r="S54" s="62">
        <f ca="1">AVERAGE(OFFSET($R$3,0,0,'Données projet'!$E$9+1,1))-AVERAGE(OFFSET($H$3,0,0,'Données projet'!$E$9+1,1))</f>
        <v>432.80275651765203</v>
      </c>
      <c r="T54" s="62">
        <f t="shared" si="34"/>
        <v>203.89279893419919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7.8</v>
      </c>
      <c r="AI54" s="14">
        <f>IF('Données projet'!$A$62&gt;35,AI53+AH54-AQ53,IF(A54&lt;'Données projet'!$A$62,$AF$205^A54,IF(A54='Données projet'!$A$62,'Données projet'!$B$62,AI53+AH54-AQ53)))</f>
        <v>205.80000000000015</v>
      </c>
      <c r="AJ54" s="14">
        <f>AI54*VLOOKUP('Données projet'!$B$10,Paramètres!$A$1:$I$89,3,0)*VLOOKUP('Données projet'!$B$10,Paramètres!$A$1:$I$89,5,0)</f>
        <v>179.78688000000014</v>
      </c>
      <c r="AK54" s="14">
        <f t="shared" si="35"/>
        <v>45.274767624296977</v>
      </c>
      <c r="AL54" s="22">
        <f t="shared" si="4"/>
        <v>391.98236961231743</v>
      </c>
      <c r="AM54" s="62">
        <f t="shared" si="5"/>
        <v>647.76625001556431</v>
      </c>
      <c r="AN54" s="62">
        <f ca="1">AVERAGE(OFFSET($AM$3,0,0,'Données projet'!$E$10+1,1))-AVERAGE(OFFSET($H$3,0,0,'Données projet'!$E$10+1,1))</f>
        <v>341.62910675299065</v>
      </c>
      <c r="AO54" s="62">
        <f t="shared" si="36"/>
        <v>407.15938341104709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57.30651046693567</v>
      </c>
      <c r="AW54" s="23">
        <f>EXP(-LN(2)/2)*AW53+(1-EXP(-LN(2)/2))/(LN(2)/2)*AQ54*AT54*VLOOKUP('Données projet'!$B$10,Paramètres!$A$1:$I$89,3,0)*0.475*44/12</f>
        <v>2.3788598327445221</v>
      </c>
      <c r="AX54" s="23">
        <f t="shared" si="6"/>
        <v>59.685370299680194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18.2</v>
      </c>
      <c r="BD54" s="13">
        <f>IF('Données projet'!$A$88&gt;35,BD53+BC54-BL53,IF(A54&lt;'Données projet'!$A$88,$BA$205^A54,IF(A54='Données projet'!$A$88,'Données projet'!$B$88,BD53+BC54-BL53)))</f>
        <v>535.1999999999997</v>
      </c>
      <c r="BE54" s="14">
        <f>BD54*VLOOKUP('Données projet'!$B$11,Paramètres!$A$1:$I$89,3,0)*VLOOKUP('Données projet'!$B$11,Paramètres!$A$1:$I$89,5,0)</f>
        <v>257.43119999999988</v>
      </c>
      <c r="BF54" s="14">
        <f t="shared" si="37"/>
        <v>62.174497581736468</v>
      </c>
      <c r="BG54" s="22">
        <f t="shared" si="7"/>
        <v>556.64658995485752</v>
      </c>
      <c r="BH54" s="62">
        <f t="shared" si="8"/>
        <v>812.43047035810434</v>
      </c>
      <c r="BI54" s="62">
        <f ca="1">AVERAGE(OFFSET($BH$3,0,0,'Données projet'!$E$11+1,1))-AVERAGE(OFFSET($H$3,0,0,'Données projet'!$E$11+1,1))</f>
        <v>405.94837980869011</v>
      </c>
      <c r="BJ54" s="62">
        <f t="shared" si="38"/>
        <v>511.37583835090879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32.48222302719148</v>
      </c>
      <c r="BQ54" s="23">
        <f>EXP(-LN(2)/25)*BQ53+(1-EXP(-LN(2)/25))/(LN(2)/25)*Calculateur!BL54*Calculateur!BN54*VLOOKUP('Données projet'!$B$11,Paramètres!$A$1:$I$89,3,0)*0.475*44/12</f>
        <v>28.182223303218027</v>
      </c>
      <c r="BR54" s="23">
        <f>EXP(-LN(2)/2)*BR53+(1-EXP(-LN(2)/2))/(LN(2)/2)*BL54*BO54*VLOOKUP('Données projet'!$B$11,Paramètres!$A$1:$I$89,3,0)*0.475*44/12</f>
        <v>0.54794273597050402</v>
      </c>
      <c r="BS54" s="24">
        <f t="shared" si="9"/>
        <v>61.212389066380005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13.4</v>
      </c>
      <c r="BY54" s="13">
        <f>IF('Données projet'!$A$114&gt;35,BY53+BX54-CG53,IF(A54&lt;'Données projet'!$A$114,$BV$205^A54,IF(A54='Données projet'!$A$114,'Données projet'!$B$114,BY53+BX54-CG53)))</f>
        <v>252.40000000000015</v>
      </c>
      <c r="BZ54" s="14">
        <f>BY54*VLOOKUP('Données projet'!$B$12,Paramètres!$A$1:$I$89,3,0)*VLOOKUP('Données projet'!$B$12,Paramètres!$A$1:$I$89,5,0)</f>
        <v>216.55920000000012</v>
      </c>
      <c r="CA54" s="14">
        <f t="shared" si="39"/>
        <v>53.366360125240526</v>
      </c>
      <c r="CB54" s="22">
        <f t="shared" si="10"/>
        <v>470.12035055146072</v>
      </c>
      <c r="CC54" s="62">
        <f t="shared" si="11"/>
        <v>725.9042309547076</v>
      </c>
      <c r="CD54" s="62">
        <f ca="1">AVERAGE(OFFSET($CC$3,0,0,'Données projet'!$E$12+1,1))-AVERAGE(OFFSET($H$3,0,0,'Données projet'!$E$12+1,1))</f>
        <v>590.18141384962507</v>
      </c>
      <c r="CE54" s="62">
        <f t="shared" si="40"/>
        <v>331.25104323342907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8.6247687509005662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8.6247687509005662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4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>
        <f>VLOOKUP(A55,'Données projet'!$A$35:$I$55,2,0)</f>
        <v>127</v>
      </c>
      <c r="L55" s="13">
        <f>VLOOKUP(A55,'Données projet'!$A$35:$I$55,9,0)</f>
        <v>2.4423076923076925</v>
      </c>
      <c r="M55" s="13">
        <f t="array" ref="M55">INDEX(L:L,MIN(IF(ISNUMBER(L55:L251),ROW(L55:L251),"")))</f>
        <v>2.4423076923076925</v>
      </c>
      <c r="N55" s="14">
        <f>IF('Données projet'!$A$36&gt;35,N54+M55-V54,IF(A55&lt;'Données projet'!$A$36,$K$205^A55,IF(A55='Données projet'!$A$36,'Données projet'!$B$36,N54+M55-V54)))</f>
        <v>127.00000000000004</v>
      </c>
      <c r="O55" s="14">
        <f>N55*VLOOKUP('Données projet'!$B$9,Paramètres!$A$1:$I$89,3,0)*VLOOKUP('Données projet'!$B$9,Paramètres!$A$1:$I$89,5,0)</f>
        <v>114.90960000000004</v>
      </c>
      <c r="P55" s="14">
        <f t="shared" si="33"/>
        <v>30.484768610015163</v>
      </c>
      <c r="Q55" s="22">
        <f t="shared" si="53"/>
        <v>253.22852532910977</v>
      </c>
      <c r="R55" s="62">
        <f t="shared" si="0"/>
        <v>509.6638047926931</v>
      </c>
      <c r="S55" s="62">
        <f ca="1">AVERAGE(OFFSET($R$3,0,0,'Données projet'!$E$9+1,1))-AVERAGE(OFFSET($H$3,0,0,'Données projet'!$E$9+1,1))</f>
        <v>432.80275651765203</v>
      </c>
      <c r="T55" s="62">
        <f t="shared" si="34"/>
        <v>203.89279893419919</v>
      </c>
      <c r="U55" s="16">
        <f>IF(ISNA(VLOOKUP(A55,'Données projet'!$A$35:$I$55,3,0)),0,VLOOKUP(A55,'Données projet'!$A$35:$I$55,3,0))</f>
        <v>1</v>
      </c>
      <c r="V55" s="16">
        <f>IF(ISNA(VLOOKUP(A55,'Données projet'!$A$35:$I$55,4,0)),0,VLOOKUP(A55,'Données projet'!$A$35:$I$55,4,0))</f>
        <v>29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7.8</v>
      </c>
      <c r="AI55" s="14">
        <f>IF('Données projet'!$A$62&gt;35,AI54+AH55-AQ54,IF(A55&lt;'Données projet'!$A$62,$AF$205^A55,IF(A55='Données projet'!$A$62,'Données projet'!$B$62,AI54+AH55-AQ54)))</f>
        <v>213.60000000000016</v>
      </c>
      <c r="AJ55" s="14">
        <f>AI55*VLOOKUP('Données projet'!$B$10,Paramètres!$A$1:$I$89,3,0)*VLOOKUP('Données projet'!$B$10,Paramètres!$A$1:$I$89,5,0)</f>
        <v>186.60096000000016</v>
      </c>
      <c r="AK55" s="14">
        <f t="shared" si="35"/>
        <v>46.787685683664144</v>
      </c>
      <c r="AL55" s="22">
        <f t="shared" si="4"/>
        <v>406.48522456571527</v>
      </c>
      <c r="AM55" s="62">
        <f t="shared" si="5"/>
        <v>662.92050402929863</v>
      </c>
      <c r="AN55" s="62">
        <f ca="1">AVERAGE(OFFSET($AM$3,0,0,'Données projet'!$E$10+1,1))-AVERAGE(OFFSET($H$3,0,0,'Données projet'!$E$10+1,1))</f>
        <v>341.62910675299065</v>
      </c>
      <c r="AO55" s="62">
        <f t="shared" si="36"/>
        <v>407.15938341104709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55.739460924598902</v>
      </c>
      <c r="AW55" s="23">
        <f>EXP(-LN(2)/2)*AW54+(1-EXP(-LN(2)/2))/(LN(2)/2)*AQ55*AT55*VLOOKUP('Données projet'!$B$10,Paramètres!$A$1:$I$89,3,0)*0.475*44/12</f>
        <v>1.6821079192259478</v>
      </c>
      <c r="AX55" s="23">
        <f t="shared" si="6"/>
        <v>57.421568843824851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18.2</v>
      </c>
      <c r="BD55" s="13">
        <f>IF('Données projet'!$A$88&gt;35,BD54+BC55-BL54,IF(A55&lt;'Données projet'!$A$88,$BA$205^A55,IF(A55='Données projet'!$A$88,'Données projet'!$B$88,BD54+BC55-BL54)))</f>
        <v>553.39999999999975</v>
      </c>
      <c r="BE55" s="14">
        <f>BD55*VLOOKUP('Données projet'!$B$11,Paramètres!$A$1:$I$89,3,0)*VLOOKUP('Données projet'!$B$11,Paramètres!$A$1:$I$89,5,0)</f>
        <v>266.1853999999999</v>
      </c>
      <c r="BF55" s="14">
        <f t="shared" si="37"/>
        <v>64.039045704885652</v>
      </c>
      <c r="BG55" s="22">
        <f t="shared" si="7"/>
        <v>575.14090960267561</v>
      </c>
      <c r="BH55" s="62">
        <f t="shared" si="8"/>
        <v>831.57618906625896</v>
      </c>
      <c r="BI55" s="62">
        <f ca="1">AVERAGE(OFFSET($BH$3,0,0,'Données projet'!$E$11+1,1))-AVERAGE(OFFSET($H$3,0,0,'Données projet'!$E$11+1,1))</f>
        <v>405.94837980869011</v>
      </c>
      <c r="BJ55" s="62">
        <f t="shared" si="38"/>
        <v>511.37583835090879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31.84526644582801</v>
      </c>
      <c r="BQ55" s="23">
        <f>EXP(-LN(2)/25)*BQ54+(1-EXP(-LN(2)/25))/(LN(2)/25)*Calculateur!BL55*Calculateur!BN55*VLOOKUP('Données projet'!$B$11,Paramètres!$A$1:$I$89,3,0)*0.475*44/12</f>
        <v>27.411578924952817</v>
      </c>
      <c r="BR55" s="23">
        <f>EXP(-LN(2)/2)*BR54+(1-EXP(-LN(2)/2))/(LN(2)/2)*BL55*BO55*VLOOKUP('Données projet'!$B$11,Paramètres!$A$1:$I$89,3,0)*0.475*44/12</f>
        <v>0.38745402430665338</v>
      </c>
      <c r="BS55" s="24">
        <f t="shared" si="9"/>
        <v>59.644299395087479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13.4</v>
      </c>
      <c r="BY55" s="13">
        <f>IF('Données projet'!$A$114&gt;35,BY54+BX55-CG54,IF(A55&lt;'Données projet'!$A$114,$BV$205^A55,IF(A55='Données projet'!$A$114,'Données projet'!$B$114,BY54+BX55-CG54)))</f>
        <v>265.80000000000013</v>
      </c>
      <c r="BZ55" s="14">
        <f>BY55*VLOOKUP('Données projet'!$B$12,Paramètres!$A$1:$I$89,3,0)*VLOOKUP('Données projet'!$B$12,Paramètres!$A$1:$I$89,5,0)</f>
        <v>228.05640000000014</v>
      </c>
      <c r="CA55" s="14">
        <f t="shared" si="39"/>
        <v>55.862222430632038</v>
      </c>
      <c r="CB55" s="22">
        <f t="shared" si="10"/>
        <v>494.49160073335105</v>
      </c>
      <c r="CC55" s="62">
        <f t="shared" si="11"/>
        <v>750.92688019693446</v>
      </c>
      <c r="CD55" s="62">
        <f ca="1">AVERAGE(OFFSET($CC$3,0,0,'Données projet'!$E$12+1,1))-AVERAGE(OFFSET($H$3,0,0,'Données projet'!$E$12+1,1))</f>
        <v>590.18141384962507</v>
      </c>
      <c r="CE55" s="62">
        <f t="shared" si="40"/>
        <v>331.25104323342907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8.4556422962849034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8.4556422962849034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4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6.125</v>
      </c>
      <c r="N56" s="14">
        <f>IF('Données projet'!$A$36&gt;35,N55+M56-V55,IF(A56&lt;'Données projet'!$A$36,$K$205^A56,IF(A56='Données projet'!$A$36,'Données projet'!$B$36,N55+M56-V55)))</f>
        <v>104.12500000000006</v>
      </c>
      <c r="O56" s="14">
        <f>N56*VLOOKUP('Données projet'!$B$9,Paramètres!$A$1:$I$89,3,0)*VLOOKUP('Données projet'!$B$9,Paramètres!$A$1:$I$89,5,0)</f>
        <v>94.212300000000042</v>
      </c>
      <c r="P56" s="14">
        <f t="shared" si="33"/>
        <v>25.57841008066784</v>
      </c>
      <c r="Q56" s="22">
        <f t="shared" si="53"/>
        <v>208.6354867238299</v>
      </c>
      <c r="R56" s="62">
        <f t="shared" si="0"/>
        <v>465.71086493036313</v>
      </c>
      <c r="S56" s="62">
        <f ca="1">AVERAGE(OFFSET($R$3,0,0,'Données projet'!$E$9+1,1))-AVERAGE(OFFSET($H$3,0,0,'Données projet'!$E$9+1,1))</f>
        <v>432.80275651765203</v>
      </c>
      <c r="T56" s="62">
        <f t="shared" si="34"/>
        <v>203.89279893419919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7.8</v>
      </c>
      <c r="AI56" s="14">
        <f>IF('Données projet'!$A$62&gt;35,AI55+AH56-AQ55,IF(A56&lt;'Données projet'!$A$62,$AF$205^A56,IF(A56='Données projet'!$A$62,'Données projet'!$B$62,AI55+AH56-AQ55)))</f>
        <v>221.40000000000018</v>
      </c>
      <c r="AJ56" s="14">
        <f>AI56*VLOOKUP('Données projet'!$B$10,Paramètres!$A$1:$I$89,3,0)*VLOOKUP('Données projet'!$B$10,Paramètres!$A$1:$I$89,5,0)</f>
        <v>193.41504000000018</v>
      </c>
      <c r="AK56" s="14">
        <f t="shared" si="35"/>
        <v>48.294185132315114</v>
      </c>
      <c r="AL56" s="22">
        <f t="shared" si="4"/>
        <v>420.97690043878242</v>
      </c>
      <c r="AM56" s="62">
        <f t="shared" si="5"/>
        <v>678.05227864531571</v>
      </c>
      <c r="AN56" s="62">
        <f ca="1">AVERAGE(OFFSET($AM$3,0,0,'Données projet'!$E$10+1,1))-AVERAGE(OFFSET($H$3,0,0,'Données projet'!$E$10+1,1))</f>
        <v>341.62910675299065</v>
      </c>
      <c r="AO56" s="62">
        <f t="shared" si="36"/>
        <v>407.15938341104709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54.215262434404892</v>
      </c>
      <c r="AW56" s="23">
        <f>EXP(-LN(2)/2)*AW55+(1-EXP(-LN(2)/2))/(LN(2)/2)*AQ56*AT56*VLOOKUP('Données projet'!$B$10,Paramètres!$A$1:$I$89,3,0)*0.475*44/12</f>
        <v>1.189429916372261</v>
      </c>
      <c r="AX56" s="23">
        <f t="shared" si="6"/>
        <v>55.404692350777154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18.2</v>
      </c>
      <c r="BD56" s="13">
        <f>IF('Données projet'!$A$88&gt;35,BD55+BC56-BL55,IF(A56&lt;'Données projet'!$A$88,$BA$205^A56,IF(A56='Données projet'!$A$88,'Données projet'!$B$88,BD55+BC56-BL55)))</f>
        <v>571.5999999999998</v>
      </c>
      <c r="BE56" s="14">
        <f>BD56*VLOOKUP('Données projet'!$B$11,Paramètres!$A$1:$I$89,3,0)*VLOOKUP('Données projet'!$B$11,Paramètres!$A$1:$I$89,5,0)</f>
        <v>274.93959999999993</v>
      </c>
      <c r="BF56" s="14">
        <f t="shared" si="37"/>
        <v>65.896468407085635</v>
      </c>
      <c r="BG56" s="22">
        <f t="shared" si="7"/>
        <v>593.62281914234063</v>
      </c>
      <c r="BH56" s="62">
        <f t="shared" si="8"/>
        <v>850.69819734887392</v>
      </c>
      <c r="BI56" s="62">
        <f ca="1">AVERAGE(OFFSET($BH$3,0,0,'Données projet'!$E$11+1,1))-AVERAGE(OFFSET($H$3,0,0,'Données projet'!$E$11+1,1))</f>
        <v>405.94837980869011</v>
      </c>
      <c r="BJ56" s="62">
        <f t="shared" si="38"/>
        <v>511.37583835090879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31.220800194519924</v>
      </c>
      <c r="BQ56" s="23">
        <f>EXP(-LN(2)/25)*BQ55+(1-EXP(-LN(2)/25))/(LN(2)/25)*Calculateur!BL56*Calculateur!BN56*VLOOKUP('Données projet'!$B$11,Paramètres!$A$1:$I$89,3,0)*0.475*44/12</f>
        <v>26.662007857737695</v>
      </c>
      <c r="BR56" s="23">
        <f>EXP(-LN(2)/2)*BR55+(1-EXP(-LN(2)/2))/(LN(2)/2)*BL56*BO56*VLOOKUP('Données projet'!$B$11,Paramètres!$A$1:$I$89,3,0)*0.475*44/12</f>
        <v>0.27397136798525201</v>
      </c>
      <c r="BS56" s="24">
        <f t="shared" si="9"/>
        <v>58.15677942024287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13.4</v>
      </c>
      <c r="BY56" s="13">
        <f>IF('Données projet'!$A$114&gt;35,BY55+BX56-CG55,IF(A56&lt;'Données projet'!$A$114,$BV$205^A56,IF(A56='Données projet'!$A$114,'Données projet'!$B$114,BY55+BX56-CG55)))</f>
        <v>279.2000000000001</v>
      </c>
      <c r="BZ56" s="14">
        <f>BY56*VLOOKUP('Données projet'!$B$12,Paramètres!$A$1:$I$89,3,0)*VLOOKUP('Données projet'!$B$12,Paramètres!$A$1:$I$89,5,0)</f>
        <v>239.5536000000001</v>
      </c>
      <c r="CA56" s="14">
        <f t="shared" si="39"/>
        <v>58.343474943343601</v>
      </c>
      <c r="CB56" s="22">
        <f t="shared" si="10"/>
        <v>518.83740552632355</v>
      </c>
      <c r="CC56" s="62">
        <f t="shared" si="11"/>
        <v>775.91278373285672</v>
      </c>
      <c r="CD56" s="62">
        <f ca="1">AVERAGE(OFFSET($CC$3,0,0,'Données projet'!$E$12+1,1))-AVERAGE(OFFSET($H$3,0,0,'Données projet'!$E$12+1,1))</f>
        <v>590.18141384962507</v>
      </c>
      <c r="CE56" s="62">
        <f t="shared" si="40"/>
        <v>331.25104323342907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8.2898323082873038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8.2898323082873038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4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6.125</v>
      </c>
      <c r="N57" s="14">
        <f>IF('Données projet'!$A$36&gt;35,N56+M57-V56,IF(A57&lt;'Données projet'!$A$36,$K$205^A57,IF(A57='Données projet'!$A$36,'Données projet'!$B$36,N56+M57-V56)))</f>
        <v>110.25000000000006</v>
      </c>
      <c r="O57" s="14">
        <f>N57*VLOOKUP('Données projet'!$B$9,Paramètres!$A$1:$I$89,3,0)*VLOOKUP('Données projet'!$B$9,Paramètres!$A$1:$I$89,5,0)</f>
        <v>99.754200000000054</v>
      </c>
      <c r="P57" s="14">
        <f t="shared" si="33"/>
        <v>26.90343070306184</v>
      </c>
      <c r="Q57" s="22">
        <f t="shared" si="53"/>
        <v>220.59537347449944</v>
      </c>
      <c r="R57" s="62">
        <f t="shared" si="0"/>
        <v>478.2997461418388</v>
      </c>
      <c r="S57" s="62">
        <f ca="1">AVERAGE(OFFSET($R$3,0,0,'Données projet'!$E$9+1,1))-AVERAGE(OFFSET($H$3,0,0,'Données projet'!$E$9+1,1))</f>
        <v>432.80275651765203</v>
      </c>
      <c r="T57" s="62">
        <f t="shared" si="34"/>
        <v>203.89279893419919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7.8</v>
      </c>
      <c r="AI57" s="14">
        <f>IF('Données projet'!$A$62&gt;35,AI56+AH57-AQ56,IF(A57&lt;'Données projet'!$A$62,$AF$205^A57,IF(A57='Données projet'!$A$62,'Données projet'!$B$62,AI56+AH57-AQ56)))</f>
        <v>229.20000000000019</v>
      </c>
      <c r="AJ57" s="14">
        <f>AI57*VLOOKUP('Données projet'!$B$10,Paramètres!$A$1:$I$89,3,0)*VLOOKUP('Données projet'!$B$10,Paramètres!$A$1:$I$89,5,0)</f>
        <v>200.22912000000019</v>
      </c>
      <c r="AK57" s="14">
        <f t="shared" si="35"/>
        <v>49.794518010766396</v>
      </c>
      <c r="AL57" s="22">
        <f t="shared" si="4"/>
        <v>435.45783620208516</v>
      </c>
      <c r="AM57" s="62">
        <f t="shared" si="5"/>
        <v>693.16220886942449</v>
      </c>
      <c r="AN57" s="62">
        <f ca="1">AVERAGE(OFFSET($AM$3,0,0,'Données projet'!$E$10+1,1))-AVERAGE(OFFSET($H$3,0,0,'Données projet'!$E$10+1,1))</f>
        <v>341.62910675299065</v>
      </c>
      <c r="AO57" s="62">
        <f t="shared" si="36"/>
        <v>407.15938341104709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52.732743232079351</v>
      </c>
      <c r="AW57" s="23">
        <f>EXP(-LN(2)/2)*AW56+(1-EXP(-LN(2)/2))/(LN(2)/2)*AQ57*AT57*VLOOKUP('Données projet'!$B$10,Paramètres!$A$1:$I$89,3,0)*0.475*44/12</f>
        <v>0.84105395961297391</v>
      </c>
      <c r="AX57" s="23">
        <f t="shared" si="6"/>
        <v>53.573797191692321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18.2</v>
      </c>
      <c r="BD57" s="13">
        <f>IF('Données projet'!$A$88&gt;35,BD56+BC57-BL56,IF(A57&lt;'Données projet'!$A$88,$BA$205^A57,IF(A57='Données projet'!$A$88,'Données projet'!$B$88,BD56+BC57-BL56)))</f>
        <v>589.79999999999984</v>
      </c>
      <c r="BE57" s="14">
        <f>BD57*VLOOKUP('Données projet'!$B$11,Paramètres!$A$1:$I$89,3,0)*VLOOKUP('Données projet'!$B$11,Paramètres!$A$1:$I$89,5,0)</f>
        <v>283.69379999999995</v>
      </c>
      <c r="BF57" s="14">
        <f t="shared" si="37"/>
        <v>67.747018591313363</v>
      </c>
      <c r="BG57" s="22">
        <f t="shared" si="7"/>
        <v>612.09275904653725</v>
      </c>
      <c r="BH57" s="62">
        <f t="shared" si="8"/>
        <v>869.79713171387652</v>
      </c>
      <c r="BI57" s="62">
        <f ca="1">AVERAGE(OFFSET($BH$3,0,0,'Données projet'!$E$11+1,1))-AVERAGE(OFFSET($H$3,0,0,'Données projet'!$E$11+1,1))</f>
        <v>405.94837980869011</v>
      </c>
      <c r="BJ57" s="62">
        <f t="shared" si="38"/>
        <v>511.37583835090879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30.608579345513185</v>
      </c>
      <c r="BQ57" s="23">
        <f>EXP(-LN(2)/25)*BQ56+(1-EXP(-LN(2)/25))/(LN(2)/25)*Calculateur!BL57*Calculateur!BN57*VLOOKUP('Données projet'!$B$11,Paramètres!$A$1:$I$89,3,0)*0.475*44/12</f>
        <v>25.9329338507738</v>
      </c>
      <c r="BR57" s="23">
        <f>EXP(-LN(2)/2)*BR56+(1-EXP(-LN(2)/2))/(LN(2)/2)*BL57*BO57*VLOOKUP('Données projet'!$B$11,Paramètres!$A$1:$I$89,3,0)*0.475*44/12</f>
        <v>0.19372701215332669</v>
      </c>
      <c r="BS57" s="24">
        <f t="shared" si="9"/>
        <v>56.73524020844031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13.4</v>
      </c>
      <c r="BY57" s="13">
        <f>IF('Données projet'!$A$114&gt;35,BY56+BX57-CG56,IF(A57&lt;'Données projet'!$A$114,$BV$205^A57,IF(A57='Données projet'!$A$114,'Données projet'!$B$114,BY56+BX57-CG56)))</f>
        <v>292.60000000000008</v>
      </c>
      <c r="BZ57" s="14">
        <f>BY57*VLOOKUP('Données projet'!$B$12,Paramètres!$A$1:$I$89,3,0)*VLOOKUP('Données projet'!$B$12,Paramètres!$A$1:$I$89,5,0)</f>
        <v>251.05080000000009</v>
      </c>
      <c r="CA57" s="14">
        <f t="shared" si="39"/>
        <v>60.810898898941176</v>
      </c>
      <c r="CB57" s="22">
        <f t="shared" si="10"/>
        <v>543.15912558232264</v>
      </c>
      <c r="CC57" s="62">
        <f t="shared" si="11"/>
        <v>800.86349824966192</v>
      </c>
      <c r="CD57" s="62">
        <f ca="1">AVERAGE(OFFSET($CC$3,0,0,'Données projet'!$E$12+1,1))-AVERAGE(OFFSET($H$3,0,0,'Données projet'!$E$12+1,1))</f>
        <v>590.18141384962507</v>
      </c>
      <c r="CE57" s="62">
        <f t="shared" si="40"/>
        <v>331.25104323342907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8.1272737530202299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8.1272737530202299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4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6.125</v>
      </c>
      <c r="N58" s="14">
        <f>IF('Données projet'!$A$36&gt;35,N57+M58-V57,IF(A58&lt;'Données projet'!$A$36,$K$205^A58,IF(A58='Données projet'!$A$36,'Données projet'!$B$36,N57+M58-V57)))</f>
        <v>116.37500000000006</v>
      </c>
      <c r="O58" s="14">
        <f>N58*VLOOKUP('Données projet'!$B$9,Paramètres!$A$1:$I$89,3,0)*VLOOKUP('Données projet'!$B$9,Paramètres!$A$1:$I$89,5,0)</f>
        <v>105.29610000000005</v>
      </c>
      <c r="P58" s="14">
        <f t="shared" si="33"/>
        <v>28.219905863751134</v>
      </c>
      <c r="Q58" s="22">
        <f t="shared" si="53"/>
        <v>232.54037687936662</v>
      </c>
      <c r="R58" s="62">
        <f t="shared" si="0"/>
        <v>490.86283235983797</v>
      </c>
      <c r="S58" s="62">
        <f ca="1">AVERAGE(OFFSET($R$3,0,0,'Données projet'!$E$9+1,1))-AVERAGE(OFFSET($H$3,0,0,'Données projet'!$E$9+1,1))</f>
        <v>432.80275651765203</v>
      </c>
      <c r="T58" s="62">
        <f t="shared" si="34"/>
        <v>203.89279893419919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237</v>
      </c>
      <c r="AG58" s="13">
        <f>VLOOKUP(A58,'Données projet'!$A$61:$I$81,9,0)</f>
        <v>7.8</v>
      </c>
      <c r="AH58" s="13">
        <f t="array" ref="AH58">INDEX(AG:AG,MIN(IF(ISNUMBER(AG58:AG254),ROW(AG58:AG254),"")))</f>
        <v>7.8</v>
      </c>
      <c r="AI58" s="14">
        <f>IF('Données projet'!$A$62&gt;35,AI57+AH58-AQ57,IF(A58&lt;'Données projet'!$A$62,$AF$205^A58,IF(A58='Données projet'!$A$62,'Données projet'!$B$62,AI57+AH58-AQ57)))</f>
        <v>237.0000000000002</v>
      </c>
      <c r="AJ58" s="14">
        <f>AI58*VLOOKUP('Données projet'!$B$10,Paramètres!$A$1:$I$89,3,0)*VLOOKUP('Données projet'!$B$10,Paramètres!$A$1:$I$89,5,0)</f>
        <v>207.04320000000018</v>
      </c>
      <c r="AK58" s="14">
        <f t="shared" si="35"/>
        <v>51.28891823180637</v>
      </c>
      <c r="AL58" s="22">
        <f t="shared" si="4"/>
        <v>449.92843925372966</v>
      </c>
      <c r="AM58" s="62">
        <f t="shared" si="5"/>
        <v>708.25089473420098</v>
      </c>
      <c r="AN58" s="62">
        <f ca="1">AVERAGE(OFFSET($AM$3,0,0,'Données projet'!$E$10+1,1))-AVERAGE(OFFSET($H$3,0,0,'Données projet'!$E$10+1,1))</f>
        <v>341.62910675299065</v>
      </c>
      <c r="AO58" s="62">
        <f t="shared" si="36"/>
        <v>407.15938341104709</v>
      </c>
      <c r="AP58" s="16">
        <f>IF(ISNA(VLOOKUP(A58,'Données projet'!$A$61:$I$81,3,0)),0,VLOOKUP(A58,'Données projet'!$A$61:$I$81,3,0))</f>
        <v>9</v>
      </c>
      <c r="AQ58" s="16">
        <f>IF(ISNA(VLOOKUP(A58,'Données projet'!$A$61:$I$81,4,0)),0,VLOOKUP(A58,'Données projet'!$A$61:$I$81,4,0))</f>
        <v>29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0.38700000000000001</v>
      </c>
      <c r="AT58" s="17">
        <f>IF(ISNA(VLOOKUP(A58,'Données projet'!$A$61:$I$81,7,0)),0%,VLOOKUP(A58,'Données projet'!$A$61:$I$81,7,0))</f>
        <v>0.1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62.086576277613446</v>
      </c>
      <c r="AW58" s="23">
        <f>EXP(-LN(2)/2)*AW57+(1-EXP(-LN(2)/2))/(LN(2)/2)*AQ58*AT58*VLOOKUP('Données projet'!$B$10,Paramètres!$A$1:$I$89,3,0)*0.475*44/12</f>
        <v>2.9850837847240062</v>
      </c>
      <c r="AX58" s="23">
        <f t="shared" si="6"/>
        <v>65.071660062337457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608</v>
      </c>
      <c r="BB58" s="13">
        <f>VLOOKUP(A58,'Données projet'!$A$87:$I$107,9,0)</f>
        <v>18.2</v>
      </c>
      <c r="BC58" s="13">
        <f t="array" ref="BC58">INDEX(BB:BB,MIN(IF(ISNUMBER(BB58:BB254),ROW(BB58:BB254),"")))</f>
        <v>18.2</v>
      </c>
      <c r="BD58" s="13">
        <f>IF('Données projet'!$A$88&gt;35,BD57+BC58-BL57,IF(A58&lt;'Données projet'!$A$88,$BA$205^A58,IF(A58='Données projet'!$A$88,'Données projet'!$B$88,BD57+BC58-BL57)))</f>
        <v>607.99999999999989</v>
      </c>
      <c r="BE58" s="14">
        <f>BD58*VLOOKUP('Données projet'!$B$11,Paramètres!$A$1:$I$89,3,0)*VLOOKUP('Données projet'!$B$11,Paramètres!$A$1:$I$89,5,0)</f>
        <v>292.44799999999992</v>
      </c>
      <c r="BF58" s="14">
        <f t="shared" si="37"/>
        <v>69.590932665722264</v>
      </c>
      <c r="BG58" s="22">
        <f t="shared" si="7"/>
        <v>630.5511410594662</v>
      </c>
      <c r="BH58" s="62">
        <f t="shared" si="8"/>
        <v>888.87359653993758</v>
      </c>
      <c r="BI58" s="62">
        <f ca="1">AVERAGE(OFFSET($BH$3,0,0,'Données projet'!$E$11+1,1))-AVERAGE(OFFSET($H$3,0,0,'Données projet'!$E$11+1,1))</f>
        <v>405.94837980869011</v>
      </c>
      <c r="BJ58" s="62">
        <f t="shared" si="38"/>
        <v>511.37583835090879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68</v>
      </c>
      <c r="BM58" s="17">
        <f>IF(ISNA(VLOOKUP(A58,'Données projet'!$A$87:$I$107,5,0)),0%,VLOOKUP(A58,'Données projet'!$A$87:$I$107,5,0)*VLOOKUP('Données projet'!$B$11,Paramètres!$A$1:$I$89,7,0))</f>
        <v>0.27500000000000002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41.940413081279658</v>
      </c>
      <c r="BQ58" s="23">
        <f>EXP(-LN(2)/25)*BQ57+(1-EXP(-LN(2)/25))/(LN(2)/25)*Calculateur!BL58*Calculateur!BN58*VLOOKUP('Données projet'!$B$11,Paramètres!$A$1:$I$89,3,0)*0.475*44/12</f>
        <v>25.223796410870669</v>
      </c>
      <c r="BR58" s="23">
        <f>EXP(-LN(2)/2)*BR57+(1-EXP(-LN(2)/2))/(LN(2)/2)*BL58*BO58*VLOOKUP('Données projet'!$B$11,Paramètres!$A$1:$I$89,3,0)*0.475*44/12</f>
        <v>0.13698568399262601</v>
      </c>
      <c r="BS58" s="24">
        <f t="shared" si="9"/>
        <v>67.30119517614294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306</v>
      </c>
      <c r="BW58" s="13">
        <f>VLOOKUP(A58,'Données projet'!$A$113:$I$133,9,0)</f>
        <v>13.4</v>
      </c>
      <c r="BX58" s="13">
        <f t="array" ref="BX58">INDEX(BW:BW,MIN(IF(ISNUMBER(BW58:BW254),ROW(BW58:BW254),"")))</f>
        <v>13.4</v>
      </c>
      <c r="BY58" s="13">
        <f>IF('Données projet'!$A$114&gt;35,BY57+BX58-CG57,IF(A58&lt;'Données projet'!$A$114,$BV$205^A58,IF(A58='Données projet'!$A$114,'Données projet'!$B$114,BY57+BX58-CG57)))</f>
        <v>306.00000000000006</v>
      </c>
      <c r="BZ58" s="14">
        <f>BY58*VLOOKUP('Données projet'!$B$12,Paramètres!$A$1:$I$89,3,0)*VLOOKUP('Données projet'!$B$12,Paramètres!$A$1:$I$89,5,0)</f>
        <v>262.54800000000006</v>
      </c>
      <c r="CA58" s="14">
        <f t="shared" si="39"/>
        <v>63.265199933079444</v>
      </c>
      <c r="CB58" s="22">
        <f t="shared" si="10"/>
        <v>567.45798988344677</v>
      </c>
      <c r="CC58" s="62">
        <f t="shared" si="11"/>
        <v>825.78044536391815</v>
      </c>
      <c r="CD58" s="62">
        <f ca="1">AVERAGE(OFFSET($CC$3,0,0,'Données projet'!$E$12+1,1))-AVERAGE(OFFSET($H$3,0,0,'Données projet'!$E$12+1,1))</f>
        <v>590.18141384962507</v>
      </c>
      <c r="CE58" s="62">
        <f t="shared" si="40"/>
        <v>331.25104323342907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35</v>
      </c>
      <c r="CH58" s="17">
        <f>IF(ISNA(VLOOKUP(A58,'Données projet'!$A$113:$I$133,5,0)),0%,VLOOKUP(A58,'Données projet'!$A$113:$I$133,5,0)*VLOOKUP('Données projet'!$B$12,Paramètres!$A$1:$I$89,7,0))</f>
        <v>0.26500000000000001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16.76518087867526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16.76518087867526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4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6.125</v>
      </c>
      <c r="N59" s="14">
        <f>IF('Données projet'!$A$36&gt;35,N58+M59-V58,IF(A59&lt;'Données projet'!$A$36,$K$205^A59,IF(A59='Données projet'!$A$36,'Données projet'!$B$36,N58+M59-V58)))</f>
        <v>122.50000000000006</v>
      </c>
      <c r="O59" s="14">
        <f>N59*VLOOKUP('Données projet'!$B$9,Paramètres!$A$1:$I$89,3,0)*VLOOKUP('Données projet'!$B$9,Paramètres!$A$1:$I$89,5,0)</f>
        <v>110.83800000000005</v>
      </c>
      <c r="P59" s="14">
        <f t="shared" si="33"/>
        <v>29.528336615603067</v>
      </c>
      <c r="Q59" s="22">
        <f t="shared" si="53"/>
        <v>244.47136960550881</v>
      </c>
      <c r="R59" s="62">
        <f t="shared" si="0"/>
        <v>503.40118554413056</v>
      </c>
      <c r="S59" s="62">
        <f ca="1">AVERAGE(OFFSET($R$3,0,0,'Données projet'!$E$9+1,1))-AVERAGE(OFFSET($H$3,0,0,'Données projet'!$E$9+1,1))</f>
        <v>432.80275651765203</v>
      </c>
      <c r="T59" s="62">
        <f t="shared" si="34"/>
        <v>203.89279893419919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6.8</v>
      </c>
      <c r="AI59" s="14">
        <f>IF('Données projet'!$A$62&gt;35,AI58+AH59-AQ58,IF(A59&lt;'Données projet'!$A$62,$AF$205^A59,IF(A59='Données projet'!$A$62,'Données projet'!$B$62,AI58+AH59-AQ58)))</f>
        <v>214.80000000000021</v>
      </c>
      <c r="AJ59" s="14">
        <f>AI59*VLOOKUP('Données projet'!$B$10,Paramètres!$A$1:$I$89,3,0)*VLOOKUP('Données projet'!$B$10,Paramètres!$A$1:$I$89,5,0)</f>
        <v>187.6492800000002</v>
      </c>
      <c r="AK59" s="14">
        <f t="shared" si="35"/>
        <v>47.019866076567546</v>
      </c>
      <c r="AL59" s="22">
        <f t="shared" si="4"/>
        <v>408.71542941668878</v>
      </c>
      <c r="AM59" s="62">
        <f t="shared" si="5"/>
        <v>667.64524535531052</v>
      </c>
      <c r="AN59" s="62">
        <f ca="1">AVERAGE(OFFSET($AM$3,0,0,'Données projet'!$E$10+1,1))-AVERAGE(OFFSET($H$3,0,0,'Données projet'!$E$10+1,1))</f>
        <v>341.62910675299065</v>
      </c>
      <c r="AO59" s="62">
        <f t="shared" si="36"/>
        <v>407.15938341104709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60.388815584310962</v>
      </c>
      <c r="AW59" s="23">
        <f>EXP(-LN(2)/2)*AW58+(1-EXP(-LN(2)/2))/(LN(2)/2)*AQ59*AT59*VLOOKUP('Données projet'!$B$10,Paramètres!$A$1:$I$89,3,0)*0.475*44/12</f>
        <v>2.1107729865883491</v>
      </c>
      <c r="AX59" s="23">
        <f t="shared" si="6"/>
        <v>62.499588570899313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17.2</v>
      </c>
      <c r="BD59" s="13">
        <f>IF('Données projet'!$A$88&gt;35,BD58+BC59-BL58,IF(A59&lt;'Données projet'!$A$88,$BA$205^A59,IF(A59='Données projet'!$A$88,'Données projet'!$B$88,BD58+BC59-BL58)))</f>
        <v>557.19999999999993</v>
      </c>
      <c r="BE59" s="14">
        <f>BD59*VLOOKUP('Données projet'!$B$11,Paramètres!$A$1:$I$89,3,0)*VLOOKUP('Données projet'!$B$11,Paramètres!$A$1:$I$89,5,0)</f>
        <v>268.01319999999998</v>
      </c>
      <c r="BF59" s="14">
        <f t="shared" si="37"/>
        <v>64.427439110070736</v>
      </c>
      <c r="BG59" s="22">
        <f t="shared" si="7"/>
        <v>579.00077978337322</v>
      </c>
      <c r="BH59" s="62">
        <f t="shared" si="8"/>
        <v>837.93059572199491</v>
      </c>
      <c r="BI59" s="62">
        <f ca="1">AVERAGE(OFFSET($BH$3,0,0,'Données projet'!$E$11+1,1))-AVERAGE(OFFSET($H$3,0,0,'Données projet'!$E$11+1,1))</f>
        <v>405.94837980869011</v>
      </c>
      <c r="BJ59" s="62">
        <f t="shared" si="38"/>
        <v>511.37583835090879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41.117987161881814</v>
      </c>
      <c r="BQ59" s="23">
        <f>EXP(-LN(2)/25)*BQ58+(1-EXP(-LN(2)/25))/(LN(2)/25)*Calculateur!BL59*Calculateur!BN59*VLOOKUP('Données projet'!$B$11,Paramètres!$A$1:$I$89,3,0)*0.475*44/12</f>
        <v>24.534050371553608</v>
      </c>
      <c r="BR59" s="23">
        <f>EXP(-LN(2)/2)*BR58+(1-EXP(-LN(2)/2))/(LN(2)/2)*BL59*BO59*VLOOKUP('Données projet'!$B$11,Paramètres!$A$1:$I$89,3,0)*0.475*44/12</f>
        <v>9.6863506076663344E-2</v>
      </c>
      <c r="BS59" s="24">
        <f t="shared" si="9"/>
        <v>65.748901039512077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13</v>
      </c>
      <c r="BY59" s="13">
        <f>IF('Données projet'!$A$114&gt;35,BY58+BX59-CG58,IF(A59&lt;'Données projet'!$A$114,$BV$205^A59,IF(A59='Données projet'!$A$114,'Données projet'!$B$114,BY58+BX59-CG58)))</f>
        <v>284.00000000000006</v>
      </c>
      <c r="BZ59" s="14">
        <f>BY59*VLOOKUP('Données projet'!$B$12,Paramètres!$A$1:$I$89,3,0)*VLOOKUP('Données projet'!$B$12,Paramètres!$A$1:$I$89,5,0)</f>
        <v>243.67200000000008</v>
      </c>
      <c r="CA59" s="14">
        <f t="shared" si="39"/>
        <v>59.228879636606202</v>
      </c>
      <c r="CB59" s="22">
        <f t="shared" si="10"/>
        <v>527.55236536708924</v>
      </c>
      <c r="CC59" s="62">
        <f t="shared" si="11"/>
        <v>786.48218130571104</v>
      </c>
      <c r="CD59" s="62">
        <f ca="1">AVERAGE(OFFSET($CC$3,0,0,'Données projet'!$E$12+1,1))-AVERAGE(OFFSET($H$3,0,0,'Données projet'!$E$12+1,1))</f>
        <v>590.18141384962507</v>
      </c>
      <c r="CE59" s="62">
        <f t="shared" si="40"/>
        <v>331.25104323342907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16.436425907395066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16.436425907395066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4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6.125</v>
      </c>
      <c r="N60" s="14">
        <f>IF('Données projet'!$A$36&gt;35,N59+M60-V59,IF(A60&lt;'Données projet'!$A$36,$K$205^A60,IF(A60='Données projet'!$A$36,'Données projet'!$B$36,N59+M60-V59)))</f>
        <v>128.62500000000006</v>
      </c>
      <c r="O60" s="14">
        <f>N60*VLOOKUP('Données projet'!$B$9,Paramètres!$A$1:$I$89,3,0)*VLOOKUP('Données projet'!$B$9,Paramètres!$A$1:$I$89,5,0)</f>
        <v>116.37990000000006</v>
      </c>
      <c r="P60" s="14">
        <f t="shared" si="33"/>
        <v>30.829171075775971</v>
      </c>
      <c r="Q60" s="22">
        <f t="shared" si="53"/>
        <v>256.38913212364326</v>
      </c>
      <c r="R60" s="62">
        <f t="shared" si="0"/>
        <v>515.91577217432098</v>
      </c>
      <c r="S60" s="62">
        <f ca="1">AVERAGE(OFFSET($R$3,0,0,'Données projet'!$E$9+1,1))-AVERAGE(OFFSET($H$3,0,0,'Données projet'!$E$9+1,1))</f>
        <v>432.80275651765203</v>
      </c>
      <c r="T60" s="62">
        <f t="shared" si="34"/>
        <v>203.89279893419919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6.8</v>
      </c>
      <c r="AI60" s="14">
        <f>IF('Données projet'!$A$62&gt;35,AI59+AH60-AQ59,IF(A60&lt;'Données projet'!$A$62,$AF$205^A60,IF(A60='Données projet'!$A$62,'Données projet'!$B$62,AI59+AH60-AQ59)))</f>
        <v>221.60000000000022</v>
      </c>
      <c r="AJ60" s="14">
        <f>AI60*VLOOKUP('Données projet'!$B$10,Paramètres!$A$1:$I$89,3,0)*VLOOKUP('Données projet'!$B$10,Paramètres!$A$1:$I$89,5,0)</f>
        <v>193.58976000000021</v>
      </c>
      <c r="AK60" s="14">
        <f t="shared" si="35"/>
        <v>48.332731202087132</v>
      </c>
      <c r="AL60" s="22">
        <f t="shared" si="4"/>
        <v>421.34833884363542</v>
      </c>
      <c r="AM60" s="62">
        <f t="shared" si="5"/>
        <v>680.87497889431313</v>
      </c>
      <c r="AN60" s="62">
        <f ca="1">AVERAGE(OFFSET($AM$3,0,0,'Données projet'!$E$10+1,1))-AVERAGE(OFFSET($H$3,0,0,'Données projet'!$E$10+1,1))</f>
        <v>341.62910675299065</v>
      </c>
      <c r="AO60" s="62">
        <f t="shared" si="36"/>
        <v>407.15938341104709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58.737480246448186</v>
      </c>
      <c r="AW60" s="23">
        <f>EXP(-LN(2)/2)*AW59+(1-EXP(-LN(2)/2))/(LN(2)/2)*AQ60*AT60*VLOOKUP('Données projet'!$B$10,Paramètres!$A$1:$I$89,3,0)*0.475*44/12</f>
        <v>1.4925418923620033</v>
      </c>
      <c r="AX60" s="23">
        <f t="shared" si="6"/>
        <v>60.230022138810192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17.2</v>
      </c>
      <c r="BD60" s="13">
        <f>IF('Données projet'!$A$88&gt;35,BD59+BC60-BL59,IF(A60&lt;'Données projet'!$A$88,$BA$205^A60,IF(A60='Données projet'!$A$88,'Données projet'!$B$88,BD59+BC60-BL59)))</f>
        <v>574.4</v>
      </c>
      <c r="BE60" s="14">
        <f>BD60*VLOOKUP('Données projet'!$B$11,Paramètres!$A$1:$I$89,3,0)*VLOOKUP('Données projet'!$B$11,Paramètres!$A$1:$I$89,5,0)</f>
        <v>276.28640000000001</v>
      </c>
      <c r="BF60" s="14">
        <f t="shared" si="37"/>
        <v>66.181609658346517</v>
      </c>
      <c r="BG60" s="22">
        <f t="shared" si="7"/>
        <v>596.4651168216202</v>
      </c>
      <c r="BH60" s="62">
        <f t="shared" si="8"/>
        <v>855.99175687229786</v>
      </c>
      <c r="BI60" s="62">
        <f ca="1">AVERAGE(OFFSET($BH$3,0,0,'Données projet'!$E$11+1,1))-AVERAGE(OFFSET($H$3,0,0,'Données projet'!$E$11+1,1))</f>
        <v>405.94837980869011</v>
      </c>
      <c r="BJ60" s="62">
        <f t="shared" si="38"/>
        <v>511.37583835090879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40.311688513133085</v>
      </c>
      <c r="BQ60" s="23">
        <f>EXP(-LN(2)/25)*BQ59+(1-EXP(-LN(2)/25))/(LN(2)/25)*Calculateur!BL60*Calculateur!BN60*VLOOKUP('Données projet'!$B$11,Paramètres!$A$1:$I$89,3,0)*0.475*44/12</f>
        <v>23.863165473953838</v>
      </c>
      <c r="BR60" s="23">
        <f>EXP(-LN(2)/2)*BR59+(1-EXP(-LN(2)/2))/(LN(2)/2)*BL60*BO60*VLOOKUP('Données projet'!$B$11,Paramètres!$A$1:$I$89,3,0)*0.475*44/12</f>
        <v>6.8492841996313003E-2</v>
      </c>
      <c r="BS60" s="24">
        <f t="shared" si="9"/>
        <v>64.243346829083237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13</v>
      </c>
      <c r="BY60" s="13">
        <f>IF('Données projet'!$A$114&gt;35,BY59+BX60-CG59,IF(A60&lt;'Données projet'!$A$114,$BV$205^A60,IF(A60='Données projet'!$A$114,'Données projet'!$B$114,BY59+BX60-CG59)))</f>
        <v>297.00000000000006</v>
      </c>
      <c r="BZ60" s="14">
        <f>BY60*VLOOKUP('Données projet'!$B$12,Paramètres!$A$1:$I$89,3,0)*VLOOKUP('Données projet'!$B$12,Paramètres!$A$1:$I$89,5,0)</f>
        <v>254.82600000000008</v>
      </c>
      <c r="CA60" s="14">
        <f t="shared" si="39"/>
        <v>61.618203339594587</v>
      </c>
      <c r="CB60" s="22">
        <f t="shared" si="10"/>
        <v>551.14032081646064</v>
      </c>
      <c r="CC60" s="62">
        <f t="shared" si="11"/>
        <v>810.66696086713841</v>
      </c>
      <c r="CD60" s="62">
        <f ca="1">AVERAGE(OFFSET($CC$3,0,0,'Données projet'!$E$12+1,1))-AVERAGE(OFFSET($H$3,0,0,'Données projet'!$E$12+1,1))</f>
        <v>590.18141384962507</v>
      </c>
      <c r="CE60" s="62">
        <f t="shared" si="40"/>
        <v>331.25104323342907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16.114117620580942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16.114117620580942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4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6.125</v>
      </c>
      <c r="N61" s="14">
        <f>IF('Données projet'!$A$36&gt;35,N60+M61-V60,IF(A61&lt;'Données projet'!$A$36,$K$205^A61,IF(A61='Données projet'!$A$36,'Données projet'!$B$36,N60+M61-V60)))</f>
        <v>134.75000000000006</v>
      </c>
      <c r="O61" s="14">
        <f>N61*VLOOKUP('Données projet'!$B$9,Paramètres!$A$1:$I$89,3,0)*VLOOKUP('Données projet'!$B$9,Paramètres!$A$1:$I$89,5,0)</f>
        <v>121.92180000000005</v>
      </c>
      <c r="P61" s="14">
        <f t="shared" si="33"/>
        <v>32.122812272066035</v>
      </c>
      <c r="Q61" s="22">
        <f t="shared" si="53"/>
        <v>268.29436637384839</v>
      </c>
      <c r="R61" s="62">
        <f t="shared" si="0"/>
        <v>528.40747697253687</v>
      </c>
      <c r="S61" s="62">
        <f ca="1">AVERAGE(OFFSET($R$3,0,0,'Données projet'!$E$9+1,1))-AVERAGE(OFFSET($H$3,0,0,'Données projet'!$E$9+1,1))</f>
        <v>432.80275651765203</v>
      </c>
      <c r="T61" s="62">
        <f t="shared" si="34"/>
        <v>203.89279893419919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6.8</v>
      </c>
      <c r="AI61" s="14">
        <f>IF('Données projet'!$A$62&gt;35,AI60+AH61-AQ60,IF(A61&lt;'Données projet'!$A$62,$AF$205^A61,IF(A61='Données projet'!$A$62,'Données projet'!$B$62,AI60+AH61-AQ60)))</f>
        <v>228.40000000000023</v>
      </c>
      <c r="AJ61" s="14">
        <f>AI61*VLOOKUP('Données projet'!$B$10,Paramètres!$A$1:$I$89,3,0)*VLOOKUP('Données projet'!$B$10,Paramètres!$A$1:$I$89,5,0)</f>
        <v>199.53024000000022</v>
      </c>
      <c r="AK61" s="14">
        <f t="shared" si="35"/>
        <v>49.640914570461312</v>
      </c>
      <c r="AL61" s="22">
        <f t="shared" si="4"/>
        <v>433.97309421022049</v>
      </c>
      <c r="AM61" s="62">
        <f t="shared" si="5"/>
        <v>694.08620480890886</v>
      </c>
      <c r="AN61" s="62">
        <f ca="1">AVERAGE(OFFSET($AM$3,0,0,'Données projet'!$E$10+1,1))-AVERAGE(OFFSET($H$3,0,0,'Données projet'!$E$10+1,1))</f>
        <v>341.62910675299065</v>
      </c>
      <c r="AO61" s="62">
        <f t="shared" si="36"/>
        <v>407.15938341104709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57.13130076023922</v>
      </c>
      <c r="AW61" s="23">
        <f>EXP(-LN(2)/2)*AW60+(1-EXP(-LN(2)/2))/(LN(2)/2)*AQ61*AT61*VLOOKUP('Données projet'!$B$10,Paramètres!$A$1:$I$89,3,0)*0.475*44/12</f>
        <v>1.0553864932941748</v>
      </c>
      <c r="AX61" s="23">
        <f t="shared" si="6"/>
        <v>58.186687253533393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17.2</v>
      </c>
      <c r="BD61" s="13">
        <f>IF('Données projet'!$A$88&gt;35,BD60+BC61-BL60,IF(A61&lt;'Données projet'!$A$88,$BA$205^A61,IF(A61='Données projet'!$A$88,'Données projet'!$B$88,BD60+BC61-BL60)))</f>
        <v>591.6</v>
      </c>
      <c r="BE61" s="14">
        <f>BD61*VLOOKUP('Données projet'!$B$11,Paramètres!$A$1:$I$89,3,0)*VLOOKUP('Données projet'!$B$11,Paramètres!$A$1:$I$89,5,0)</f>
        <v>284.55959999999999</v>
      </c>
      <c r="BF61" s="14">
        <f t="shared" si="37"/>
        <v>67.929675697579739</v>
      </c>
      <c r="BG61" s="22">
        <f t="shared" si="7"/>
        <v>613.91882183995131</v>
      </c>
      <c r="BH61" s="62">
        <f t="shared" si="8"/>
        <v>874.03193243863973</v>
      </c>
      <c r="BI61" s="62">
        <f ca="1">AVERAGE(OFFSET($BH$3,0,0,'Données projet'!$E$11+1,1))-AVERAGE(OFFSET($H$3,0,0,'Données projet'!$E$11+1,1))</f>
        <v>405.94837980869011</v>
      </c>
      <c r="BJ61" s="62">
        <f t="shared" si="38"/>
        <v>511.37583835090879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39.521200889092704</v>
      </c>
      <c r="BQ61" s="23">
        <f>EXP(-LN(2)/25)*BQ60+(1-EXP(-LN(2)/25))/(LN(2)/25)*Calculateur!BL61*Calculateur!BN61*VLOOKUP('Données projet'!$B$11,Paramètres!$A$1:$I$89,3,0)*0.475*44/12</f>
        <v>23.210625959159238</v>
      </c>
      <c r="BR61" s="23">
        <f>EXP(-LN(2)/2)*BR60+(1-EXP(-LN(2)/2))/(LN(2)/2)*BL61*BO61*VLOOKUP('Données projet'!$B$11,Paramètres!$A$1:$I$89,3,0)*0.475*44/12</f>
        <v>4.8431753038331672E-2</v>
      </c>
      <c r="BS61" s="24">
        <f t="shared" si="9"/>
        <v>62.780258601290271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13</v>
      </c>
      <c r="BY61" s="13">
        <f>IF('Données projet'!$A$114&gt;35,BY60+BX61-CG60,IF(A61&lt;'Données projet'!$A$114,$BV$205^A61,IF(A61='Données projet'!$A$114,'Données projet'!$B$114,BY60+BX61-CG60)))</f>
        <v>310.00000000000006</v>
      </c>
      <c r="BZ61" s="14">
        <f>BY61*VLOOKUP('Données projet'!$B$12,Paramètres!$A$1:$I$89,3,0)*VLOOKUP('Données projet'!$B$12,Paramètres!$A$1:$I$89,5,0)</f>
        <v>265.98000000000008</v>
      </c>
      <c r="CA61" s="14">
        <f t="shared" si="39"/>
        <v>63.995380422211646</v>
      </c>
      <c r="CB61" s="22">
        <f t="shared" si="10"/>
        <v>574.7071209020188</v>
      </c>
      <c r="CC61" s="62">
        <f t="shared" si="11"/>
        <v>834.82023150070722</v>
      </c>
      <c r="CD61" s="62">
        <f ca="1">AVERAGE(OFFSET($CC$3,0,0,'Données projet'!$E$12+1,1))-AVERAGE(OFFSET($H$3,0,0,'Données projet'!$E$12+1,1))</f>
        <v>590.18141384962507</v>
      </c>
      <c r="CE61" s="62">
        <f t="shared" si="40"/>
        <v>331.25104323342907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15.7981296026826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15.7981296026826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4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6.125</v>
      </c>
      <c r="N62" s="14">
        <f>IF('Données projet'!$A$36&gt;35,N61+M62-V61,IF(A62&lt;'Données projet'!$A$36,$K$205^A62,IF(A62='Données projet'!$A$36,'Données projet'!$B$36,N61+M62-V61)))</f>
        <v>140.87500000000006</v>
      </c>
      <c r="O62" s="14">
        <f>N62*VLOOKUP('Données projet'!$B$9,Paramètres!$A$1:$I$89,3,0)*VLOOKUP('Données projet'!$B$9,Paramètres!$A$1:$I$89,5,0)</f>
        <v>127.46370000000005</v>
      </c>
      <c r="P62" s="14">
        <f t="shared" si="33"/>
        <v>33.409624522319149</v>
      </c>
      <c r="Q62" s="22">
        <f t="shared" si="53"/>
        <v>280.1877068763726</v>
      </c>
      <c r="R62" s="62">
        <f t="shared" si="0"/>
        <v>540.87711407021538</v>
      </c>
      <c r="S62" s="62">
        <f ca="1">AVERAGE(OFFSET($R$3,0,0,'Données projet'!$E$9+1,1))-AVERAGE(OFFSET($H$3,0,0,'Données projet'!$E$9+1,1))</f>
        <v>432.80275651765203</v>
      </c>
      <c r="T62" s="62">
        <f t="shared" si="34"/>
        <v>203.89279893419919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6.8</v>
      </c>
      <c r="AI62" s="14">
        <f>IF('Données projet'!$A$62&gt;35,AI61+AH62-AQ61,IF(A62&lt;'Données projet'!$A$62,$AF$205^A62,IF(A62='Données projet'!$A$62,'Données projet'!$B$62,AI61+AH62-AQ61)))</f>
        <v>235.20000000000024</v>
      </c>
      <c r="AJ62" s="14">
        <f>AI62*VLOOKUP('Données projet'!$B$10,Paramètres!$A$1:$I$89,3,0)*VLOOKUP('Données projet'!$B$10,Paramètres!$A$1:$I$89,5,0)</f>
        <v>205.47072000000026</v>
      </c>
      <c r="AK62" s="14">
        <f t="shared" si="35"/>
        <v>50.944571570352757</v>
      </c>
      <c r="AL62" s="22">
        <f t="shared" si="4"/>
        <v>446.58996615169809</v>
      </c>
      <c r="AM62" s="62">
        <f t="shared" si="5"/>
        <v>707.27937334554088</v>
      </c>
      <c r="AN62" s="62">
        <f ca="1">AVERAGE(OFFSET($AM$3,0,0,'Données projet'!$E$10+1,1))-AVERAGE(OFFSET($H$3,0,0,'Données projet'!$E$10+1,1))</f>
        <v>341.62910675299065</v>
      </c>
      <c r="AO62" s="62">
        <f t="shared" si="36"/>
        <v>407.15938341104709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55.569042336545948</v>
      </c>
      <c r="AW62" s="23">
        <f>EXP(-LN(2)/2)*AW61+(1-EXP(-LN(2)/2))/(LN(2)/2)*AQ62*AT62*VLOOKUP('Données projet'!$B$10,Paramètres!$A$1:$I$89,3,0)*0.475*44/12</f>
        <v>0.74627094618100176</v>
      </c>
      <c r="AX62" s="23">
        <f t="shared" si="6"/>
        <v>56.315313282726947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17.2</v>
      </c>
      <c r="BD62" s="13">
        <f>IF('Données projet'!$A$88&gt;35,BD61+BC62-BL61,IF(A62&lt;'Données projet'!$A$88,$BA$205^A62,IF(A62='Données projet'!$A$88,'Données projet'!$B$88,BD61+BC62-BL61)))</f>
        <v>608.80000000000007</v>
      </c>
      <c r="BE62" s="14">
        <f>BD62*VLOOKUP('Données projet'!$B$11,Paramètres!$A$1:$I$89,3,0)*VLOOKUP('Données projet'!$B$11,Paramètres!$A$1:$I$89,5,0)</f>
        <v>292.83280000000002</v>
      </c>
      <c r="BF62" s="14">
        <f t="shared" si="37"/>
        <v>69.67183508878297</v>
      </c>
      <c r="BG62" s="22">
        <f t="shared" si="7"/>
        <v>631.36223944629705</v>
      </c>
      <c r="BH62" s="62">
        <f t="shared" si="8"/>
        <v>892.05164664013978</v>
      </c>
      <c r="BI62" s="62">
        <f ca="1">AVERAGE(OFFSET($BH$3,0,0,'Données projet'!$E$11+1,1))-AVERAGE(OFFSET($H$3,0,0,'Données projet'!$E$11+1,1))</f>
        <v>405.94837980869011</v>
      </c>
      <c r="BJ62" s="62">
        <f t="shared" si="38"/>
        <v>511.37583835090879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38.746214245209913</v>
      </c>
      <c r="BQ62" s="23">
        <f>EXP(-LN(2)/25)*BQ61+(1-EXP(-LN(2)/25))/(LN(2)/25)*Calculateur!BL62*Calculateur!BN62*VLOOKUP('Données projet'!$B$11,Paramètres!$A$1:$I$89,3,0)*0.475*44/12</f>
        <v>22.575930171712258</v>
      </c>
      <c r="BR62" s="23">
        <f>EXP(-LN(2)/2)*BR61+(1-EXP(-LN(2)/2))/(LN(2)/2)*BL62*BO62*VLOOKUP('Données projet'!$B$11,Paramètres!$A$1:$I$89,3,0)*0.475*44/12</f>
        <v>3.4246420998156502E-2</v>
      </c>
      <c r="BS62" s="24">
        <f t="shared" si="9"/>
        <v>61.35639083792033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13</v>
      </c>
      <c r="BY62" s="13">
        <f>IF('Données projet'!$A$114&gt;35,BY61+BX62-CG61,IF(A62&lt;'Données projet'!$A$114,$BV$205^A62,IF(A62='Données projet'!$A$114,'Données projet'!$B$114,BY61+BX62-CG61)))</f>
        <v>323.00000000000006</v>
      </c>
      <c r="BZ62" s="14">
        <f>BY62*VLOOKUP('Données projet'!$B$12,Paramètres!$A$1:$I$89,3,0)*VLOOKUP('Données projet'!$B$12,Paramètres!$A$1:$I$89,5,0)</f>
        <v>277.13400000000007</v>
      </c>
      <c r="CA62" s="14">
        <f t="shared" si="39"/>
        <v>66.360978503745613</v>
      </c>
      <c r="CB62" s="22">
        <f t="shared" si="10"/>
        <v>598.25375422735704</v>
      </c>
      <c r="CC62" s="62">
        <f t="shared" si="11"/>
        <v>858.94316142119987</v>
      </c>
      <c r="CD62" s="62">
        <f ca="1">AVERAGE(OFFSET($CC$3,0,0,'Données projet'!$E$12+1,1))-AVERAGE(OFFSET($H$3,0,0,'Données projet'!$E$12+1,1))</f>
        <v>590.18141384962507</v>
      </c>
      <c r="CE62" s="62">
        <f t="shared" si="40"/>
        <v>331.25104323342907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15.488337917081585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15.488337917081585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4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147</v>
      </c>
      <c r="L63" s="13">
        <f>VLOOKUP(A63,'Données projet'!$A$35:$I$55,9,0)</f>
        <v>6.125</v>
      </c>
      <c r="M63" s="13">
        <f t="array" ref="M63">INDEX(L:L,MIN(IF(ISNUMBER(L63:L259),ROW(L63:L259),"")))</f>
        <v>6.125</v>
      </c>
      <c r="N63" s="14">
        <f>IF('Données projet'!$A$36&gt;35,N62+M63-V62,IF(A63&lt;'Données projet'!$A$36,$K$205^A63,IF(A63='Données projet'!$A$36,'Données projet'!$B$36,N62+M63-V62)))</f>
        <v>147.00000000000006</v>
      </c>
      <c r="O63" s="14">
        <f>N63*VLOOKUP('Données projet'!$B$9,Paramètres!$A$1:$I$89,3,0)*VLOOKUP('Données projet'!$B$9,Paramètres!$A$1:$I$89,5,0)</f>
        <v>133.00560000000004</v>
      </c>
      <c r="P63" s="14">
        <f t="shared" si="33"/>
        <v>34.689938673073549</v>
      </c>
      <c r="Q63" s="22">
        <f t="shared" si="53"/>
        <v>292.06972985560316</v>
      </c>
      <c r="R63" s="62">
        <f t="shared" si="0"/>
        <v>553.32543618708064</v>
      </c>
      <c r="S63" s="62">
        <f ca="1">AVERAGE(OFFSET($R$3,0,0,'Données projet'!$E$9+1,1))-AVERAGE(OFFSET($H$3,0,0,'Données projet'!$E$9+1,1))</f>
        <v>432.80275651765203</v>
      </c>
      <c r="T63" s="62">
        <f t="shared" si="34"/>
        <v>203.89279893419919</v>
      </c>
      <c r="U63" s="16">
        <f>IF(ISNA(VLOOKUP(A63,'Données projet'!$A$35:$I$55,3,0)),0,VLOOKUP(A63,'Données projet'!$A$35:$I$55,3,0))</f>
        <v>2</v>
      </c>
      <c r="V63" s="16">
        <f>IF(ISNA(VLOOKUP(A63,'Données projet'!$A$35:$I$55,4,0)),0,VLOOKUP(A63,'Données projet'!$A$35:$I$55,4,0))</f>
        <v>30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242</v>
      </c>
      <c r="AG63" s="13">
        <f>VLOOKUP(A63,'Données projet'!$A$61:$I$81,9,0)</f>
        <v>6.8</v>
      </c>
      <c r="AH63" s="13">
        <f t="array" ref="AH63">INDEX(AG:AG,MIN(IF(ISNUMBER(AG63:AG259),ROW(AG63:AG259),"")))</f>
        <v>6.8</v>
      </c>
      <c r="AI63" s="14">
        <f>IF('Données projet'!$A$62&gt;35,AI62+AH63-AQ62,IF(A63&lt;'Données projet'!$A$62,$AF$205^A63,IF(A63='Données projet'!$A$62,'Données projet'!$B$62,AI62+AH63-AQ62)))</f>
        <v>242.00000000000026</v>
      </c>
      <c r="AJ63" s="14">
        <f>AI63*VLOOKUP('Données projet'!$B$10,Paramètres!$A$1:$I$89,3,0)*VLOOKUP('Données projet'!$B$10,Paramètres!$A$1:$I$89,5,0)</f>
        <v>211.41120000000024</v>
      </c>
      <c r="AK63" s="14">
        <f t="shared" si="35"/>
        <v>52.243848094411206</v>
      </c>
      <c r="AL63" s="22">
        <f t="shared" si="4"/>
        <v>459.19920876443319</v>
      </c>
      <c r="AM63" s="62">
        <f t="shared" si="5"/>
        <v>720.45491509591068</v>
      </c>
      <c r="AN63" s="62">
        <f ca="1">AVERAGE(OFFSET($AM$3,0,0,'Données projet'!$E$10+1,1))-AVERAGE(OFFSET($H$3,0,0,'Données projet'!$E$10+1,1))</f>
        <v>341.62910675299065</v>
      </c>
      <c r="AO63" s="62">
        <f t="shared" si="36"/>
        <v>407.15938341104709</v>
      </c>
      <c r="AP63" s="16">
        <f>IF(ISNA(VLOOKUP(A63,'Données projet'!$A$61:$I$81,3,0)),0,VLOOKUP(A63,'Données projet'!$A$61:$I$81,3,0))</f>
        <v>10</v>
      </c>
      <c r="AQ63" s="16">
        <f>IF(ISNA(VLOOKUP(A63,'Données projet'!$A$61:$I$81,4,0)),0,VLOOKUP(A63,'Données projet'!$A$61:$I$81,4,0))</f>
        <v>26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0.38700000000000001</v>
      </c>
      <c r="AT63" s="17">
        <f>IF(ISNA(VLOOKUP(A63,'Données projet'!$A$61:$I$81,7,0)),0%,VLOOKUP(A63,'Données projet'!$A$61:$I$81,7,0))</f>
        <v>0.1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63.728508425399113</v>
      </c>
      <c r="AW63" s="23">
        <f>EXP(-LN(2)/2)*AW62+(1-EXP(-LN(2)/2))/(LN(2)/2)*AQ63*AT63*VLOOKUP('Données projet'!$B$10,Paramètres!$A$1:$I$89,3,0)*0.475*44/12</f>
        <v>2.6707825394051818</v>
      </c>
      <c r="AX63" s="23">
        <f t="shared" si="6"/>
        <v>66.399290964804294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626</v>
      </c>
      <c r="BB63" s="13">
        <f>VLOOKUP(A63,'Données projet'!$A$87:$I$107,9,0)</f>
        <v>17.2</v>
      </c>
      <c r="BC63" s="13">
        <f t="array" ref="BC63">INDEX(BB:BB,MIN(IF(ISNUMBER(BB63:BB259),ROW(BB63:BB259),"")))</f>
        <v>17.2</v>
      </c>
      <c r="BD63" s="13">
        <f>IF('Données projet'!$A$88&gt;35,BD62+BC63-BL62,IF(A63&lt;'Données projet'!$A$88,$BA$205^A63,IF(A63='Données projet'!$A$88,'Données projet'!$B$88,BD62+BC63-BL62)))</f>
        <v>626.00000000000011</v>
      </c>
      <c r="BE63" s="14">
        <f>BD63*VLOOKUP('Données projet'!$B$11,Paramètres!$A$1:$I$89,3,0)*VLOOKUP('Données projet'!$B$11,Paramètres!$A$1:$I$89,5,0)</f>
        <v>301.10600000000005</v>
      </c>
      <c r="BF63" s="14">
        <f t="shared" si="37"/>
        <v>71.408273876909448</v>
      </c>
      <c r="BG63" s="22">
        <f t="shared" si="7"/>
        <v>648.79569366895066</v>
      </c>
      <c r="BH63" s="62">
        <f t="shared" si="8"/>
        <v>910.0514000004282</v>
      </c>
      <c r="BI63" s="62">
        <f ca="1">AVERAGE(OFFSET($BH$3,0,0,'Données projet'!$E$11+1,1))-AVERAGE(OFFSET($H$3,0,0,'Données projet'!$E$11+1,1))</f>
        <v>405.94837980869011</v>
      </c>
      <c r="BJ63" s="62">
        <f t="shared" si="38"/>
        <v>511.37583835090879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61</v>
      </c>
      <c r="BM63" s="17">
        <f>IF(ISNA(VLOOKUP(A63,'Données projet'!$A$87:$I$107,5,0)),0%,VLOOKUP(A63,'Données projet'!$A$87:$I$107,5,0)*VLOOKUP('Données projet'!$B$11,Paramètres!$A$1:$I$89,7,0))</f>
        <v>0.27500000000000002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48.690174730657667</v>
      </c>
      <c r="BQ63" s="23">
        <f>EXP(-LN(2)/25)*BQ62+(1-EXP(-LN(2)/25))/(LN(2)/25)*Calculateur!BL63*Calculateur!BN63*VLOOKUP('Données projet'!$B$11,Paramètres!$A$1:$I$89,3,0)*0.475*44/12</f>
        <v>21.958590173950217</v>
      </c>
      <c r="BR63" s="23">
        <f>EXP(-LN(2)/2)*BR62+(1-EXP(-LN(2)/2))/(LN(2)/2)*BL63*BO63*VLOOKUP('Données projet'!$B$11,Paramètres!$A$1:$I$89,3,0)*0.475*44/12</f>
        <v>2.4215876519165836E-2</v>
      </c>
      <c r="BS63" s="24">
        <f t="shared" si="9"/>
        <v>70.672980781127052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336</v>
      </c>
      <c r="BW63" s="13">
        <f>VLOOKUP(A63,'Données projet'!$A$113:$I$133,9,0)</f>
        <v>13</v>
      </c>
      <c r="BX63" s="13">
        <f t="array" ref="BX63">INDEX(BW:BW,MIN(IF(ISNUMBER(BW63:BW259),ROW(BW63:BW259),"")))</f>
        <v>13</v>
      </c>
      <c r="BY63" s="13">
        <f>IF('Données projet'!$A$114&gt;35,BY62+BX63-CG62,IF(A63&lt;'Données projet'!$A$114,$BV$205^A63,IF(A63='Données projet'!$A$114,'Données projet'!$B$114,BY62+BX63-CG62)))</f>
        <v>336.00000000000006</v>
      </c>
      <c r="BZ63" s="14">
        <f>BY63*VLOOKUP('Données projet'!$B$12,Paramètres!$A$1:$I$89,3,0)*VLOOKUP('Données projet'!$B$12,Paramètres!$A$1:$I$89,5,0)</f>
        <v>288.28800000000007</v>
      </c>
      <c r="CA63" s="14">
        <f t="shared" si="39"/>
        <v>68.715516926722444</v>
      </c>
      <c r="CB63" s="22">
        <f t="shared" si="10"/>
        <v>621.78112531404167</v>
      </c>
      <c r="CC63" s="62">
        <f t="shared" si="11"/>
        <v>883.03683164551921</v>
      </c>
      <c r="CD63" s="62">
        <f ca="1">AVERAGE(OFFSET($CC$3,0,0,'Données projet'!$E$12+1,1))-AVERAGE(OFFSET($H$3,0,0,'Données projet'!$E$12+1,1))</f>
        <v>590.18141384962507</v>
      </c>
      <c r="CE63" s="62">
        <f t="shared" si="40"/>
        <v>331.25104323342907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35</v>
      </c>
      <c r="CH63" s="17">
        <f>IF(ISNA(VLOOKUP(A63,'Données projet'!$A$113:$I$133,5,0)),0%,VLOOKUP(A63,'Données projet'!$A$113:$I$133,5,0)*VLOOKUP('Données projet'!$B$12,Paramètres!$A$1:$I$89,7,0))</f>
        <v>0.26500000000000001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23.98189906428518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23.98189906428518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4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6.125</v>
      </c>
      <c r="N64" s="14">
        <f>IF('Données projet'!$A$36&gt;35,N63+M64-V63,IF(A64&lt;'Données projet'!$A$36,$K$205^A64,IF(A64='Données projet'!$A$36,'Données projet'!$B$36,N63+M64-V63)))</f>
        <v>123.12500000000006</v>
      </c>
      <c r="O64" s="14">
        <f>N64*VLOOKUP('Données projet'!$B$9,Paramètres!$A$1:$I$89,3,0)*VLOOKUP('Données projet'!$B$9,Paramètres!$A$1:$I$89,5,0)</f>
        <v>111.40350000000004</v>
      </c>
      <c r="P64" s="14">
        <f t="shared" si="33"/>
        <v>29.661415724803813</v>
      </c>
      <c r="Q64" s="22">
        <f t="shared" si="53"/>
        <v>245.68806155403334</v>
      </c>
      <c r="R64" s="62">
        <f t="shared" si="0"/>
        <v>507.50024299916265</v>
      </c>
      <c r="S64" s="62">
        <f ca="1">AVERAGE(OFFSET($R$3,0,0,'Données projet'!$E$9+1,1))-AVERAGE(OFFSET($H$3,0,0,'Données projet'!$E$9+1,1))</f>
        <v>432.80275651765203</v>
      </c>
      <c r="T64" s="62">
        <f t="shared" si="34"/>
        <v>203.89279893419919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6</v>
      </c>
      <c r="AI64" s="14">
        <f>IF('Données projet'!$A$62&gt;35,AI63+AH64-AQ63,IF(A64&lt;'Données projet'!$A$62,$AF$205^A64,IF(A64='Données projet'!$A$62,'Données projet'!$B$62,AI63+AH64-AQ63)))</f>
        <v>222.00000000000026</v>
      </c>
      <c r="AJ64" s="14">
        <f>AI64*VLOOKUP('Données projet'!$B$10,Paramètres!$A$1:$I$89,3,0)*VLOOKUP('Données projet'!$B$10,Paramètres!$A$1:$I$89,5,0)</f>
        <v>193.93920000000023</v>
      </c>
      <c r="AK64" s="14">
        <f t="shared" si="35"/>
        <v>48.409811198069427</v>
      </c>
      <c r="AL64" s="22">
        <f t="shared" si="4"/>
        <v>422.09119450330468</v>
      </c>
      <c r="AM64" s="62">
        <f t="shared" si="5"/>
        <v>683.90337594843402</v>
      </c>
      <c r="AN64" s="62">
        <f ca="1">AVERAGE(OFFSET($AM$3,0,0,'Données projet'!$E$10+1,1))-AVERAGE(OFFSET($H$3,0,0,'Données projet'!$E$10+1,1))</f>
        <v>341.62910675299065</v>
      </c>
      <c r="AO64" s="62">
        <f t="shared" si="36"/>
        <v>407.15938341104709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61.985849011169968</v>
      </c>
      <c r="AW64" s="23">
        <f>EXP(-LN(2)/2)*AW63+(1-EXP(-LN(2)/2))/(LN(2)/2)*AQ64*AT64*VLOOKUP('Données projet'!$B$10,Paramètres!$A$1:$I$89,3,0)*0.475*44/12</f>
        <v>1.8885284446880317</v>
      </c>
      <c r="AX64" s="23">
        <f t="shared" si="6"/>
        <v>63.874377455858003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16.2</v>
      </c>
      <c r="BD64" s="13">
        <f>IF('Données projet'!$A$88&gt;35,BD63+BC64-BL63,IF(A64&lt;'Données projet'!$A$88,$BA$205^A64,IF(A64='Données projet'!$A$88,'Données projet'!$B$88,BD63+BC64-BL63)))</f>
        <v>581.20000000000016</v>
      </c>
      <c r="BE64" s="14">
        <f>BD64*VLOOKUP('Données projet'!$B$11,Paramètres!$A$1:$I$89,3,0)*VLOOKUP('Données projet'!$B$11,Paramètres!$A$1:$I$89,5,0)</f>
        <v>279.55720000000008</v>
      </c>
      <c r="BF64" s="14">
        <f t="shared" si="37"/>
        <v>66.873423894352968</v>
      </c>
      <c r="BG64" s="22">
        <f t="shared" si="7"/>
        <v>603.36666994933148</v>
      </c>
      <c r="BH64" s="62">
        <f t="shared" si="8"/>
        <v>865.17885139446082</v>
      </c>
      <c r="BI64" s="62">
        <f ca="1">AVERAGE(OFFSET($BH$3,0,0,'Données projet'!$E$11+1,1))-AVERAGE(OFFSET($H$3,0,0,'Données projet'!$E$11+1,1))</f>
        <v>405.94837980869011</v>
      </c>
      <c r="BJ64" s="62">
        <f t="shared" si="38"/>
        <v>511.37583835090879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47.735390102263615</v>
      </c>
      <c r="BQ64" s="23">
        <f>EXP(-LN(2)/25)*BQ63+(1-EXP(-LN(2)/25))/(LN(2)/25)*Calculateur!BL64*Calculateur!BN64*VLOOKUP('Données projet'!$B$11,Paramètres!$A$1:$I$89,3,0)*0.475*44/12</f>
        <v>21.358131370891478</v>
      </c>
      <c r="BR64" s="23">
        <f>EXP(-LN(2)/2)*BR63+(1-EXP(-LN(2)/2))/(LN(2)/2)*BL64*BO64*VLOOKUP('Données projet'!$B$11,Paramètres!$A$1:$I$89,3,0)*0.475*44/12</f>
        <v>1.7123210499078251E-2</v>
      </c>
      <c r="BS64" s="24">
        <f t="shared" si="9"/>
        <v>69.110644683654172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12.4</v>
      </c>
      <c r="BY64" s="13">
        <f>IF('Données projet'!$A$114&gt;35,BY63+BX64-CG63,IF(A64&lt;'Données projet'!$A$114,$BV$205^A64,IF(A64='Données projet'!$A$114,'Données projet'!$B$114,BY63+BX64-CG63)))</f>
        <v>313.40000000000003</v>
      </c>
      <c r="BZ64" s="14">
        <f>BY64*VLOOKUP('Données projet'!$B$12,Paramètres!$A$1:$I$89,3,0)*VLOOKUP('Données projet'!$B$12,Paramètres!$A$1:$I$89,5,0)</f>
        <v>268.89720000000005</v>
      </c>
      <c r="CA64" s="14">
        <f t="shared" si="39"/>
        <v>64.615171575073688</v>
      </c>
      <c r="CB64" s="22">
        <f t="shared" si="10"/>
        <v>580.86738049325345</v>
      </c>
      <c r="CC64" s="62">
        <f t="shared" si="11"/>
        <v>842.67956193838279</v>
      </c>
      <c r="CD64" s="62">
        <f ca="1">AVERAGE(OFFSET($CC$3,0,0,'Données projet'!$E$12+1,1))-AVERAGE(OFFSET($H$3,0,0,'Données projet'!$E$12+1,1))</f>
        <v>590.18141384962507</v>
      </c>
      <c r="CE64" s="62">
        <f t="shared" si="40"/>
        <v>331.25104323342907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23.51162865114863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23.51162865114863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4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6.125</v>
      </c>
      <c r="N65" s="14">
        <f>IF('Données projet'!$A$36&gt;35,N64+M65-V64,IF(A65&lt;'Données projet'!$A$36,$K$205^A65,IF(A65='Données projet'!$A$36,'Données projet'!$B$36,N64+M65-V64)))</f>
        <v>129.25000000000006</v>
      </c>
      <c r="O65" s="14">
        <f>N65*VLOOKUP('Données projet'!$B$9,Paramètres!$A$1:$I$89,3,0)*VLOOKUP('Données projet'!$B$9,Paramètres!$A$1:$I$89,5,0)</f>
        <v>116.94540000000005</v>
      </c>
      <c r="P65" s="14">
        <f t="shared" si="33"/>
        <v>30.961498412176052</v>
      </c>
      <c r="Q65" s="22">
        <f t="shared" si="53"/>
        <v>257.60451473454003</v>
      </c>
      <c r="R65" s="62">
        <f t="shared" si="0"/>
        <v>519.9635176941913</v>
      </c>
      <c r="S65" s="62">
        <f ca="1">AVERAGE(OFFSET($R$3,0,0,'Données projet'!$E$9+1,1))-AVERAGE(OFFSET($H$3,0,0,'Données projet'!$E$9+1,1))</f>
        <v>432.80275651765203</v>
      </c>
      <c r="T65" s="62">
        <f t="shared" si="34"/>
        <v>203.89279893419919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6</v>
      </c>
      <c r="AI65" s="14">
        <f>IF('Données projet'!$A$62&gt;35,AI64+AH65-AQ64,IF(A65&lt;'Données projet'!$A$62,$AF$205^A65,IF(A65='Données projet'!$A$62,'Données projet'!$B$62,AI64+AH65-AQ64)))</f>
        <v>228.00000000000026</v>
      </c>
      <c r="AJ65" s="14">
        <f>AI65*VLOOKUP('Données projet'!$B$10,Paramètres!$A$1:$I$89,3,0)*VLOOKUP('Données projet'!$B$10,Paramètres!$A$1:$I$89,5,0)</f>
        <v>199.18080000000023</v>
      </c>
      <c r="AK65" s="14">
        <f t="shared" si="35"/>
        <v>49.564089376413726</v>
      </c>
      <c r="AL65" s="22">
        <f t="shared" si="4"/>
        <v>433.23068233058763</v>
      </c>
      <c r="AM65" s="62">
        <f t="shared" si="5"/>
        <v>695.589685290239</v>
      </c>
      <c r="AN65" s="62">
        <f ca="1">AVERAGE(OFFSET($AM$3,0,0,'Données projet'!$E$10+1,1))-AVERAGE(OFFSET($H$3,0,0,'Données projet'!$E$10+1,1))</f>
        <v>341.62910675299065</v>
      </c>
      <c r="AO65" s="62">
        <f t="shared" si="36"/>
        <v>407.15938341104709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60.290842710265395</v>
      </c>
      <c r="AW65" s="23">
        <f>EXP(-LN(2)/2)*AW64+(1-EXP(-LN(2)/2))/(LN(2)/2)*AQ65*AT65*VLOOKUP('Données projet'!$B$10,Paramètres!$A$1:$I$89,3,0)*0.475*44/12</f>
        <v>1.3353912697025911</v>
      </c>
      <c r="AX65" s="23">
        <f t="shared" si="6"/>
        <v>61.626233979967985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16.2</v>
      </c>
      <c r="BD65" s="13">
        <f>IF('Données projet'!$A$88&gt;35,BD64+BC65-BL64,IF(A65&lt;'Données projet'!$A$88,$BA$205^A65,IF(A65='Données projet'!$A$88,'Données projet'!$B$88,BD64+BC65-BL64)))</f>
        <v>597.4000000000002</v>
      </c>
      <c r="BE65" s="14">
        <f>BD65*VLOOKUP('Données projet'!$B$11,Paramètres!$A$1:$I$89,3,0)*VLOOKUP('Données projet'!$B$11,Paramètres!$A$1:$I$89,5,0)</f>
        <v>287.34940000000012</v>
      </c>
      <c r="BF65" s="14">
        <f t="shared" si="37"/>
        <v>68.517798614518497</v>
      </c>
      <c r="BG65" s="22">
        <f t="shared" si="7"/>
        <v>619.80203758695313</v>
      </c>
      <c r="BH65" s="62">
        <f t="shared" si="8"/>
        <v>882.16104054660445</v>
      </c>
      <c r="BI65" s="62">
        <f ca="1">AVERAGE(OFFSET($BH$3,0,0,'Données projet'!$E$11+1,1))-AVERAGE(OFFSET($H$3,0,0,'Données projet'!$E$11+1,1))</f>
        <v>405.94837980869011</v>
      </c>
      <c r="BJ65" s="62">
        <f t="shared" si="38"/>
        <v>511.37583835090879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46.799328218071253</v>
      </c>
      <c r="BQ65" s="23">
        <f>EXP(-LN(2)/25)*BQ64+(1-EXP(-LN(2)/25))/(LN(2)/25)*Calculateur!BL65*Calculateur!BN65*VLOOKUP('Données projet'!$B$11,Paramètres!$A$1:$I$89,3,0)*0.475*44/12</f>
        <v>20.774092145379136</v>
      </c>
      <c r="BR65" s="23">
        <f>EXP(-LN(2)/2)*BR64+(1-EXP(-LN(2)/2))/(LN(2)/2)*BL65*BO65*VLOOKUP('Données projet'!$B$11,Paramètres!$A$1:$I$89,3,0)*0.475*44/12</f>
        <v>1.2107938259582918E-2</v>
      </c>
      <c r="BS65" s="24">
        <f t="shared" si="9"/>
        <v>67.585528301709985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12.4</v>
      </c>
      <c r="BY65" s="13">
        <f>IF('Données projet'!$A$114&gt;35,BY64+BX65-CG64,IF(A65&lt;'Données projet'!$A$114,$BV$205^A65,IF(A65='Données projet'!$A$114,'Données projet'!$B$114,BY64+BX65-CG64)))</f>
        <v>325.8</v>
      </c>
      <c r="BZ65" s="14">
        <f>BY65*VLOOKUP('Données projet'!$B$12,Paramètres!$A$1:$I$89,3,0)*VLOOKUP('Données projet'!$B$12,Paramètres!$A$1:$I$89,5,0)</f>
        <v>279.53640000000007</v>
      </c>
      <c r="CA65" s="14">
        <f t="shared" si="39"/>
        <v>66.869027427528763</v>
      </c>
      <c r="CB65" s="22">
        <f t="shared" si="10"/>
        <v>603.322786102946</v>
      </c>
      <c r="CC65" s="62">
        <f t="shared" si="11"/>
        <v>865.68178906259732</v>
      </c>
      <c r="CD65" s="62">
        <f ca="1">AVERAGE(OFFSET($CC$3,0,0,'Données projet'!$E$12+1,1))-AVERAGE(OFFSET($H$3,0,0,'Données projet'!$E$12+1,1))</f>
        <v>590.18141384962507</v>
      </c>
      <c r="CE65" s="62">
        <f t="shared" si="40"/>
        <v>331.25104323342907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23.05057995397706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23.05057995397706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4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6.125</v>
      </c>
      <c r="N66" s="14">
        <f>IF('Données projet'!$A$36&gt;35,N65+M66-V65,IF(A66&lt;'Données projet'!$A$36,$K$205^A66,IF(A66='Données projet'!$A$36,'Données projet'!$B$36,N65+M66-V65)))</f>
        <v>135.37500000000006</v>
      </c>
      <c r="O66" s="14">
        <f>N66*VLOOKUP('Données projet'!$B$9,Paramètres!$A$1:$I$89,3,0)*VLOOKUP('Données projet'!$B$9,Paramètres!$A$1:$I$89,5,0)</f>
        <v>122.48730000000005</v>
      </c>
      <c r="P66" s="14">
        <f t="shared" si="33"/>
        <v>32.254426688079015</v>
      </c>
      <c r="Q66" s="22">
        <f t="shared" si="53"/>
        <v>269.50850731507103</v>
      </c>
      <c r="R66" s="62">
        <f t="shared" si="0"/>
        <v>532.40484565847714</v>
      </c>
      <c r="S66" s="62">
        <f ca="1">AVERAGE(OFFSET($R$3,0,0,'Données projet'!$E$9+1,1))-AVERAGE(OFFSET($H$3,0,0,'Données projet'!$E$9+1,1))</f>
        <v>432.80275651765203</v>
      </c>
      <c r="T66" s="62">
        <f t="shared" si="34"/>
        <v>203.89279893419919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6</v>
      </c>
      <c r="AI66" s="14">
        <f>IF('Données projet'!$A$62&gt;35,AI65+AH66-AQ65,IF(A66&lt;'Données projet'!$A$62,$AF$205^A66,IF(A66='Données projet'!$A$62,'Données projet'!$B$62,AI65+AH66-AQ65)))</f>
        <v>234.00000000000026</v>
      </c>
      <c r="AJ66" s="14">
        <f>AI66*VLOOKUP('Données projet'!$B$10,Paramètres!$A$1:$I$89,3,0)*VLOOKUP('Données projet'!$B$10,Paramètres!$A$1:$I$89,5,0)</f>
        <v>204.42240000000027</v>
      </c>
      <c r="AK66" s="14">
        <f t="shared" si="35"/>
        <v>50.714836797527354</v>
      </c>
      <c r="AL66" s="22">
        <f t="shared" si="4"/>
        <v>444.36402075569396</v>
      </c>
      <c r="AM66" s="62">
        <f t="shared" si="5"/>
        <v>707.26035909910001</v>
      </c>
      <c r="AN66" s="62">
        <f ca="1">AVERAGE(OFFSET($AM$3,0,0,'Données projet'!$E$10+1,1))-AVERAGE(OFFSET($H$3,0,0,'Données projet'!$E$10+1,1))</f>
        <v>341.62910675299065</v>
      </c>
      <c r="AO66" s="62">
        <f t="shared" si="36"/>
        <v>407.15938341104709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58.642186445795566</v>
      </c>
      <c r="AW66" s="23">
        <f>EXP(-LN(2)/2)*AW65+(1-EXP(-LN(2)/2))/(LN(2)/2)*AQ66*AT66*VLOOKUP('Données projet'!$B$10,Paramètres!$A$1:$I$89,3,0)*0.475*44/12</f>
        <v>0.94426422234401608</v>
      </c>
      <c r="AX66" s="23">
        <f t="shared" si="6"/>
        <v>59.586450668139584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16.2</v>
      </c>
      <c r="BD66" s="13">
        <f>IF('Données projet'!$A$88&gt;35,BD65+BC66-BL65,IF(A66&lt;'Données projet'!$A$88,$BA$205^A66,IF(A66='Données projet'!$A$88,'Données projet'!$B$88,BD65+BC66-BL65)))</f>
        <v>613.60000000000025</v>
      </c>
      <c r="BE66" s="14">
        <f>BD66*VLOOKUP('Données projet'!$B$11,Paramètres!$A$1:$I$89,3,0)*VLOOKUP('Données projet'!$B$11,Paramètres!$A$1:$I$89,5,0)</f>
        <v>295.14160000000015</v>
      </c>
      <c r="BF66" s="14">
        <f t="shared" si="37"/>
        <v>70.156990413822427</v>
      </c>
      <c r="BG66" s="22">
        <f t="shared" si="7"/>
        <v>636.22837830407423</v>
      </c>
      <c r="BH66" s="62">
        <f t="shared" si="8"/>
        <v>899.12471664748034</v>
      </c>
      <c r="BI66" s="62">
        <f ca="1">AVERAGE(OFFSET($BH$3,0,0,'Données projet'!$E$11+1,1))-AVERAGE(OFFSET($H$3,0,0,'Données projet'!$E$11+1,1))</f>
        <v>405.94837980869011</v>
      </c>
      <c r="BJ66" s="62">
        <f t="shared" si="38"/>
        <v>511.37583835090879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45.881621936486525</v>
      </c>
      <c r="BQ66" s="23">
        <f>EXP(-LN(2)/25)*BQ65+(1-EXP(-LN(2)/25))/(LN(2)/25)*Calculateur!BL66*Calculateur!BN66*VLOOKUP('Données projet'!$B$11,Paramètres!$A$1:$I$89,3,0)*0.475*44/12</f>
        <v>20.206023503201717</v>
      </c>
      <c r="BR66" s="23">
        <f>EXP(-LN(2)/2)*BR65+(1-EXP(-LN(2)/2))/(LN(2)/2)*BL66*BO66*VLOOKUP('Données projet'!$B$11,Paramètres!$A$1:$I$89,3,0)*0.475*44/12</f>
        <v>8.5616052495391254E-3</v>
      </c>
      <c r="BS66" s="24">
        <f t="shared" si="9"/>
        <v>66.096207044937785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12.4</v>
      </c>
      <c r="BY66" s="13">
        <f>IF('Données projet'!$A$114&gt;35,BY65+BX66-CG65,IF(A66&lt;'Données projet'!$A$114,$BV$205^A66,IF(A66='Données projet'!$A$114,'Données projet'!$B$114,BY65+BX66-CG65)))</f>
        <v>338.2</v>
      </c>
      <c r="BZ66" s="14">
        <f>BY66*VLOOKUP('Données projet'!$B$12,Paramètres!$A$1:$I$89,3,0)*VLOOKUP('Données projet'!$B$12,Paramètres!$A$1:$I$89,5,0)</f>
        <v>290.17560000000003</v>
      </c>
      <c r="CA66" s="14">
        <f t="shared" si="39"/>
        <v>69.112917785973508</v>
      </c>
      <c r="CB66" s="22">
        <f t="shared" si="10"/>
        <v>625.76083514390393</v>
      </c>
      <c r="CC66" s="62">
        <f t="shared" si="11"/>
        <v>888.65717348731005</v>
      </c>
      <c r="CD66" s="62">
        <f ca="1">AVERAGE(OFFSET($CC$3,0,0,'Données projet'!$E$12+1,1))-AVERAGE(OFFSET($H$3,0,0,'Données projet'!$E$12+1,1))</f>
        <v>590.18141384962507</v>
      </c>
      <c r="CE66" s="62">
        <f t="shared" si="40"/>
        <v>331.25104323342907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22.598572140545084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22.598572140545084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4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6.125</v>
      </c>
      <c r="N67" s="14">
        <f>IF('Données projet'!$A$36&gt;35,N66+M67-V66,IF(A67&lt;'Données projet'!$A$36,$K$205^A67,IF(A67='Données projet'!$A$36,'Données projet'!$B$36,N66+M67-V66)))</f>
        <v>141.50000000000006</v>
      </c>
      <c r="O67" s="14">
        <f>N67*VLOOKUP('Données projet'!$B$9,Paramètres!$A$1:$I$89,3,0)*VLOOKUP('Données projet'!$B$9,Paramètres!$A$1:$I$89,5,0)</f>
        <v>128.02920000000003</v>
      </c>
      <c r="P67" s="14">
        <f t="shared" si="33"/>
        <v>33.540561231732092</v>
      </c>
      <c r="Q67" s="22">
        <f t="shared" ref="Q67:Q98" si="54">(O67+P67)*0.475*44/12</f>
        <v>281.40066747860004</v>
      </c>
      <c r="R67" s="62">
        <f t="shared" ref="R67:R130" si="55">Q67+(I67+J67)*44/12</f>
        <v>544.8250196381548</v>
      </c>
      <c r="S67" s="62">
        <f ca="1">AVERAGE(OFFSET($R$3,0,0,'Données projet'!$E$9+1,1))-AVERAGE(OFFSET($H$3,0,0,'Données projet'!$E$9+1,1))</f>
        <v>432.80275651765203</v>
      </c>
      <c r="T67" s="62">
        <f t="shared" si="34"/>
        <v>203.89279893419919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6</v>
      </c>
      <c r="AI67" s="14">
        <f>IF('Données projet'!$A$62&gt;35,AI66+AH67-AQ66,IF(A67&lt;'Données projet'!$A$62,$AF$205^A67,IF(A67='Données projet'!$A$62,'Données projet'!$B$62,AI66+AH67-AQ66)))</f>
        <v>240.00000000000026</v>
      </c>
      <c r="AJ67" s="14">
        <f>AI67*VLOOKUP('Données projet'!$B$10,Paramètres!$A$1:$I$89,3,0)*VLOOKUP('Données projet'!$B$10,Paramètres!$A$1:$I$89,5,0)</f>
        <v>209.66400000000024</v>
      </c>
      <c r="AK67" s="14">
        <f t="shared" si="35"/>
        <v>51.862154403304579</v>
      </c>
      <c r="AL67" s="22">
        <f t="shared" si="4"/>
        <v>455.49138558575584</v>
      </c>
      <c r="AM67" s="62">
        <f t="shared" si="5"/>
        <v>718.91573774531059</v>
      </c>
      <c r="AN67" s="62">
        <f ca="1">AVERAGE(OFFSET($AM$3,0,0,'Données projet'!$E$10+1,1))-AVERAGE(OFFSET($H$3,0,0,'Données projet'!$E$10+1,1))</f>
        <v>341.62910675299065</v>
      </c>
      <c r="AO67" s="62">
        <f t="shared" si="36"/>
        <v>407.15938341104709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57.03861277357673</v>
      </c>
      <c r="AW67" s="23">
        <f>EXP(-LN(2)/2)*AW66+(1-EXP(-LN(2)/2))/(LN(2)/2)*AQ67*AT67*VLOOKUP('Données projet'!$B$10,Paramètres!$A$1:$I$89,3,0)*0.475*44/12</f>
        <v>0.66769563485129568</v>
      </c>
      <c r="AX67" s="23">
        <f t="shared" si="6"/>
        <v>57.706308408428029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16.2</v>
      </c>
      <c r="BD67" s="13">
        <f>IF('Données projet'!$A$88&gt;35,BD66+BC67-BL66,IF(A67&lt;'Données projet'!$A$88,$BA$205^A67,IF(A67='Données projet'!$A$88,'Données projet'!$B$88,BD66+BC67-BL66)))</f>
        <v>629.8000000000003</v>
      </c>
      <c r="BE67" s="14">
        <f>BD67*VLOOKUP('Données projet'!$B$11,Paramètres!$A$1:$I$89,3,0)*VLOOKUP('Données projet'!$B$11,Paramètres!$A$1:$I$89,5,0)</f>
        <v>302.93380000000013</v>
      </c>
      <c r="BF67" s="14">
        <f t="shared" si="37"/>
        <v>71.791151858722898</v>
      </c>
      <c r="BG67" s="22">
        <f t="shared" si="7"/>
        <v>652.64595782060917</v>
      </c>
      <c r="BH67" s="62">
        <f t="shared" si="8"/>
        <v>916.07030998016398</v>
      </c>
      <c r="BI67" s="62">
        <f ca="1">AVERAGE(OFFSET($BH$3,0,0,'Données projet'!$E$11+1,1))-AVERAGE(OFFSET($H$3,0,0,'Données projet'!$E$11+1,1))</f>
        <v>405.94837980869011</v>
      </c>
      <c r="BJ67" s="62">
        <f t="shared" si="38"/>
        <v>511.37583835090879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44.981911315338117</v>
      </c>
      <c r="BQ67" s="23">
        <f>EXP(-LN(2)/25)*BQ66+(1-EXP(-LN(2)/25))/(LN(2)/25)*Calculateur!BL67*Calculateur!BN67*VLOOKUP('Données projet'!$B$11,Paramètres!$A$1:$I$89,3,0)*0.475*44/12</f>
        <v>19.65348872791807</v>
      </c>
      <c r="BR67" s="23">
        <f>EXP(-LN(2)/2)*BR66+(1-EXP(-LN(2)/2))/(LN(2)/2)*BL67*BO67*VLOOKUP('Données projet'!$B$11,Paramètres!$A$1:$I$89,3,0)*0.475*44/12</f>
        <v>6.053969129791459E-3</v>
      </c>
      <c r="BS67" s="24">
        <f t="shared" si="9"/>
        <v>64.641454012385978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12.4</v>
      </c>
      <c r="BY67" s="13">
        <f>IF('Données projet'!$A$114&gt;35,BY66+BX67-CG66,IF(A67&lt;'Données projet'!$A$114,$BV$205^A67,IF(A67='Données projet'!$A$114,'Données projet'!$B$114,BY66+BX67-CG66)))</f>
        <v>350.59999999999997</v>
      </c>
      <c r="BZ67" s="14">
        <f>BY67*VLOOKUP('Données projet'!$B$12,Paramètres!$A$1:$I$89,3,0)*VLOOKUP('Données projet'!$B$12,Paramètres!$A$1:$I$89,5,0)</f>
        <v>300.81479999999999</v>
      </c>
      <c r="CA67" s="14">
        <f t="shared" si="39"/>
        <v>71.347249879076941</v>
      </c>
      <c r="CB67" s="22">
        <f t="shared" si="10"/>
        <v>648.18223687272553</v>
      </c>
      <c r="CC67" s="62">
        <f t="shared" si="11"/>
        <v>911.60658903228023</v>
      </c>
      <c r="CD67" s="62">
        <f ca="1">AVERAGE(OFFSET($CC$3,0,0,'Données projet'!$E$12+1,1))-AVERAGE(OFFSET($H$3,0,0,'Données projet'!$E$12+1,1))</f>
        <v>590.18141384962507</v>
      </c>
      <c r="CE67" s="62">
        <f t="shared" si="40"/>
        <v>331.25104323342907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22.155427924636967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22.155427924636967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4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6.125</v>
      </c>
      <c r="N68" s="14">
        <f>IF('Données projet'!$A$36&gt;35,N67+M68-V67,IF(A68&lt;'Données projet'!$A$36,$K$205^A68,IF(A68='Données projet'!$A$36,'Données projet'!$B$36,N67+M68-V67)))</f>
        <v>147.62500000000006</v>
      </c>
      <c r="O68" s="14">
        <f>N68*VLOOKUP('Données projet'!$B$9,Paramètres!$A$1:$I$89,3,0)*VLOOKUP('Données projet'!$B$9,Paramètres!$A$1:$I$89,5,0)</f>
        <v>133.57110000000006</v>
      </c>
      <c r="P68" s="14">
        <f t="shared" si="33"/>
        <v>34.820229731627094</v>
      </c>
      <c r="Q68" s="22">
        <f t="shared" si="54"/>
        <v>293.28156594925059</v>
      </c>
      <c r="R68" s="62">
        <f t="shared" si="55"/>
        <v>557.22477206570579</v>
      </c>
      <c r="S68" s="62">
        <f ca="1">AVERAGE(OFFSET($R$3,0,0,'Données projet'!$E$9+1,1))-AVERAGE(OFFSET($H$3,0,0,'Données projet'!$E$9+1,1))</f>
        <v>432.80275651765203</v>
      </c>
      <c r="T68" s="62">
        <f t="shared" si="34"/>
        <v>203.89279893419919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246</v>
      </c>
      <c r="AG68" s="13">
        <f>VLOOKUP(A68,'Données projet'!$A$61:$I$81,9,0)</f>
        <v>6</v>
      </c>
      <c r="AH68" s="13">
        <f t="array" ref="AH68">INDEX(AG:AG,MIN(IF(ISNUMBER(AG68:AG264),ROW(AG68:AG264),"")))</f>
        <v>6</v>
      </c>
      <c r="AI68" s="14">
        <f>IF('Données projet'!$A$62&gt;35,AI67+AH68-AQ67,IF(A68&lt;'Données projet'!$A$62,$AF$205^A68,IF(A68='Données projet'!$A$62,'Données projet'!$B$62,AI67+AH68-AQ67)))</f>
        <v>246.00000000000026</v>
      </c>
      <c r="AJ68" s="14">
        <f>AI68*VLOOKUP('Données projet'!$B$10,Paramètres!$A$1:$I$89,3,0)*VLOOKUP('Données projet'!$B$10,Paramètres!$A$1:$I$89,5,0)</f>
        <v>214.90560000000025</v>
      </c>
      <c r="AK68" s="14">
        <f t="shared" si="35"/>
        <v>53.006137800892375</v>
      </c>
      <c r="AL68" s="22">
        <f t="shared" ref="AL68:AL131" si="58">(AJ68+AK68)*0.475*44/12</f>
        <v>466.61294333655468</v>
      </c>
      <c r="AM68" s="62">
        <f t="shared" ref="AM68:AM131" si="59">AL68+(AD68+AE68)*44/12</f>
        <v>730.55614945300988</v>
      </c>
      <c r="AN68" s="62">
        <f ca="1">AVERAGE(OFFSET($AM$3,0,0,'Données projet'!$E$10+1,1))-AVERAGE(OFFSET($H$3,0,0,'Données projet'!$E$10+1,1))</f>
        <v>341.62910675299065</v>
      </c>
      <c r="AO68" s="62">
        <f t="shared" si="36"/>
        <v>407.15938341104709</v>
      </c>
      <c r="AP68" s="16">
        <f>IF(ISNA(VLOOKUP(A68,'Données projet'!$A$61:$I$81,3,0)),0,VLOOKUP(A68,'Données projet'!$A$61:$I$81,3,0))</f>
        <v>11</v>
      </c>
      <c r="AQ68" s="16">
        <f>IF(ISNA(VLOOKUP(A68,'Données projet'!$A$61:$I$81,4,0)),0,VLOOKUP(A68,'Données projet'!$A$61:$I$81,4,0))</f>
        <v>23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0.38700000000000001</v>
      </c>
      <c r="AT68" s="17">
        <f>IF(ISNA(VLOOKUP(A68,'Données projet'!$A$61:$I$81,7,0)),0%,VLOOKUP(A68,'Données projet'!$A$61:$I$81,7,0))</f>
        <v>0.1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64.041085173033139</v>
      </c>
      <c r="AW68" s="23">
        <f>EXP(-LN(2)/2)*AW67+(1-EXP(-LN(2)/2))/(LN(2)/2)*AQ68*AT68*VLOOKUP('Données projet'!$B$10,Paramètres!$A$1:$I$89,3,0)*0.475*44/12</f>
        <v>2.367941870150323</v>
      </c>
      <c r="AX68" s="23">
        <f t="shared" ref="AX68:AX131" si="60">SUM(AU68:AW68)</f>
        <v>66.409027043183457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646</v>
      </c>
      <c r="BB68" s="13">
        <f>VLOOKUP(A68,'Données projet'!$A$87:$I$107,9,0)</f>
        <v>16.2</v>
      </c>
      <c r="BC68" s="13">
        <f t="array" ref="BC68">INDEX(BB:BB,MIN(IF(ISNUMBER(BB68:BB264),ROW(BB68:BB264),"")))</f>
        <v>16.2</v>
      </c>
      <c r="BD68" s="13">
        <f>IF('Données projet'!$A$88&gt;35,BD67+BC68-BL67,IF(A68&lt;'Données projet'!$A$88,$BA$205^A68,IF(A68='Données projet'!$A$88,'Données projet'!$B$88,BD67+BC68-BL67)))</f>
        <v>646.00000000000034</v>
      </c>
      <c r="BE68" s="14">
        <f>BD68*VLOOKUP('Données projet'!$B$11,Paramètres!$A$1:$I$89,3,0)*VLOOKUP('Données projet'!$B$11,Paramètres!$A$1:$I$89,5,0)</f>
        <v>310.72600000000017</v>
      </c>
      <c r="BF68" s="14">
        <f t="shared" si="37"/>
        <v>73.420427219774837</v>
      </c>
      <c r="BG68" s="22">
        <f t="shared" ref="BG68:BG131" si="61">(BE68+BF68)*0.475*44/12</f>
        <v>669.05502740777467</v>
      </c>
      <c r="BH68" s="62">
        <f t="shared" ref="BH68:BH131" si="62">BG68+(AY68+AZ68)*44/12</f>
        <v>932.99823352422982</v>
      </c>
      <c r="BI68" s="62">
        <f ca="1">AVERAGE(OFFSET($BH$3,0,0,'Données projet'!$E$11+1,1))-AVERAGE(OFFSET($H$3,0,0,'Données projet'!$E$11+1,1))</f>
        <v>405.94837980869011</v>
      </c>
      <c r="BJ68" s="62">
        <f t="shared" si="38"/>
        <v>511.37583835090879</v>
      </c>
      <c r="BK68" s="16" t="str">
        <f>IF(ISNA(VLOOKUP(A68,'Données projet'!$A$87:$I$107,3,0)),0,VLOOKUP(A68,'Données projet'!$A$87:$I$107,3,0))</f>
        <v>CR</v>
      </c>
      <c r="BL68" s="16">
        <f>IF(ISNA(VLOOKUP(A68,'Données projet'!$A$87:$I$107,4,0)),0,VLOOKUP(A68,'Données projet'!$A$87:$I$107,4,0))</f>
        <v>646</v>
      </c>
      <c r="BM68" s="17">
        <f>IF(ISNA(VLOOKUP(A68,'Données projet'!$A$87:$I$107,5,0)),0%,VLOOKUP(A68,'Données projet'!$A$87:$I$107,5,0)*VLOOKUP('Données projet'!$B$11,Paramètres!$A$1:$I$89,7,0))</f>
        <v>0.55000000000000004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270.80878031019972</v>
      </c>
      <c r="BQ68" s="23">
        <f>EXP(-LN(2)/25)*BQ67+(1-EXP(-LN(2)/25))/(LN(2)/25)*Calculateur!BL68*Calculateur!BN68*VLOOKUP('Données projet'!$B$11,Paramètres!$A$1:$I$89,3,0)*0.475*44/12</f>
        <v>19.116063045121098</v>
      </c>
      <c r="BR68" s="23">
        <f>EXP(-LN(2)/2)*BR67+(1-EXP(-LN(2)/2))/(LN(2)/2)*BL68*BO68*VLOOKUP('Données projet'!$B$11,Paramètres!$A$1:$I$89,3,0)*0.475*44/12</f>
        <v>4.2808026247695627E-3</v>
      </c>
      <c r="BS68" s="24">
        <f t="shared" ref="BS68:BS131" si="63">SUM(BP68:BR68)</f>
        <v>289.92912415794558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363</v>
      </c>
      <c r="BW68" s="13">
        <f>VLOOKUP(A68,'Données projet'!$A$113:$I$133,9,0)</f>
        <v>12.4</v>
      </c>
      <c r="BX68" s="13">
        <f t="array" ref="BX68">INDEX(BW:BW,MIN(IF(ISNUMBER(BW68:BW264),ROW(BW68:BW264),"")))</f>
        <v>12.4</v>
      </c>
      <c r="BY68" s="13">
        <f>IF('Données projet'!$A$114&gt;35,BY67+BX68-CG67,IF(A68&lt;'Données projet'!$A$114,$BV$205^A68,IF(A68='Données projet'!$A$114,'Données projet'!$B$114,BY67+BX68-CG67)))</f>
        <v>362.99999999999994</v>
      </c>
      <c r="BZ68" s="14">
        <f>BY68*VLOOKUP('Données projet'!$B$12,Paramètres!$A$1:$I$89,3,0)*VLOOKUP('Données projet'!$B$12,Paramètres!$A$1:$I$89,5,0)</f>
        <v>311.45399999999995</v>
      </c>
      <c r="CA68" s="14">
        <f t="shared" si="39"/>
        <v>73.572400496659426</v>
      </c>
      <c r="CB68" s="22">
        <f t="shared" ref="CB68:CB131" si="64">(BZ68+CA68)*0.475*44/12</f>
        <v>670.5876475316818</v>
      </c>
      <c r="CC68" s="62">
        <f t="shared" ref="CC68:CC131" si="65">CB68+(BT68+BU68)*44/12</f>
        <v>934.53085364813705</v>
      </c>
      <c r="CD68" s="62">
        <f ca="1">AVERAGE(OFFSET($CC$3,0,0,'Données projet'!$E$12+1,1))-AVERAGE(OFFSET($H$3,0,0,'Données projet'!$E$12+1,1))</f>
        <v>590.18141384962507</v>
      </c>
      <c r="CE68" s="62">
        <f t="shared" si="40"/>
        <v>331.25104323342907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35</v>
      </c>
      <c r="CH68" s="17">
        <f>IF(ISNA(VLOOKUP(A68,'Données projet'!$A$113:$I$133,5,0)),0%,VLOOKUP(A68,'Données projet'!$A$113:$I$133,5,0)*VLOOKUP('Données projet'!$B$12,Paramètres!$A$1:$I$89,7,0))</f>
        <v>0.26500000000000001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30.518251503315767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30.518251503315767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4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6.125</v>
      </c>
      <c r="N69" s="14">
        <f>IF('Données projet'!$A$36&gt;35,N68+M69-V68,IF(A69&lt;'Données projet'!$A$36,$K$205^A69,IF(A69='Données projet'!$A$36,'Données projet'!$B$36,N68+M69-V68)))</f>
        <v>153.75000000000006</v>
      </c>
      <c r="O69" s="14">
        <f>N69*VLOOKUP('Données projet'!$B$9,Paramètres!$A$1:$I$89,3,0)*VLOOKUP('Données projet'!$B$9,Paramètres!$A$1:$I$89,5,0)</f>
        <v>139.11300000000006</v>
      </c>
      <c r="P69" s="14">
        <f t="shared" ref="P69:P132" si="87">EXP(-1.0587+0.8836*LN(O69)+0.284)</f>
        <v>36.093731146019131</v>
      </c>
      <c r="Q69" s="22">
        <f t="shared" si="54"/>
        <v>305.15172341265009</v>
      </c>
      <c r="R69" s="62">
        <f t="shared" si="55"/>
        <v>569.60478252983717</v>
      </c>
      <c r="S69" s="62">
        <f ca="1">AVERAGE(OFFSET($R$3,0,0,'Données projet'!$E$9+1,1))-AVERAGE(OFFSET($H$3,0,0,'Données projet'!$E$9+1,1))</f>
        <v>432.80275651765203</v>
      </c>
      <c r="T69" s="62">
        <f t="shared" ref="T69:T132" si="88">$T$3</f>
        <v>203.89279893419919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228.20000000000024</v>
      </c>
      <c r="AJ69" s="14">
        <f>AI69*VLOOKUP('Données projet'!$B$10,Paramètres!$A$1:$I$89,3,0)*VLOOKUP('Données projet'!$B$10,Paramètres!$A$1:$I$89,5,0)</f>
        <v>199.35552000000024</v>
      </c>
      <c r="AK69" s="14">
        <f t="shared" ref="AK69:AK132" si="89">EXP(-1.0587+0.8836*LN(AJ69)+0.284)</f>
        <v>49.602503932783272</v>
      </c>
      <c r="AL69" s="22">
        <f t="shared" si="58"/>
        <v>433.60189168293124</v>
      </c>
      <c r="AM69" s="62">
        <f t="shared" si="59"/>
        <v>698.05495080011838</v>
      </c>
      <c r="AN69" s="62">
        <f ca="1">AVERAGE(OFFSET($AM$3,0,0,'Données projet'!$E$10+1,1))-AVERAGE(OFFSET($H$3,0,0,'Données projet'!$E$10+1,1))</f>
        <v>341.62910675299065</v>
      </c>
      <c r="AO69" s="62">
        <f t="shared" ref="AO69:AO132" si="90">$AO$3</f>
        <v>407.15938341104709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62.289878331202246</v>
      </c>
      <c r="AW69" s="23">
        <f>EXP(-LN(2)/2)*AW68+(1-EXP(-LN(2)/2))/(LN(2)/2)*AQ69*AT69*VLOOKUP('Données projet'!$B$10,Paramètres!$A$1:$I$89,3,0)*0.475*44/12</f>
        <v>1.6743877538388487</v>
      </c>
      <c r="AX69" s="23">
        <f t="shared" si="60"/>
        <v>63.964266085041096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3.4106051316484809E-13</v>
      </c>
      <c r="BE69" s="14">
        <f>BD69*VLOOKUP('Données projet'!$B$11,Paramètres!$A$1:$I$89,3,0)*VLOOKUP('Données projet'!$B$11,Paramètres!$A$1:$I$89,5,0)</f>
        <v>1.6405010683229191E-13</v>
      </c>
      <c r="BF69" s="14">
        <f t="shared" ref="BF69:BF132" si="91">EXP(-1.0587+0.8836*LN(BE69)+0.284)</f>
        <v>2.3265121008813928E-12</v>
      </c>
      <c r="BG69" s="22">
        <f t="shared" si="61"/>
        <v>4.337729178434667E-12</v>
      </c>
      <c r="BH69" s="62">
        <f t="shared" si="62"/>
        <v>264.4530591171914</v>
      </c>
      <c r="BI69" s="62">
        <f ca="1">AVERAGE(OFFSET($BH$3,0,0,'Données projet'!$E$11+1,1))-AVERAGE(OFFSET($H$3,0,0,'Données projet'!$E$11+1,1))</f>
        <v>405.94837980869011</v>
      </c>
      <c r="BJ69" s="62">
        <f t="shared" ref="BJ69:BJ132" si="92">$BJ$3</f>
        <v>511.37583835090879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265.49838530536283</v>
      </c>
      <c r="BQ69" s="23">
        <f>EXP(-LN(2)/25)*BQ68+(1-EXP(-LN(2)/25))/(LN(2)/25)*Calculateur!BL69*Calculateur!BN69*VLOOKUP('Données projet'!$B$11,Paramètres!$A$1:$I$89,3,0)*0.475*44/12</f>
        <v>18.593333295882196</v>
      </c>
      <c r="BR69" s="23">
        <f>EXP(-LN(2)/2)*BR68+(1-EXP(-LN(2)/2))/(LN(2)/2)*BL69*BO69*VLOOKUP('Données projet'!$B$11,Paramètres!$A$1:$I$89,3,0)*0.475*44/12</f>
        <v>3.0269845648957295E-3</v>
      </c>
      <c r="BS69" s="24">
        <f t="shared" si="63"/>
        <v>284.0947455858099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11.8</v>
      </c>
      <c r="BY69" s="13">
        <f>IF('Données projet'!$A$114&gt;35,BY68+BX69-CG68,IF(A69&lt;'Données projet'!$A$114,$BV$205^A69,IF(A69='Données projet'!$A$114,'Données projet'!$B$114,BY68+BX69-CG68)))</f>
        <v>339.79999999999995</v>
      </c>
      <c r="BZ69" s="14">
        <f>BY69*VLOOKUP('Données projet'!$B$12,Paramètres!$A$1:$I$89,3,0)*VLOOKUP('Données projet'!$B$12,Paramètres!$A$1:$I$89,5,0)</f>
        <v>291.54840000000002</v>
      </c>
      <c r="CA69" s="14">
        <f t="shared" ref="CA69:CA132" si="93">EXP(-1.0587+0.8836*LN(BZ69)+0.284)</f>
        <v>69.40174753959208</v>
      </c>
      <c r="CB69" s="22">
        <f t="shared" si="64"/>
        <v>628.65484029812285</v>
      </c>
      <c r="CC69" s="62">
        <f t="shared" si="65"/>
        <v>893.10789941530993</v>
      </c>
      <c r="CD69" s="62">
        <f ca="1">AVERAGE(OFFSET($CC$3,0,0,'Données projet'!$E$12+1,1))-AVERAGE(OFFSET($H$3,0,0,'Données projet'!$E$12+1,1))</f>
        <v>590.18141384962507</v>
      </c>
      <c r="CE69" s="62">
        <f t="shared" ref="CE69:CE132" si="94">$CE$3</f>
        <v>331.25104323342907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29.919807205631152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29.919807205631152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4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6.125</v>
      </c>
      <c r="N70" s="14">
        <f>IF('Données projet'!$A$36&gt;35,N69+M70-V69,IF(A70&lt;'Données projet'!$A$36,$K$205^A70,IF(A70='Données projet'!$A$36,'Données projet'!$B$36,N69+M70-V69)))</f>
        <v>159.87500000000006</v>
      </c>
      <c r="O70" s="14">
        <f>N70*VLOOKUP('Données projet'!$B$9,Paramètres!$A$1:$I$89,3,0)*VLOOKUP('Données projet'!$B$9,Paramètres!$A$1:$I$89,5,0)</f>
        <v>144.65490000000003</v>
      </c>
      <c r="P70" s="14">
        <f t="shared" si="87"/>
        <v>37.361339265401291</v>
      </c>
      <c r="Q70" s="22">
        <f t="shared" si="54"/>
        <v>317.01161672057395</v>
      </c>
      <c r="R70" s="62">
        <f t="shared" si="55"/>
        <v>581.96568402879086</v>
      </c>
      <c r="S70" s="62">
        <f ca="1">AVERAGE(OFFSET($R$3,0,0,'Données projet'!$E$9+1,1))-AVERAGE(OFFSET($H$3,0,0,'Données projet'!$E$9+1,1))</f>
        <v>432.80275651765203</v>
      </c>
      <c r="T70" s="62">
        <f t="shared" si="88"/>
        <v>203.89279893419919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233.40000000000023</v>
      </c>
      <c r="AJ70" s="14">
        <f>AI70*VLOOKUP('Données projet'!$B$10,Paramètres!$A$1:$I$89,3,0)*VLOOKUP('Données projet'!$B$10,Paramètres!$A$1:$I$89,5,0)</f>
        <v>203.89824000000024</v>
      </c>
      <c r="AK70" s="14">
        <f t="shared" si="89"/>
        <v>50.599918019430255</v>
      </c>
      <c r="AL70" s="22">
        <f t="shared" si="58"/>
        <v>443.25095855050807</v>
      </c>
      <c r="AM70" s="62">
        <f t="shared" si="59"/>
        <v>708.20502585872498</v>
      </c>
      <c r="AN70" s="62">
        <f ca="1">AVERAGE(OFFSET($AM$3,0,0,'Données projet'!$E$10+1,1))-AVERAGE(OFFSET($H$3,0,0,'Données projet'!$E$10+1,1))</f>
        <v>341.62910675299065</v>
      </c>
      <c r="AO70" s="62">
        <f t="shared" si="90"/>
        <v>407.15938341104709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60.586558332553182</v>
      </c>
      <c r="AW70" s="23">
        <f>EXP(-LN(2)/2)*AW69+(1-EXP(-LN(2)/2))/(LN(2)/2)*AQ70*AT70*VLOOKUP('Données projet'!$B$10,Paramètres!$A$1:$I$89,3,0)*0.475*44/12</f>
        <v>1.1839709350751617</v>
      </c>
      <c r="AX70" s="23">
        <f t="shared" si="60"/>
        <v>61.770529267628341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3.4106051316484809E-13</v>
      </c>
      <c r="BE70" s="14">
        <f>BD70*VLOOKUP('Données projet'!$B$11,Paramètres!$A$1:$I$89,3,0)*VLOOKUP('Données projet'!$B$11,Paramètres!$A$1:$I$89,5,0)</f>
        <v>1.6405010683229191E-13</v>
      </c>
      <c r="BF70" s="14">
        <f t="shared" si="91"/>
        <v>2.3265121008813928E-12</v>
      </c>
      <c r="BG70" s="22">
        <f t="shared" si="61"/>
        <v>4.337729178434667E-12</v>
      </c>
      <c r="BH70" s="62">
        <f t="shared" si="62"/>
        <v>264.95406730822123</v>
      </c>
      <c r="BI70" s="62">
        <f ca="1">AVERAGE(OFFSET($BH$3,0,0,'Données projet'!$E$11+1,1))-AVERAGE(OFFSET($H$3,0,0,'Données projet'!$E$11+1,1))</f>
        <v>405.94837980869011</v>
      </c>
      <c r="BJ70" s="62">
        <f t="shared" si="92"/>
        <v>511.37583835090879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260.29212390754964</v>
      </c>
      <c r="BQ70" s="23">
        <f>EXP(-LN(2)/25)*BQ69+(1-EXP(-LN(2)/25))/(LN(2)/25)*Calculateur!BL70*Calculateur!BN70*VLOOKUP('Données projet'!$B$11,Paramètres!$A$1:$I$89,3,0)*0.475*44/12</f>
        <v>18.084897619125396</v>
      </c>
      <c r="BR70" s="23">
        <f>EXP(-LN(2)/2)*BR69+(1-EXP(-LN(2)/2))/(LN(2)/2)*BL70*BO70*VLOOKUP('Données projet'!$B$11,Paramètres!$A$1:$I$89,3,0)*0.475*44/12</f>
        <v>2.1404013123847813E-3</v>
      </c>
      <c r="BS70" s="24">
        <f t="shared" si="63"/>
        <v>278.37916192798741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11.8</v>
      </c>
      <c r="BY70" s="13">
        <f>IF('Données projet'!$A$114&gt;35,BY69+BX70-CG69,IF(A70&lt;'Données projet'!$A$114,$BV$205^A70,IF(A70='Données projet'!$A$114,'Données projet'!$B$114,BY69+BX70-CG69)))</f>
        <v>351.59999999999997</v>
      </c>
      <c r="BZ70" s="14">
        <f>BY70*VLOOKUP('Données projet'!$B$12,Paramètres!$A$1:$I$89,3,0)*VLOOKUP('Données projet'!$B$12,Paramètres!$A$1:$I$89,5,0)</f>
        <v>301.6728</v>
      </c>
      <c r="CA70" s="14">
        <f t="shared" si="93"/>
        <v>71.527033039285058</v>
      </c>
      <c r="CB70" s="22">
        <f t="shared" si="64"/>
        <v>649.98970921008811</v>
      </c>
      <c r="CC70" s="62">
        <f t="shared" si="65"/>
        <v>914.94377651830496</v>
      </c>
      <c r="CD70" s="62">
        <f ca="1">AVERAGE(OFFSET($CC$3,0,0,'Données projet'!$E$12+1,1))-AVERAGE(OFFSET($H$3,0,0,'Données projet'!$E$12+1,1))</f>
        <v>590.18141384962507</v>
      </c>
      <c r="CE70" s="62">
        <f t="shared" si="94"/>
        <v>331.25104323342907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29.333098035609154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29.333098035609154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4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>
        <f>VLOOKUP(A71,'Données projet'!$A$35:$I$55,2,0)</f>
        <v>166</v>
      </c>
      <c r="L71" s="13">
        <f>VLOOKUP(A71,'Données projet'!$A$35:$I$55,9,0)</f>
        <v>6.125</v>
      </c>
      <c r="M71" s="13">
        <f t="array" ref="M71">INDEX(L:L,MIN(IF(ISNUMBER(L71:L267),ROW(L71:L267),"")))</f>
        <v>6.125</v>
      </c>
      <c r="N71" s="14">
        <f>IF('Données projet'!$A$36&gt;35,N70+M71-V70,IF(A71&lt;'Données projet'!$A$36,$K$205^A71,IF(A71='Données projet'!$A$36,'Données projet'!$B$36,N70+M71-V70)))</f>
        <v>166.00000000000006</v>
      </c>
      <c r="O71" s="14">
        <f>N71*VLOOKUP('Données projet'!$B$9,Paramètres!$A$1:$I$89,3,0)*VLOOKUP('Données projet'!$B$9,Paramètres!$A$1:$I$89,5,0)</f>
        <v>150.19680000000005</v>
      </c>
      <c r="P71" s="14">
        <f t="shared" si="87"/>
        <v>38.623305713694506</v>
      </c>
      <c r="Q71" s="22">
        <f t="shared" si="54"/>
        <v>328.86168411801799</v>
      </c>
      <c r="R71" s="62">
        <f t="shared" si="55"/>
        <v>594.30806824523688</v>
      </c>
      <c r="S71" s="62">
        <f ca="1">AVERAGE(OFFSET($R$3,0,0,'Données projet'!$E$9+1,1))-AVERAGE(OFFSET($H$3,0,0,'Données projet'!$E$9+1,1))</f>
        <v>432.80275651765203</v>
      </c>
      <c r="T71" s="62">
        <f t="shared" si="88"/>
        <v>203.89279893419919</v>
      </c>
      <c r="U71" s="16">
        <f>IF(ISNA(VLOOKUP(A71,'Données projet'!$A$35:$I$55,3,0)),0,VLOOKUP(A71,'Données projet'!$A$35:$I$55,3,0))</f>
        <v>3</v>
      </c>
      <c r="V71" s="16">
        <f>IF(ISNA(VLOOKUP(A71,'Données projet'!$A$35:$I$55,4,0)),0,VLOOKUP(A71,'Données projet'!$A$35:$I$55,4,0))</f>
        <v>31</v>
      </c>
      <c r="W71" s="17">
        <f>IF(ISNA(VLOOKUP(A71,'Données projet'!$A$35:$I$55,5,0)),0%,VLOOKUP(A71,'Données projet'!$A$35:$I$55,5,0)*VLOOKUP('Données projet'!$B$9,Paramètres!$A$1:$I$89,7,0))</f>
        <v>0.215</v>
      </c>
      <c r="X71" s="17">
        <f>IF(ISNA(VLOOKUP(A71,'Données projet'!$A$35:$I$55,6,0)),0%,VLOOKUP(A71,'Données projet'!$A$35:$I$55,6,0)*VLOOKUP('Données projet'!$B$9,Paramètres!$A$1:$I$89,7,0))</f>
        <v>0.17200000000000001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6.6665302800104191</v>
      </c>
      <c r="AA71" s="23">
        <f>EXP(-LN(2)/25)*AA70+(1-EXP(-LN(2)/25))/(LN(2)/25)*Calculateur!V71*Calculateur!X71*VLOOKUP('Données projet'!$B$9,Paramètres!$A$1:$I$89,3,0)*0.475*44/12</f>
        <v>5.3122252881206702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11.978755568131088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238.60000000000022</v>
      </c>
      <c r="AJ71" s="14">
        <f>AI71*VLOOKUP('Données projet'!$B$10,Paramètres!$A$1:$I$89,3,0)*VLOOKUP('Données projet'!$B$10,Paramètres!$A$1:$I$89,5,0)</f>
        <v>208.44096000000022</v>
      </c>
      <c r="AK71" s="14">
        <f t="shared" si="89"/>
        <v>51.594748621124261</v>
      </c>
      <c r="AL71" s="22">
        <f t="shared" si="58"/>
        <v>452.89552584845842</v>
      </c>
      <c r="AM71" s="62">
        <f t="shared" si="59"/>
        <v>718.34190997567725</v>
      </c>
      <c r="AN71" s="62">
        <f ca="1">AVERAGE(OFFSET($AM$3,0,0,'Données projet'!$E$10+1,1))-AVERAGE(OFFSET($H$3,0,0,'Données projet'!$E$10+1,1))</f>
        <v>341.62910675299065</v>
      </c>
      <c r="AO71" s="62">
        <f t="shared" si="90"/>
        <v>407.15938341104709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58.929815708840884</v>
      </c>
      <c r="AW71" s="23">
        <f>EXP(-LN(2)/2)*AW70+(1-EXP(-LN(2)/2))/(LN(2)/2)*AQ71*AT71*VLOOKUP('Données projet'!$B$10,Paramètres!$A$1:$I$89,3,0)*0.475*44/12</f>
        <v>0.83719387691942448</v>
      </c>
      <c r="AX71" s="23">
        <f t="shared" si="60"/>
        <v>59.767009585760306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3.4106051316484809E-13</v>
      </c>
      <c r="BE71" s="14">
        <f>BD71*VLOOKUP('Données projet'!$B$11,Paramètres!$A$1:$I$89,3,0)*VLOOKUP('Données projet'!$B$11,Paramètres!$A$1:$I$89,5,0)</f>
        <v>1.6405010683229191E-13</v>
      </c>
      <c r="BF71" s="14">
        <f t="shared" si="91"/>
        <v>2.3265121008813928E-12</v>
      </c>
      <c r="BG71" s="22">
        <f t="shared" si="61"/>
        <v>4.337729178434667E-12</v>
      </c>
      <c r="BH71" s="62">
        <f t="shared" si="62"/>
        <v>265.44638412722315</v>
      </c>
      <c r="BI71" s="62">
        <f ca="1">AVERAGE(OFFSET($BH$3,0,0,'Données projet'!$E$11+1,1))-AVERAGE(OFFSET($H$3,0,0,'Données projet'!$E$11+1,1))</f>
        <v>405.94837980869011</v>
      </c>
      <c r="BJ71" s="62">
        <f t="shared" si="92"/>
        <v>511.37583835090879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255.18795412024167</v>
      </c>
      <c r="BQ71" s="23">
        <f>EXP(-LN(2)/25)*BQ70+(1-EXP(-LN(2)/25))/(LN(2)/25)*Calculateur!BL71*Calculateur!BN71*VLOOKUP('Données projet'!$B$11,Paramètres!$A$1:$I$89,3,0)*0.475*44/12</f>
        <v>17.590365142686981</v>
      </c>
      <c r="BR71" s="23">
        <f>EXP(-LN(2)/2)*BR70+(1-EXP(-LN(2)/2))/(LN(2)/2)*BL71*BO71*VLOOKUP('Données projet'!$B$11,Paramètres!$A$1:$I$89,3,0)*0.475*44/12</f>
        <v>1.5134922824478648E-3</v>
      </c>
      <c r="BS71" s="24">
        <f t="shared" si="63"/>
        <v>272.77983275521115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11.8</v>
      </c>
      <c r="BY71" s="13">
        <f>IF('Données projet'!$A$114&gt;35,BY70+BX71-CG70,IF(A71&lt;'Données projet'!$A$114,$BV$205^A71,IF(A71='Données projet'!$A$114,'Données projet'!$B$114,BY70+BX71-CG70)))</f>
        <v>363.4</v>
      </c>
      <c r="BZ71" s="14">
        <f>BY71*VLOOKUP('Données projet'!$B$12,Paramètres!$A$1:$I$89,3,0)*VLOOKUP('Données projet'!$B$12,Paramètres!$A$1:$I$89,5,0)</f>
        <v>311.79720000000003</v>
      </c>
      <c r="CA71" s="14">
        <f t="shared" si="93"/>
        <v>73.644030695714719</v>
      </c>
      <c r="CB71" s="22">
        <f t="shared" si="64"/>
        <v>671.31014346170321</v>
      </c>
      <c r="CC71" s="62">
        <f t="shared" si="65"/>
        <v>936.75652758892204</v>
      </c>
      <c r="CD71" s="62">
        <f ca="1">AVERAGE(OFFSET($CC$3,0,0,'Données projet'!$E$12+1,1))-AVERAGE(OFFSET($H$3,0,0,'Données projet'!$E$12+1,1))</f>
        <v>590.18141384962507</v>
      </c>
      <c r="CE71" s="62">
        <f t="shared" si="94"/>
        <v>331.25104323342907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28.757893874554028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28.757893874554028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4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5.9</v>
      </c>
      <c r="N72" s="14">
        <f>IF('Données projet'!$A$36&gt;35,N71+M72-V71,IF(A72&lt;'Données projet'!$A$36,$K$205^A72,IF(A72='Données projet'!$A$36,'Données projet'!$B$36,N71+M72-V71)))</f>
        <v>140.90000000000006</v>
      </c>
      <c r="O72" s="14">
        <f>N72*VLOOKUP('Données projet'!$B$9,Paramètres!$A$1:$I$89,3,0)*VLOOKUP('Données projet'!$B$9,Paramètres!$A$1:$I$89,5,0)</f>
        <v>127.48632000000006</v>
      </c>
      <c r="P72" s="14">
        <f t="shared" si="87"/>
        <v>33.414863287066048</v>
      </c>
      <c r="Q72" s="22">
        <f t="shared" si="54"/>
        <v>280.23622755830678</v>
      </c>
      <c r="R72" s="62">
        <f t="shared" si="55"/>
        <v>546.16638790837328</v>
      </c>
      <c r="S72" s="62">
        <f ca="1">AVERAGE(OFFSET($R$3,0,0,'Données projet'!$E$9+1,1))-AVERAGE(OFFSET($H$3,0,0,'Données projet'!$E$9+1,1))</f>
        <v>432.80275651765203</v>
      </c>
      <c r="T72" s="62">
        <f t="shared" si="88"/>
        <v>203.89279893419919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6.5358036874013834</v>
      </c>
      <c r="AA72" s="23">
        <f>EXP(-LN(2)/25)*AA71+(1-EXP(-LN(2)/25))/(LN(2)/25)*Calculateur!V72*Calculateur!X72*VLOOKUP('Données projet'!$B$9,Paramètres!$A$1:$I$89,3,0)*0.475*44/12</f>
        <v>5.1669622082592239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11.702765895660608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243.80000000000021</v>
      </c>
      <c r="AJ72" s="14">
        <f>AI72*VLOOKUP('Données projet'!$B$10,Paramètres!$A$1:$I$89,3,0)*VLOOKUP('Données projet'!$B$10,Paramètres!$A$1:$I$89,5,0)</f>
        <v>212.98368000000022</v>
      </c>
      <c r="AK72" s="14">
        <f t="shared" si="89"/>
        <v>52.587058525970413</v>
      </c>
      <c r="AL72" s="22">
        <f t="shared" si="58"/>
        <v>462.53570293273214</v>
      </c>
      <c r="AM72" s="62">
        <f t="shared" si="59"/>
        <v>728.46586328279864</v>
      </c>
      <c r="AN72" s="62">
        <f ca="1">AVERAGE(OFFSET($AM$3,0,0,'Données projet'!$E$10+1,1))-AVERAGE(OFFSET($H$3,0,0,'Données projet'!$E$10+1,1))</f>
        <v>341.62910675299065</v>
      </c>
      <c r="AO72" s="62">
        <f t="shared" si="90"/>
        <v>407.15938341104709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57.318376799298306</v>
      </c>
      <c r="AW72" s="23">
        <f>EXP(-LN(2)/2)*AW71+(1-EXP(-LN(2)/2))/(LN(2)/2)*AQ72*AT72*VLOOKUP('Données projet'!$B$10,Paramètres!$A$1:$I$89,3,0)*0.475*44/12</f>
        <v>0.59198546753758097</v>
      </c>
      <c r="AX72" s="23">
        <f t="shared" si="60"/>
        <v>57.910362266835889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3.4106051316484809E-13</v>
      </c>
      <c r="BE72" s="14">
        <f>BD72*VLOOKUP('Données projet'!$B$11,Paramètres!$A$1:$I$89,3,0)*VLOOKUP('Données projet'!$B$11,Paramètres!$A$1:$I$89,5,0)</f>
        <v>1.6405010683229191E-13</v>
      </c>
      <c r="BF72" s="14">
        <f t="shared" si="91"/>
        <v>2.3265121008813928E-12</v>
      </c>
      <c r="BG72" s="22">
        <f t="shared" si="61"/>
        <v>4.337729178434667E-12</v>
      </c>
      <c r="BH72" s="62">
        <f t="shared" si="62"/>
        <v>265.93016035007088</v>
      </c>
      <c r="BI72" s="62">
        <f ca="1">AVERAGE(OFFSET($BH$3,0,0,'Données projet'!$E$11+1,1))-AVERAGE(OFFSET($H$3,0,0,'Données projet'!$E$11+1,1))</f>
        <v>405.94837980869011</v>
      </c>
      <c r="BJ72" s="62">
        <f t="shared" si="92"/>
        <v>511.37583835090879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250.18387398922664</v>
      </c>
      <c r="BQ72" s="23">
        <f>EXP(-LN(2)/25)*BQ71+(1-EXP(-LN(2)/25))/(LN(2)/25)*Calculateur!BL72*Calculateur!BN72*VLOOKUP('Données projet'!$B$11,Paramètres!$A$1:$I$89,3,0)*0.475*44/12</f>
        <v>17.109355682823107</v>
      </c>
      <c r="BR72" s="23">
        <f>EXP(-LN(2)/2)*BR71+(1-EXP(-LN(2)/2))/(LN(2)/2)*BL72*BO72*VLOOKUP('Données projet'!$B$11,Paramètres!$A$1:$I$89,3,0)*0.475*44/12</f>
        <v>1.0702006561923907E-3</v>
      </c>
      <c r="BS72" s="24">
        <f t="shared" si="63"/>
        <v>267.29429987270595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11.8</v>
      </c>
      <c r="BY72" s="13">
        <f>IF('Données projet'!$A$114&gt;35,BY71+BX72-CG71,IF(A72&lt;'Données projet'!$A$114,$BV$205^A72,IF(A72='Données projet'!$A$114,'Données projet'!$B$114,BY71+BX72-CG71)))</f>
        <v>375.2</v>
      </c>
      <c r="BZ72" s="14">
        <f>BY72*VLOOKUP('Données projet'!$B$12,Paramètres!$A$1:$I$89,3,0)*VLOOKUP('Données projet'!$B$12,Paramètres!$A$1:$I$89,5,0)</f>
        <v>321.92160000000001</v>
      </c>
      <c r="CA72" s="14">
        <f t="shared" si="93"/>
        <v>75.753040489321577</v>
      </c>
      <c r="CB72" s="22">
        <f t="shared" si="64"/>
        <v>692.61666551890175</v>
      </c>
      <c r="CC72" s="62">
        <f t="shared" si="65"/>
        <v>958.54682586896831</v>
      </c>
      <c r="CD72" s="62">
        <f ca="1">AVERAGE(OFFSET($CC$3,0,0,'Données projet'!$E$12+1,1))-AVERAGE(OFFSET($H$3,0,0,'Données projet'!$E$12+1,1))</f>
        <v>590.18141384962507</v>
      </c>
      <c r="CE72" s="62">
        <f t="shared" si="94"/>
        <v>331.25104323342907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28.1939691162573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28.1939691162573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4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5.9</v>
      </c>
      <c r="N73" s="14">
        <f>IF('Données projet'!$A$36&gt;35,N72+M73-V72,IF(A73&lt;'Données projet'!$A$36,$K$205^A73,IF(A73='Données projet'!$A$36,'Données projet'!$B$36,N72+M73-V72)))</f>
        <v>146.80000000000007</v>
      </c>
      <c r="O73" s="14">
        <f>N73*VLOOKUP('Données projet'!$B$9,Paramètres!$A$1:$I$89,3,0)*VLOOKUP('Données projet'!$B$9,Paramètres!$A$1:$I$89,5,0)</f>
        <v>132.82464000000004</v>
      </c>
      <c r="P73" s="14">
        <f t="shared" si="87"/>
        <v>34.648231927248233</v>
      </c>
      <c r="Q73" s="22">
        <f t="shared" si="54"/>
        <v>291.68191860662404</v>
      </c>
      <c r="R73" s="62">
        <f t="shared" si="55"/>
        <v>558.08746274363352</v>
      </c>
      <c r="S73" s="62">
        <f ca="1">AVERAGE(OFFSET($R$3,0,0,'Données projet'!$E$9+1,1))-AVERAGE(OFFSET($H$3,0,0,'Données projet'!$E$9+1,1))</f>
        <v>432.80275651765203</v>
      </c>
      <c r="T73" s="62">
        <f t="shared" si="88"/>
        <v>203.89279893419919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6.4076405635380631</v>
      </c>
      <c r="AA73" s="23">
        <f>EXP(-LN(2)/25)*AA72+(1-EXP(-LN(2)/25))/(LN(2)/25)*Calculateur!V73*Calculateur!X73*VLOOKUP('Données projet'!$B$9,Paramètres!$A$1:$I$89,3,0)*0.475*44/12</f>
        <v>5.0256713549556418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11.433311918493704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249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249.0000000000002</v>
      </c>
      <c r="AJ73" s="14">
        <f>AI73*VLOOKUP('Données projet'!$B$10,Paramètres!$A$1:$I$89,3,0)*VLOOKUP('Données projet'!$B$10,Paramètres!$A$1:$I$89,5,0)</f>
        <v>217.52640000000019</v>
      </c>
      <c r="AK73" s="14">
        <f t="shared" si="89"/>
        <v>53.576907690651304</v>
      </c>
      <c r="AL73" s="22">
        <f t="shared" si="58"/>
        <v>472.17159422788467</v>
      </c>
      <c r="AM73" s="62">
        <f t="shared" si="59"/>
        <v>738.57713836489415</v>
      </c>
      <c r="AN73" s="62">
        <f ca="1">AVERAGE(OFFSET($AM$3,0,0,'Données projet'!$E$10+1,1))-AVERAGE(OFFSET($H$3,0,0,'Données projet'!$E$10+1,1))</f>
        <v>341.62910675299065</v>
      </c>
      <c r="AO73" s="62">
        <f t="shared" si="90"/>
        <v>407.15938341104709</v>
      </c>
      <c r="AP73" s="16">
        <f>IF(ISNA(VLOOKUP(A73,'Données projet'!$A$61:$I$81,3,0)),0,VLOOKUP(A73,'Données projet'!$A$61:$I$81,3,0))</f>
        <v>12</v>
      </c>
      <c r="AQ73" s="16">
        <f>IF(ISNA(VLOOKUP(A73,'Données projet'!$A$61:$I$81,4,0)),0,VLOOKUP(A73,'Données projet'!$A$61:$I$81,4,0))</f>
        <v>249</v>
      </c>
      <c r="AR73" s="17">
        <f>IF(ISNA(VLOOKUP(A73,'Données projet'!$A$61:$I$81,5,0)),0%,VLOOKUP(A73,'Données projet'!$A$61:$I$81,5,0)*VLOOKUP('Données projet'!$B$10,Paramètres!$A$1:$I$89,7,0))</f>
        <v>0.43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103.40166654556764</v>
      </c>
      <c r="AV73" s="23">
        <f>EXP(-LN(2)/25)*AV72+(1-EXP(-LN(2)/25))/(LN(2)/25)*Calculateur!AQ73*Calculateur!AS73*VLOOKUP('Données projet'!$B$10,Paramètres!$A$1:$I$89,3,0)*0.475*44/12</f>
        <v>55.751002771479058</v>
      </c>
      <c r="AW73" s="23">
        <f>EXP(-LN(2)/2)*AW72+(1-EXP(-LN(2)/2))/(LN(2)/2)*AQ73*AT73*VLOOKUP('Données projet'!$B$10,Paramètres!$A$1:$I$89,3,0)*0.475*44/12</f>
        <v>0.41859693845971235</v>
      </c>
      <c r="AX73" s="23">
        <f t="shared" si="60"/>
        <v>159.5712662555064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3.4106051316484809E-13</v>
      </c>
      <c r="BE73" s="14">
        <f>BD73*VLOOKUP('Données projet'!$B$11,Paramètres!$A$1:$I$89,3,0)*VLOOKUP('Données projet'!$B$11,Paramètres!$A$1:$I$89,5,0)</f>
        <v>1.6405010683229191E-13</v>
      </c>
      <c r="BF73" s="14">
        <f t="shared" si="91"/>
        <v>2.3265121008813928E-12</v>
      </c>
      <c r="BG73" s="22">
        <f t="shared" si="61"/>
        <v>4.337729178434667E-12</v>
      </c>
      <c r="BH73" s="62">
        <f t="shared" si="62"/>
        <v>266.40554413701381</v>
      </c>
      <c r="BI73" s="62">
        <f ca="1">AVERAGE(OFFSET($BH$3,0,0,'Données projet'!$E$11+1,1))-AVERAGE(OFFSET($H$3,0,0,'Données projet'!$E$11+1,1))</f>
        <v>405.94837980869011</v>
      </c>
      <c r="BJ73" s="62">
        <f t="shared" si="92"/>
        <v>511.37583835090879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245.27792081739332</v>
      </c>
      <c r="BQ73" s="23">
        <f>EXP(-LN(2)/25)*BQ72+(1-EXP(-LN(2)/25))/(LN(2)/25)*Calculateur!BL73*Calculateur!BN73*VLOOKUP('Données projet'!$B$11,Paramètres!$A$1:$I$89,3,0)*0.475*44/12</f>
        <v>16.641499451934397</v>
      </c>
      <c r="BR73" s="23">
        <f>EXP(-LN(2)/2)*BR72+(1-EXP(-LN(2)/2))/(LN(2)/2)*BL73*BO73*VLOOKUP('Données projet'!$B$11,Paramètres!$A$1:$I$89,3,0)*0.475*44/12</f>
        <v>7.5674614122393238E-4</v>
      </c>
      <c r="BS73" s="24">
        <f t="shared" si="63"/>
        <v>261.92017701546894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387</v>
      </c>
      <c r="BW73" s="13">
        <f>VLOOKUP(A73,'Données projet'!$A$113:$I$133,9,0)</f>
        <v>11.8</v>
      </c>
      <c r="BX73" s="13">
        <f t="array" ref="BX73">INDEX(BW:BW,MIN(IF(ISNUMBER(BW73:BW269),ROW(BW73:BW269),"")))</f>
        <v>11.8</v>
      </c>
      <c r="BY73" s="13">
        <f>IF('Données projet'!$A$114&gt;35,BY72+BX73-CG72,IF(A73&lt;'Données projet'!$A$114,$BV$205^A73,IF(A73='Données projet'!$A$114,'Données projet'!$B$114,BY72+BX73-CG72)))</f>
        <v>387</v>
      </c>
      <c r="BZ73" s="14">
        <f>BY73*VLOOKUP('Données projet'!$B$12,Paramètres!$A$1:$I$89,3,0)*VLOOKUP('Données projet'!$B$12,Paramètres!$A$1:$I$89,5,0)</f>
        <v>332.04600000000005</v>
      </c>
      <c r="CA73" s="14">
        <f t="shared" si="93"/>
        <v>77.854342460208699</v>
      </c>
      <c r="CB73" s="22">
        <f t="shared" si="64"/>
        <v>713.90976311819679</v>
      </c>
      <c r="CC73" s="62">
        <f t="shared" si="65"/>
        <v>980.31530725520633</v>
      </c>
      <c r="CD73" s="62">
        <f ca="1">AVERAGE(OFFSET($CC$3,0,0,'Données projet'!$E$12+1,1))-AVERAGE(OFFSET($H$3,0,0,'Données projet'!$E$12+1,1))</f>
        <v>590.18141384962507</v>
      </c>
      <c r="CE73" s="62">
        <f t="shared" si="94"/>
        <v>331.25104323342907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35</v>
      </c>
      <c r="CH73" s="17">
        <f>IF(ISNA(VLOOKUP(A73,'Données projet'!$A$113:$I$133,5,0)),0%,VLOOKUP(A73,'Données projet'!$A$113:$I$133,5,0)*VLOOKUP('Données projet'!$B$12,Paramètres!$A$1:$I$89,7,0))</f>
        <v>0.26500000000000001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36.438380585314874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36.438380585314874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4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5.9</v>
      </c>
      <c r="N74" s="14">
        <f>IF('Données projet'!$A$36&gt;35,N73+M74-V73,IF(A74&lt;'Données projet'!$A$36,$K$205^A74,IF(A74='Données projet'!$A$36,'Données projet'!$B$36,N73+M74-V73)))</f>
        <v>152.70000000000007</v>
      </c>
      <c r="O74" s="14">
        <f>N74*VLOOKUP('Données projet'!$B$9,Paramètres!$A$1:$I$89,3,0)*VLOOKUP('Données projet'!$B$9,Paramètres!$A$1:$I$89,5,0)</f>
        <v>138.16296000000006</v>
      </c>
      <c r="P74" s="14">
        <f t="shared" si="87"/>
        <v>35.87584245850627</v>
      </c>
      <c r="Q74" s="22">
        <f t="shared" si="54"/>
        <v>303.11758094856515</v>
      </c>
      <c r="R74" s="62">
        <f t="shared" si="55"/>
        <v>569.9902620266131</v>
      </c>
      <c r="S74" s="62">
        <f ca="1">AVERAGE(OFFSET($R$3,0,0,'Données projet'!$E$9+1,1))-AVERAGE(OFFSET($H$3,0,0,'Données projet'!$E$9+1,1))</f>
        <v>432.80275651765203</v>
      </c>
      <c r="T74" s="62">
        <f t="shared" si="88"/>
        <v>203.89279893419919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6.281990640361915</v>
      </c>
      <c r="AA74" s="23">
        <f>EXP(-LN(2)/25)*AA73+(1-EXP(-LN(2)/25))/(LN(2)/25)*Calculateur!V74*Calculateur!X74*VLOOKUP('Données projet'!$B$9,Paramètres!$A$1:$I$89,3,0)*0.475*44/12</f>
        <v>4.8882441074658098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11.170234747827724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1.9895196601282805E-13</v>
      </c>
      <c r="AJ74" s="14">
        <f>AI74*VLOOKUP('Données projet'!$B$10,Paramètres!$A$1:$I$89,3,0)*VLOOKUP('Données projet'!$B$10,Paramètres!$A$1:$I$89,5,0)</f>
        <v>1.738044375088066E-13</v>
      </c>
      <c r="AK74" s="14">
        <f t="shared" si="89"/>
        <v>2.4483293633950478E-12</v>
      </c>
      <c r="AL74" s="22">
        <f t="shared" si="58"/>
        <v>4.566883036574213E-12</v>
      </c>
      <c r="AM74" s="62">
        <f t="shared" si="59"/>
        <v>266.87268107805249</v>
      </c>
      <c r="AN74" s="62">
        <f ca="1">AVERAGE(OFFSET($AM$3,0,0,'Données projet'!$E$10+1,1))-AVERAGE(OFFSET($H$3,0,0,'Données projet'!$E$10+1,1))</f>
        <v>341.62910675299065</v>
      </c>
      <c r="AO74" s="62">
        <f t="shared" si="90"/>
        <v>407.15938341104709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101.37402293339812</v>
      </c>
      <c r="AV74" s="23">
        <f>EXP(-LN(2)/25)*AV73+(1-EXP(-LN(2)/25))/(LN(2)/25)*Calculateur!AQ74*Calculateur!AS74*VLOOKUP('Données projet'!$B$10,Paramètres!$A$1:$I$89,3,0)*0.475*44/12</f>
        <v>54.226488668875149</v>
      </c>
      <c r="AW74" s="23">
        <f>EXP(-LN(2)/2)*AW73+(1-EXP(-LN(2)/2))/(LN(2)/2)*AQ74*AT74*VLOOKUP('Données projet'!$B$10,Paramètres!$A$1:$I$89,3,0)*0.475*44/12</f>
        <v>0.29599273376879054</v>
      </c>
      <c r="AX74" s="23">
        <f t="shared" si="60"/>
        <v>155.89650433604209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3.4106051316484809E-13</v>
      </c>
      <c r="BE74" s="14">
        <f>BD74*VLOOKUP('Données projet'!$B$11,Paramètres!$A$1:$I$89,3,0)*VLOOKUP('Données projet'!$B$11,Paramètres!$A$1:$I$89,5,0)</f>
        <v>1.6405010683229191E-13</v>
      </c>
      <c r="BF74" s="14">
        <f t="shared" si="91"/>
        <v>2.3265121008813928E-12</v>
      </c>
      <c r="BG74" s="22">
        <f t="shared" si="61"/>
        <v>4.337729178434667E-12</v>
      </c>
      <c r="BH74" s="62">
        <f t="shared" si="62"/>
        <v>266.87268107805227</v>
      </c>
      <c r="BI74" s="62">
        <f ca="1">AVERAGE(OFFSET($BH$3,0,0,'Données projet'!$E$11+1,1))-AVERAGE(OFFSET($H$3,0,0,'Données projet'!$E$11+1,1))</f>
        <v>405.94837980869011</v>
      </c>
      <c r="BJ74" s="62">
        <f t="shared" si="92"/>
        <v>511.37583835090879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240.4681703949237</v>
      </c>
      <c r="BQ74" s="23">
        <f>EXP(-LN(2)/25)*BQ73+(1-EXP(-LN(2)/25))/(LN(2)/25)*Calculateur!BL74*Calculateur!BN74*VLOOKUP('Données projet'!$B$11,Paramètres!$A$1:$I$89,3,0)*0.475*44/12</f>
        <v>16.186436774282829</v>
      </c>
      <c r="BR74" s="23">
        <f>EXP(-LN(2)/2)*BR73+(1-EXP(-LN(2)/2))/(LN(2)/2)*BL74*BO74*VLOOKUP('Données projet'!$B$11,Paramètres!$A$1:$I$89,3,0)*0.475*44/12</f>
        <v>5.3510032809619534E-4</v>
      </c>
      <c r="BS74" s="24">
        <f t="shared" si="63"/>
        <v>256.65514226953462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11</v>
      </c>
      <c r="BY74" s="13">
        <f>IF('Données projet'!$A$114&gt;35,BY73+BX74-CG73,IF(A74&lt;'Données projet'!$A$114,$BV$205^A74,IF(A74='Données projet'!$A$114,'Données projet'!$B$114,BY73+BX74-CG73)))</f>
        <v>363</v>
      </c>
      <c r="BZ74" s="14">
        <f>BY74*VLOOKUP('Données projet'!$B$12,Paramètres!$A$1:$I$89,3,0)*VLOOKUP('Données projet'!$B$12,Paramètres!$A$1:$I$89,5,0)</f>
        <v>311.45400000000001</v>
      </c>
      <c r="CA74" s="14">
        <f t="shared" si="93"/>
        <v>73.572400496659426</v>
      </c>
      <c r="CB74" s="22">
        <f t="shared" si="64"/>
        <v>670.58764753168191</v>
      </c>
      <c r="CC74" s="62">
        <f t="shared" si="65"/>
        <v>937.46032860972991</v>
      </c>
      <c r="CD74" s="62">
        <f ca="1">AVERAGE(OFFSET($CC$3,0,0,'Données projet'!$E$12+1,1))-AVERAGE(OFFSET($H$3,0,0,'Données projet'!$E$12+1,1))</f>
        <v>590.18141384962507</v>
      </c>
      <c r="CE74" s="62">
        <f t="shared" si="94"/>
        <v>331.25104323342907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35.72384616725445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35.72384616725445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4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5.9</v>
      </c>
      <c r="N75" s="14">
        <f>IF('Données projet'!$A$36&gt;35,N74+M75-V74,IF(A75&lt;'Données projet'!$A$36,$K$205^A75,IF(A75='Données projet'!$A$36,'Données projet'!$B$36,N74+M75-V74)))</f>
        <v>158.60000000000008</v>
      </c>
      <c r="O75" s="14">
        <f>N75*VLOOKUP('Données projet'!$B$9,Paramètres!$A$1:$I$89,3,0)*VLOOKUP('Données projet'!$B$9,Paramètres!$A$1:$I$89,5,0)</f>
        <v>143.50128000000007</v>
      </c>
      <c r="P75" s="14">
        <f t="shared" si="87"/>
        <v>37.097942826522427</v>
      </c>
      <c r="Q75" s="22">
        <f t="shared" si="54"/>
        <v>314.54364642285998</v>
      </c>
      <c r="R75" s="62">
        <f t="shared" si="55"/>
        <v>581.87536066038115</v>
      </c>
      <c r="S75" s="62">
        <f ca="1">AVERAGE(OFFSET($R$3,0,0,'Données projet'!$E$9+1,1))-AVERAGE(OFFSET($H$3,0,0,'Données projet'!$E$9+1,1))</f>
        <v>432.80275651765203</v>
      </c>
      <c r="T75" s="62">
        <f t="shared" si="88"/>
        <v>203.89279893419919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6.1588046355403661</v>
      </c>
      <c r="AA75" s="23">
        <f>EXP(-LN(2)/25)*AA74+(1-EXP(-LN(2)/25))/(LN(2)/25)*Calculateur!V75*Calculateur!X75*VLOOKUP('Données projet'!$B$9,Paramètres!$A$1:$I$89,3,0)*0.475*44/12</f>
        <v>4.7545748152855722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10.913379450825939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1.9895196601282805E-13</v>
      </c>
      <c r="AJ75" s="14">
        <f>AI75*VLOOKUP('Données projet'!$B$10,Paramètres!$A$1:$I$89,3,0)*VLOOKUP('Données projet'!$B$10,Paramètres!$A$1:$I$89,5,0)</f>
        <v>1.738044375088066E-13</v>
      </c>
      <c r="AK75" s="14">
        <f t="shared" si="89"/>
        <v>2.4483293633950478E-12</v>
      </c>
      <c r="AL75" s="22">
        <f t="shared" si="58"/>
        <v>4.566883036574213E-12</v>
      </c>
      <c r="AM75" s="62">
        <f t="shared" si="59"/>
        <v>267.33171423752566</v>
      </c>
      <c r="AN75" s="62">
        <f ca="1">AVERAGE(OFFSET($AM$3,0,0,'Données projet'!$E$10+1,1))-AVERAGE(OFFSET($H$3,0,0,'Données projet'!$E$10+1,1))</f>
        <v>341.62910675299065</v>
      </c>
      <c r="AO75" s="62">
        <f t="shared" si="90"/>
        <v>407.15938341104709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99.386140175722772</v>
      </c>
      <c r="AV75" s="23">
        <f>EXP(-LN(2)/25)*AV74+(1-EXP(-LN(2)/25))/(LN(2)/25)*Calculateur!AQ75*Calculateur!AS75*VLOOKUP('Données projet'!$B$10,Paramètres!$A$1:$I$89,3,0)*0.475*44/12</f>
        <v>52.743662484577655</v>
      </c>
      <c r="AW75" s="23">
        <f>EXP(-LN(2)/2)*AW74+(1-EXP(-LN(2)/2))/(LN(2)/2)*AQ75*AT75*VLOOKUP('Données projet'!$B$10,Paramètres!$A$1:$I$89,3,0)*0.475*44/12</f>
        <v>0.2092984692298562</v>
      </c>
      <c r="AX75" s="23">
        <f t="shared" si="60"/>
        <v>152.33910112953026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3.4106051316484809E-13</v>
      </c>
      <c r="BE75" s="14">
        <f>BD75*VLOOKUP('Données projet'!$B$11,Paramètres!$A$1:$I$89,3,0)*VLOOKUP('Données projet'!$B$11,Paramètres!$A$1:$I$89,5,0)</f>
        <v>1.6405010683229191E-13</v>
      </c>
      <c r="BF75" s="14">
        <f t="shared" si="91"/>
        <v>2.3265121008813928E-12</v>
      </c>
      <c r="BG75" s="22">
        <f t="shared" si="61"/>
        <v>4.337729178434667E-12</v>
      </c>
      <c r="BH75" s="62">
        <f t="shared" si="62"/>
        <v>267.33171423752543</v>
      </c>
      <c r="BI75" s="62">
        <f ca="1">AVERAGE(OFFSET($BH$3,0,0,'Données projet'!$E$11+1,1))-AVERAGE(OFFSET($H$3,0,0,'Données projet'!$E$11+1,1))</f>
        <v>405.94837980869011</v>
      </c>
      <c r="BJ75" s="62">
        <f t="shared" si="92"/>
        <v>511.37583835090879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235.75273624458063</v>
      </c>
      <c r="BQ75" s="23">
        <f>EXP(-LN(2)/25)*BQ74+(1-EXP(-LN(2)/25))/(LN(2)/25)*Calculateur!BL75*Calculateur!BN75*VLOOKUP('Données projet'!$B$11,Paramètres!$A$1:$I$89,3,0)*0.475*44/12</f>
        <v>15.74381780948235</v>
      </c>
      <c r="BR75" s="23">
        <f>EXP(-LN(2)/2)*BR74+(1-EXP(-LN(2)/2))/(LN(2)/2)*BL75*BO75*VLOOKUP('Données projet'!$B$11,Paramètres!$A$1:$I$89,3,0)*0.475*44/12</f>
        <v>3.7837307061196619E-4</v>
      </c>
      <c r="BS75" s="24">
        <f t="shared" si="63"/>
        <v>251.4969324271336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11</v>
      </c>
      <c r="BY75" s="13">
        <f>IF('Données projet'!$A$114&gt;35,BY74+BX75-CG74,IF(A75&lt;'Données projet'!$A$114,$BV$205^A75,IF(A75='Données projet'!$A$114,'Données projet'!$B$114,BY74+BX75-CG74)))</f>
        <v>374</v>
      </c>
      <c r="BZ75" s="14">
        <f>BY75*VLOOKUP('Données projet'!$B$12,Paramètres!$A$1:$I$89,3,0)*VLOOKUP('Données projet'!$B$12,Paramètres!$A$1:$I$89,5,0)</f>
        <v>320.89200000000005</v>
      </c>
      <c r="CA75" s="14">
        <f t="shared" si="93"/>
        <v>75.538921531436799</v>
      </c>
      <c r="CB75" s="22">
        <f t="shared" si="64"/>
        <v>690.45052166725247</v>
      </c>
      <c r="CC75" s="62">
        <f t="shared" si="65"/>
        <v>957.78223590477364</v>
      </c>
      <c r="CD75" s="62">
        <f ca="1">AVERAGE(OFFSET($CC$3,0,0,'Données projet'!$E$12+1,1))-AVERAGE(OFFSET($H$3,0,0,'Données projet'!$E$12+1,1))</f>
        <v>590.18141384962507</v>
      </c>
      <c r="CE75" s="62">
        <f t="shared" si="94"/>
        <v>331.25104323342907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35.023323333309229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35.023323333309229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4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5.9</v>
      </c>
      <c r="N76" s="14">
        <f>IF('Données projet'!$A$36&gt;35,N75+M76-V75,IF(A76&lt;'Données projet'!$A$36,$K$205^A76,IF(A76='Données projet'!$A$36,'Données projet'!$B$36,N75+M76-V75)))</f>
        <v>164.50000000000009</v>
      </c>
      <c r="O76" s="14">
        <f>N76*VLOOKUP('Données projet'!$B$9,Paramètres!$A$1:$I$89,3,0)*VLOOKUP('Données projet'!$B$9,Paramètres!$A$1:$I$89,5,0)</f>
        <v>148.83960000000008</v>
      </c>
      <c r="P76" s="14">
        <f t="shared" si="87"/>
        <v>38.314761484407519</v>
      </c>
      <c r="Q76" s="22">
        <f t="shared" si="54"/>
        <v>325.9605129186765</v>
      </c>
      <c r="R76" s="62">
        <f t="shared" si="55"/>
        <v>593.74329711659834</v>
      </c>
      <c r="S76" s="62">
        <f ca="1">AVERAGE(OFFSET($R$3,0,0,'Données projet'!$E$9+1,1))-AVERAGE(OFFSET($H$3,0,0,'Données projet'!$E$9+1,1))</f>
        <v>432.80275651765203</v>
      </c>
      <c r="T76" s="62">
        <f t="shared" si="88"/>
        <v>203.89279893419919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6.0380342331373233</v>
      </c>
      <c r="AA76" s="23">
        <f>EXP(-LN(2)/25)*AA75+(1-EXP(-LN(2)/25))/(LN(2)/25)*Calculateur!V76*Calculateur!X76*VLOOKUP('Données projet'!$B$9,Paramètres!$A$1:$I$89,3,0)*0.475*44/12</f>
        <v>4.6245607169293654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10.662594950066689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1.9895196601282805E-13</v>
      </c>
      <c r="AJ76" s="14">
        <f>AI76*VLOOKUP('Données projet'!$B$10,Paramètres!$A$1:$I$89,3,0)*VLOOKUP('Données projet'!$B$10,Paramètres!$A$1:$I$89,5,0)</f>
        <v>1.738044375088066E-13</v>
      </c>
      <c r="AK76" s="14">
        <f t="shared" si="89"/>
        <v>2.4483293633950478E-12</v>
      </c>
      <c r="AL76" s="22">
        <f t="shared" si="58"/>
        <v>4.566883036574213E-12</v>
      </c>
      <c r="AM76" s="62">
        <f t="shared" si="59"/>
        <v>267.78278419792633</v>
      </c>
      <c r="AN76" s="62">
        <f ca="1">AVERAGE(OFFSET($AM$3,0,0,'Données projet'!$E$10+1,1))-AVERAGE(OFFSET($H$3,0,0,'Données projet'!$E$10+1,1))</f>
        <v>341.62910675299065</v>
      </c>
      <c r="AO76" s="62">
        <f t="shared" si="90"/>
        <v>407.15938341104709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97.437238586436678</v>
      </c>
      <c r="AV76" s="23">
        <f>EXP(-LN(2)/25)*AV75+(1-EXP(-LN(2)/25))/(LN(2)/25)*Calculateur!AQ76*Calculateur!AS76*VLOOKUP('Données projet'!$B$10,Paramètres!$A$1:$I$89,3,0)*0.475*44/12</f>
        <v>51.301384260268215</v>
      </c>
      <c r="AW76" s="23">
        <f>EXP(-LN(2)/2)*AW75+(1-EXP(-LN(2)/2))/(LN(2)/2)*AQ76*AT76*VLOOKUP('Données projet'!$B$10,Paramètres!$A$1:$I$89,3,0)*0.475*44/12</f>
        <v>0.1479963668843953</v>
      </c>
      <c r="AX76" s="23">
        <f t="shared" si="60"/>
        <v>148.88661921358928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3.4106051316484809E-13</v>
      </c>
      <c r="BE76" s="14">
        <f>BD76*VLOOKUP('Données projet'!$B$11,Paramètres!$A$1:$I$89,3,0)*VLOOKUP('Données projet'!$B$11,Paramètres!$A$1:$I$89,5,0)</f>
        <v>1.6405010683229191E-13</v>
      </c>
      <c r="BF76" s="14">
        <f t="shared" si="91"/>
        <v>2.3265121008813928E-12</v>
      </c>
      <c r="BG76" s="22">
        <f t="shared" si="61"/>
        <v>4.337729178434667E-12</v>
      </c>
      <c r="BH76" s="62">
        <f t="shared" si="62"/>
        <v>267.78278419792611</v>
      </c>
      <c r="BI76" s="62">
        <f ca="1">AVERAGE(OFFSET($BH$3,0,0,'Données projet'!$E$11+1,1))-AVERAGE(OFFSET($H$3,0,0,'Données projet'!$E$11+1,1))</f>
        <v>405.94837980869011</v>
      </c>
      <c r="BJ76" s="62">
        <f t="shared" si="92"/>
        <v>511.37583835090879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231.12976888179494</v>
      </c>
      <c r="BQ76" s="23">
        <f>EXP(-LN(2)/25)*BQ75+(1-EXP(-LN(2)/25))/(LN(2)/25)*Calculateur!BL76*Calculateur!BN76*VLOOKUP('Données projet'!$B$11,Paramètres!$A$1:$I$89,3,0)*0.475*44/12</f>
        <v>15.313302283550659</v>
      </c>
      <c r="BR76" s="23">
        <f>EXP(-LN(2)/2)*BR75+(1-EXP(-LN(2)/2))/(LN(2)/2)*BL76*BO76*VLOOKUP('Données projet'!$B$11,Paramètres!$A$1:$I$89,3,0)*0.475*44/12</f>
        <v>2.6755016404809767E-4</v>
      </c>
      <c r="BS76" s="24">
        <f t="shared" si="63"/>
        <v>246.44333871550964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11</v>
      </c>
      <c r="BY76" s="13">
        <f>IF('Données projet'!$A$114&gt;35,BY75+BX76-CG75,IF(A76&lt;'Données projet'!$A$114,$BV$205^A76,IF(A76='Données projet'!$A$114,'Données projet'!$B$114,BY75+BX76-CG75)))</f>
        <v>385</v>
      </c>
      <c r="BZ76" s="14">
        <f>BY76*VLOOKUP('Données projet'!$B$12,Paramètres!$A$1:$I$89,3,0)*VLOOKUP('Données projet'!$B$12,Paramètres!$A$1:$I$89,5,0)</f>
        <v>330.33000000000004</v>
      </c>
      <c r="CA76" s="14">
        <f t="shared" si="93"/>
        <v>77.498720610826084</v>
      </c>
      <c r="CB76" s="22">
        <f t="shared" si="64"/>
        <v>710.30168839718874</v>
      </c>
      <c r="CC76" s="62">
        <f t="shared" si="65"/>
        <v>978.08447259511058</v>
      </c>
      <c r="CD76" s="62">
        <f ca="1">AVERAGE(OFFSET($CC$3,0,0,'Données projet'!$E$12+1,1))-AVERAGE(OFFSET($H$3,0,0,'Données projet'!$E$12+1,1))</f>
        <v>590.18141384962507</v>
      </c>
      <c r="CE76" s="62">
        <f t="shared" si="94"/>
        <v>331.25104323342907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34.336537324860934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34.336537324860934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4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5.9</v>
      </c>
      <c r="N77" s="14">
        <f>IF('Données projet'!$A$36&gt;35,N76+M77-V76,IF(A77&lt;'Données projet'!$A$36,$K$205^A77,IF(A77='Données projet'!$A$36,'Données projet'!$B$36,N76+M77-V76)))</f>
        <v>170.40000000000009</v>
      </c>
      <c r="O77" s="14">
        <f>N77*VLOOKUP('Données projet'!$B$9,Paramètres!$A$1:$I$89,3,0)*VLOOKUP('Données projet'!$B$9,Paramètres!$A$1:$I$89,5,0)</f>
        <v>154.17792000000009</v>
      </c>
      <c r="P77" s="14">
        <f t="shared" si="87"/>
        <v>39.526509568829269</v>
      </c>
      <c r="Q77" s="22">
        <f t="shared" si="54"/>
        <v>337.3685481657111</v>
      </c>
      <c r="R77" s="62">
        <f t="shared" si="55"/>
        <v>605.59457726866196</v>
      </c>
      <c r="S77" s="62">
        <f ca="1">AVERAGE(OFFSET($R$3,0,0,'Données projet'!$E$9+1,1))-AVERAGE(OFFSET($H$3,0,0,'Données projet'!$E$9+1,1))</f>
        <v>432.80275651765203</v>
      </c>
      <c r="T77" s="62">
        <f t="shared" si="88"/>
        <v>203.89279893419919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5.919632064662733</v>
      </c>
      <c r="AA77" s="23">
        <f>EXP(-LN(2)/25)*AA76+(1-EXP(-LN(2)/25))/(LN(2)/25)*Calculateur!V77*Calculateur!X77*VLOOKUP('Données projet'!$B$9,Paramètres!$A$1:$I$89,3,0)*0.475*44/12</f>
        <v>4.4981018609298538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10.417733925592586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1.9895196601282805E-13</v>
      </c>
      <c r="AJ77" s="14">
        <f>AI77*VLOOKUP('Données projet'!$B$10,Paramètres!$A$1:$I$89,3,0)*VLOOKUP('Données projet'!$B$10,Paramètres!$A$1:$I$89,5,0)</f>
        <v>1.738044375088066E-13</v>
      </c>
      <c r="AK77" s="14">
        <f t="shared" si="89"/>
        <v>2.4483293633950478E-12</v>
      </c>
      <c r="AL77" s="22">
        <f t="shared" si="58"/>
        <v>4.566883036574213E-12</v>
      </c>
      <c r="AM77" s="62">
        <f t="shared" si="59"/>
        <v>268.22602910295541</v>
      </c>
      <c r="AN77" s="62">
        <f ca="1">AVERAGE(OFFSET($AM$3,0,0,'Données projet'!$E$10+1,1))-AVERAGE(OFFSET($H$3,0,0,'Données projet'!$E$10+1,1))</f>
        <v>341.62910675299065</v>
      </c>
      <c r="AO77" s="62">
        <f t="shared" si="90"/>
        <v>407.15938341104709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95.52655376860389</v>
      </c>
      <c r="AV77" s="23">
        <f>EXP(-LN(2)/25)*AV76+(1-EXP(-LN(2)/25))/(LN(2)/25)*Calculateur!AQ77*Calculateur!AS77*VLOOKUP('Données projet'!$B$10,Paramètres!$A$1:$I$89,3,0)*0.475*44/12</f>
        <v>49.898545209848635</v>
      </c>
      <c r="AW77" s="23">
        <f>EXP(-LN(2)/2)*AW76+(1-EXP(-LN(2)/2))/(LN(2)/2)*AQ77*AT77*VLOOKUP('Données projet'!$B$10,Paramètres!$A$1:$I$89,3,0)*0.475*44/12</f>
        <v>0.10464923461492812</v>
      </c>
      <c r="AX77" s="23">
        <f t="shared" si="60"/>
        <v>145.52974821306745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3.4106051316484809E-13</v>
      </c>
      <c r="BE77" s="14">
        <f>BD77*VLOOKUP('Données projet'!$B$11,Paramètres!$A$1:$I$89,3,0)*VLOOKUP('Données projet'!$B$11,Paramètres!$A$1:$I$89,5,0)</f>
        <v>1.6405010683229191E-13</v>
      </c>
      <c r="BF77" s="14">
        <f t="shared" si="91"/>
        <v>2.3265121008813928E-12</v>
      </c>
      <c r="BG77" s="22">
        <f t="shared" si="61"/>
        <v>4.337729178434667E-12</v>
      </c>
      <c r="BH77" s="62">
        <f t="shared" si="62"/>
        <v>268.22602910295518</v>
      </c>
      <c r="BI77" s="62">
        <f ca="1">AVERAGE(OFFSET($BH$3,0,0,'Données projet'!$E$11+1,1))-AVERAGE(OFFSET($H$3,0,0,'Données projet'!$E$11+1,1))</f>
        <v>405.94837980869011</v>
      </c>
      <c r="BJ77" s="62">
        <f t="shared" si="92"/>
        <v>511.37583835090879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226.59745508926181</v>
      </c>
      <c r="BQ77" s="23">
        <f>EXP(-LN(2)/25)*BQ76+(1-EXP(-LN(2)/25))/(LN(2)/25)*Calculateur!BL77*Calculateur!BN77*VLOOKUP('Données projet'!$B$11,Paramètres!$A$1:$I$89,3,0)*0.475*44/12</f>
        <v>14.894559227315398</v>
      </c>
      <c r="BR77" s="23">
        <f>EXP(-LN(2)/2)*BR76+(1-EXP(-LN(2)/2))/(LN(2)/2)*BL77*BO77*VLOOKUP('Données projet'!$B$11,Paramètres!$A$1:$I$89,3,0)*0.475*44/12</f>
        <v>1.8918653530598309E-4</v>
      </c>
      <c r="BS77" s="24">
        <f t="shared" si="63"/>
        <v>241.49220350311251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11</v>
      </c>
      <c r="BY77" s="13">
        <f>IF('Données projet'!$A$114&gt;35,BY76+BX77-CG76,IF(A77&lt;'Données projet'!$A$114,$BV$205^A77,IF(A77='Données projet'!$A$114,'Données projet'!$B$114,BY76+BX77-CG76)))</f>
        <v>396</v>
      </c>
      <c r="BZ77" s="14">
        <f>BY77*VLOOKUP('Données projet'!$B$12,Paramètres!$A$1:$I$89,3,0)*VLOOKUP('Données projet'!$B$12,Paramètres!$A$1:$I$89,5,0)</f>
        <v>339.76800000000003</v>
      </c>
      <c r="CA77" s="14">
        <f t="shared" si="93"/>
        <v>79.452011848891914</v>
      </c>
      <c r="CB77" s="22">
        <f t="shared" si="64"/>
        <v>730.14152063682013</v>
      </c>
      <c r="CC77" s="62">
        <f t="shared" si="65"/>
        <v>998.36754973977099</v>
      </c>
      <c r="CD77" s="62">
        <f ca="1">AVERAGE(OFFSET($CC$3,0,0,'Données projet'!$E$12+1,1))-AVERAGE(OFFSET($H$3,0,0,'Données projet'!$E$12+1,1))</f>
        <v>590.18141384962507</v>
      </c>
      <c r="CE77" s="62">
        <f t="shared" si="94"/>
        <v>331.25104323342907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33.663218771140208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33.663218771140208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4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5.9</v>
      </c>
      <c r="N78" s="14">
        <f>IF('Données projet'!$A$36&gt;35,N77+M78-V77,IF(A78&lt;'Données projet'!$A$36,$K$205^A78,IF(A78='Données projet'!$A$36,'Données projet'!$B$36,N77+M78-V77)))</f>
        <v>176.3000000000001</v>
      </c>
      <c r="O78" s="14">
        <f>N78*VLOOKUP('Données projet'!$B$9,Paramètres!$A$1:$I$89,3,0)*VLOOKUP('Données projet'!$B$9,Paramètres!$A$1:$I$89,5,0)</f>
        <v>159.51624000000007</v>
      </c>
      <c r="P78" s="14">
        <f t="shared" si="87"/>
        <v>40.733382766285203</v>
      </c>
      <c r="Q78" s="22">
        <f t="shared" si="54"/>
        <v>348.76809298461347</v>
      </c>
      <c r="R78" s="62">
        <f t="shared" si="55"/>
        <v>617.42967768443827</v>
      </c>
      <c r="S78" s="62">
        <f ca="1">AVERAGE(OFFSET($R$3,0,0,'Données projet'!$E$9+1,1))-AVERAGE(OFFSET($H$3,0,0,'Données projet'!$E$9+1,1))</f>
        <v>432.80275651765203</v>
      </c>
      <c r="T78" s="62">
        <f t="shared" si="88"/>
        <v>203.89279893419919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5.8035516904937374</v>
      </c>
      <c r="AA78" s="23">
        <f>EXP(-LN(2)/25)*AA77+(1-EXP(-LN(2)/25))/(LN(2)/25)*Calculateur!V78*Calculateur!X78*VLOOKUP('Données projet'!$B$9,Paramètres!$A$1:$I$89,3,0)*0.475*44/12</f>
        <v>4.3751010289978307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10.178652719491568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1.9895196601282805E-13</v>
      </c>
      <c r="AJ78" s="14">
        <f>AI78*VLOOKUP('Données projet'!$B$10,Paramètres!$A$1:$I$89,3,0)*VLOOKUP('Données projet'!$B$10,Paramètres!$A$1:$I$89,5,0)</f>
        <v>1.738044375088066E-13</v>
      </c>
      <c r="AK78" s="14">
        <f t="shared" si="89"/>
        <v>2.4483293633950478E-12</v>
      </c>
      <c r="AL78" s="22">
        <f t="shared" si="58"/>
        <v>4.566883036574213E-12</v>
      </c>
      <c r="AM78" s="62">
        <f t="shared" si="59"/>
        <v>268.66158469982935</v>
      </c>
      <c r="AN78" s="62">
        <f ca="1">AVERAGE(OFFSET($AM$3,0,0,'Données projet'!$E$10+1,1))-AVERAGE(OFFSET($H$3,0,0,'Données projet'!$E$10+1,1))</f>
        <v>341.62910675299065</v>
      </c>
      <c r="AO78" s="62">
        <f t="shared" si="90"/>
        <v>407.15938341104709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93.653336314646126</v>
      </c>
      <c r="AV78" s="23">
        <f>EXP(-LN(2)/25)*AV77+(1-EXP(-LN(2)/25))/(LN(2)/25)*Calculateur!AQ78*Calculateur!AS78*VLOOKUP('Données projet'!$B$10,Paramètres!$A$1:$I$89,3,0)*0.475*44/12</f>
        <v>48.534066867034873</v>
      </c>
      <c r="AW78" s="23">
        <f>EXP(-LN(2)/2)*AW77+(1-EXP(-LN(2)/2))/(LN(2)/2)*AQ78*AT78*VLOOKUP('Données projet'!$B$10,Paramètres!$A$1:$I$89,3,0)*0.475*44/12</f>
        <v>7.3998183442197649E-2</v>
      </c>
      <c r="AX78" s="23">
        <f t="shared" si="60"/>
        <v>142.26140136512319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3.4106051316484809E-13</v>
      </c>
      <c r="BE78" s="14">
        <f>BD78*VLOOKUP('Données projet'!$B$11,Paramètres!$A$1:$I$89,3,0)*VLOOKUP('Données projet'!$B$11,Paramètres!$A$1:$I$89,5,0)</f>
        <v>1.6405010683229191E-13</v>
      </c>
      <c r="BF78" s="14">
        <f t="shared" si="91"/>
        <v>2.3265121008813928E-12</v>
      </c>
      <c r="BG78" s="22">
        <f t="shared" si="61"/>
        <v>4.337729178434667E-12</v>
      </c>
      <c r="BH78" s="62">
        <f t="shared" si="62"/>
        <v>268.66158469982912</v>
      </c>
      <c r="BI78" s="62">
        <f ca="1">AVERAGE(OFFSET($BH$3,0,0,'Données projet'!$E$11+1,1))-AVERAGE(OFFSET($H$3,0,0,'Données projet'!$E$11+1,1))</f>
        <v>405.94837980869011</v>
      </c>
      <c r="BJ78" s="62">
        <f t="shared" si="92"/>
        <v>511.37583835090879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222.15401720576182</v>
      </c>
      <c r="BQ78" s="23">
        <f>EXP(-LN(2)/25)*BQ77+(1-EXP(-LN(2)/25))/(LN(2)/25)*Calculateur!BL78*Calculateur!BN78*VLOOKUP('Données projet'!$B$11,Paramètres!$A$1:$I$89,3,0)*0.475*44/12</f>
        <v>14.487266721973631</v>
      </c>
      <c r="BR78" s="23">
        <f>EXP(-LN(2)/2)*BR77+(1-EXP(-LN(2)/2))/(LN(2)/2)*BL78*BO78*VLOOKUP('Données projet'!$B$11,Paramètres!$A$1:$I$89,3,0)*0.475*44/12</f>
        <v>1.3377508202404883E-4</v>
      </c>
      <c r="BS78" s="24">
        <f t="shared" si="63"/>
        <v>236.64141770281748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407</v>
      </c>
      <c r="BW78" s="13">
        <f>VLOOKUP(A78,'Données projet'!$A$113:$I$133,9,0)</f>
        <v>11</v>
      </c>
      <c r="BX78" s="13">
        <f t="array" ref="BX78">INDEX(BW:BW,MIN(IF(ISNUMBER(BW78:BW274),ROW(BW78:BW274),"")))</f>
        <v>11</v>
      </c>
      <c r="BY78" s="13">
        <f>IF('Données projet'!$A$114&gt;35,BY77+BX78-CG77,IF(A78&lt;'Données projet'!$A$114,$BV$205^A78,IF(A78='Données projet'!$A$114,'Données projet'!$B$114,BY77+BX78-CG77)))</f>
        <v>407</v>
      </c>
      <c r="BZ78" s="14">
        <f>BY78*VLOOKUP('Données projet'!$B$12,Paramètres!$A$1:$I$89,3,0)*VLOOKUP('Données projet'!$B$12,Paramètres!$A$1:$I$89,5,0)</f>
        <v>349.20600000000007</v>
      </c>
      <c r="CA78" s="14">
        <f t="shared" si="93"/>
        <v>81.398996787610969</v>
      </c>
      <c r="CB78" s="22">
        <f t="shared" si="64"/>
        <v>749.97036940508917</v>
      </c>
      <c r="CC78" s="62">
        <f t="shared" si="65"/>
        <v>1018.631954104914</v>
      </c>
      <c r="CD78" s="62">
        <f ca="1">AVERAGE(OFFSET($CC$3,0,0,'Données projet'!$E$12+1,1))-AVERAGE(OFFSET($H$3,0,0,'Données projet'!$E$12+1,1))</f>
        <v>590.18141384962507</v>
      </c>
      <c r="CE78" s="62">
        <f t="shared" si="94"/>
        <v>331.25104323342907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35</v>
      </c>
      <c r="CH78" s="17">
        <f>IF(ISNA(VLOOKUP(A78,'Données projet'!$A$113:$I$133,5,0)),0%,VLOOKUP(A78,'Données projet'!$A$113:$I$133,5,0)*VLOOKUP('Données projet'!$B$12,Paramètres!$A$1:$I$89,7,0))</f>
        <v>0.26500000000000001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41.800381590378421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41.800381590378421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4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182.2000000000001</v>
      </c>
      <c r="O79" s="14">
        <f>N79*VLOOKUP('Données projet'!$B$9,Paramètres!$A$1:$I$89,3,0)*VLOOKUP('Données projet'!$B$9,Paramètres!$A$1:$I$89,5,0)</f>
        <v>164.85456000000011</v>
      </c>
      <c r="P79" s="14">
        <f t="shared" si="87"/>
        <v>41.935562922532533</v>
      </c>
      <c r="Q79" s="22">
        <f t="shared" si="54"/>
        <v>360.15946409007773</v>
      </c>
      <c r="R79" s="62">
        <f t="shared" si="55"/>
        <v>629.24904847092716</v>
      </c>
      <c r="S79" s="62">
        <f ca="1">AVERAGE(OFFSET($R$3,0,0,'Données projet'!$E$9+1,1))-AVERAGE(OFFSET($H$3,0,0,'Données projet'!$E$9+1,1))</f>
        <v>432.80275651765203</v>
      </c>
      <c r="T79" s="62">
        <f t="shared" si="88"/>
        <v>203.89279893419919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5.6897475816601588</v>
      </c>
      <c r="AA79" s="23">
        <f>EXP(-LN(2)/25)*AA78+(1-EXP(-LN(2)/25))/(LN(2)/25)*Calculateur!V79*Calculateur!X79*VLOOKUP('Données projet'!$B$9,Paramètres!$A$1:$I$89,3,0)*0.475*44/12</f>
        <v>4.2554636612833212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9.9452112429434791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1.9895196601282805E-13</v>
      </c>
      <c r="AJ79" s="14">
        <f>AI79*VLOOKUP('Données projet'!$B$10,Paramètres!$A$1:$I$89,3,0)*VLOOKUP('Données projet'!$B$10,Paramètres!$A$1:$I$89,5,0)</f>
        <v>1.738044375088066E-13</v>
      </c>
      <c r="AK79" s="14">
        <f t="shared" si="89"/>
        <v>2.4483293633950478E-12</v>
      </c>
      <c r="AL79" s="22">
        <f t="shared" si="58"/>
        <v>4.566883036574213E-12</v>
      </c>
      <c r="AM79" s="62">
        <f t="shared" si="59"/>
        <v>269.08958438085398</v>
      </c>
      <c r="AN79" s="62">
        <f ca="1">AVERAGE(OFFSET($AM$3,0,0,'Données projet'!$E$10+1,1))-AVERAGE(OFFSET($H$3,0,0,'Données projet'!$E$10+1,1))</f>
        <v>341.62910675299065</v>
      </c>
      <c r="AO79" s="62">
        <f t="shared" si="90"/>
        <v>407.15938341104709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91.816851512410651</v>
      </c>
      <c r="AV79" s="23">
        <f>EXP(-LN(2)/25)*AV78+(1-EXP(-LN(2)/25))/(LN(2)/25)*Calculateur!AQ79*Calculateur!AS79*VLOOKUP('Données projet'!$B$10,Paramètres!$A$1:$I$89,3,0)*0.475*44/12</f>
        <v>47.206900256260155</v>
      </c>
      <c r="AW79" s="23">
        <f>EXP(-LN(2)/2)*AW78+(1-EXP(-LN(2)/2))/(LN(2)/2)*AQ79*AT79*VLOOKUP('Données projet'!$B$10,Paramètres!$A$1:$I$89,3,0)*0.475*44/12</f>
        <v>5.2324617307464058E-2</v>
      </c>
      <c r="AX79" s="23">
        <f t="shared" si="60"/>
        <v>139.0760763859783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3.4106051316484809E-13</v>
      </c>
      <c r="BE79" s="14">
        <f>BD79*VLOOKUP('Données projet'!$B$11,Paramètres!$A$1:$I$89,3,0)*VLOOKUP('Données projet'!$B$11,Paramètres!$A$1:$I$89,5,0)</f>
        <v>1.6405010683229191E-13</v>
      </c>
      <c r="BF79" s="14">
        <f t="shared" si="91"/>
        <v>2.3265121008813928E-12</v>
      </c>
      <c r="BG79" s="22">
        <f t="shared" si="61"/>
        <v>4.337729178434667E-12</v>
      </c>
      <c r="BH79" s="62">
        <f t="shared" si="62"/>
        <v>269.08958438085375</v>
      </c>
      <c r="BI79" s="62">
        <f ca="1">AVERAGE(OFFSET($BH$3,0,0,'Données projet'!$E$11+1,1))-AVERAGE(OFFSET($H$3,0,0,'Données projet'!$E$11+1,1))</f>
        <v>405.94837980869011</v>
      </c>
      <c r="BJ79" s="62">
        <f t="shared" si="92"/>
        <v>511.37583835090879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217.79771242892775</v>
      </c>
      <c r="BQ79" s="23">
        <f>EXP(-LN(2)/25)*BQ78+(1-EXP(-LN(2)/25))/(LN(2)/25)*Calculateur!BL79*Calculateur!BN79*VLOOKUP('Données projet'!$B$11,Paramètres!$A$1:$I$89,3,0)*0.475*44/12</f>
        <v>14.091111651609017</v>
      </c>
      <c r="BR79" s="23">
        <f>EXP(-LN(2)/2)*BR78+(1-EXP(-LN(2)/2))/(LN(2)/2)*BL79*BO79*VLOOKUP('Données projet'!$B$11,Paramètres!$A$1:$I$89,3,0)*0.475*44/12</f>
        <v>9.4593267652991547E-5</v>
      </c>
      <c r="BS79" s="24">
        <f t="shared" si="63"/>
        <v>231.88891867380443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10.4</v>
      </c>
      <c r="BY79" s="13">
        <f>IF('Données projet'!$A$114&gt;35,BY78+BX79-CG78,IF(A79&lt;'Données projet'!$A$114,$BV$205^A79,IF(A79='Données projet'!$A$114,'Données projet'!$B$114,BY78+BX79-CG78)))</f>
        <v>382.4</v>
      </c>
      <c r="BZ79" s="14">
        <f>BY79*VLOOKUP('Données projet'!$B$12,Paramètres!$A$1:$I$89,3,0)*VLOOKUP('Données projet'!$B$12,Paramètres!$A$1:$I$89,5,0)</f>
        <v>328.0992</v>
      </c>
      <c r="CA79" s="14">
        <f t="shared" si="93"/>
        <v>77.036090442258086</v>
      </c>
      <c r="CB79" s="22">
        <f t="shared" si="64"/>
        <v>705.61063085359956</v>
      </c>
      <c r="CC79" s="62">
        <f t="shared" si="65"/>
        <v>974.70021523444893</v>
      </c>
      <c r="CD79" s="62">
        <f ca="1">AVERAGE(OFFSET($CC$3,0,0,'Données projet'!$E$12+1,1))-AVERAGE(OFFSET($H$3,0,0,'Données projet'!$E$12+1,1))</f>
        <v>590.18141384962507</v>
      </c>
      <c r="CE79" s="62">
        <f t="shared" si="94"/>
        <v>331.25104323342907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40.980701603106375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40.980701603106375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4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188.10000000000011</v>
      </c>
      <c r="O80" s="14">
        <f>N80*VLOOKUP('Données projet'!$B$9,Paramètres!$A$1:$I$89,3,0)*VLOOKUP('Données projet'!$B$9,Paramètres!$A$1:$I$89,5,0)</f>
        <v>170.19288000000009</v>
      </c>
      <c r="P80" s="14">
        <f t="shared" si="87"/>
        <v>43.133219437696241</v>
      </c>
      <c r="Q80" s="22">
        <f t="shared" si="54"/>
        <v>371.5429565206544</v>
      </c>
      <c r="R80" s="62">
        <f t="shared" si="55"/>
        <v>641.05311574492669</v>
      </c>
      <c r="S80" s="62">
        <f ca="1">AVERAGE(OFFSET($R$3,0,0,'Données projet'!$E$9+1,1))-AVERAGE(OFFSET($H$3,0,0,'Données projet'!$E$9+1,1))</f>
        <v>432.80275651765203</v>
      </c>
      <c r="T80" s="62">
        <f t="shared" si="88"/>
        <v>203.89279893419919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5.5781751019871537</v>
      </c>
      <c r="AA80" s="23">
        <f>EXP(-LN(2)/25)*AA79+(1-EXP(-LN(2)/25))/(LN(2)/25)*Calculateur!V80*Calculateur!X80*VLOOKUP('Données projet'!$B$9,Paramètres!$A$1:$I$89,3,0)*0.475*44/12</f>
        <v>4.1390977836804206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9.7172728856675743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1.9895196601282805E-13</v>
      </c>
      <c r="AJ80" s="14">
        <f>AI80*VLOOKUP('Données projet'!$B$10,Paramètres!$A$1:$I$89,3,0)*VLOOKUP('Données projet'!$B$10,Paramètres!$A$1:$I$89,5,0)</f>
        <v>1.738044375088066E-13</v>
      </c>
      <c r="AK80" s="14">
        <f t="shared" si="89"/>
        <v>2.4483293633950478E-12</v>
      </c>
      <c r="AL80" s="22">
        <f t="shared" si="58"/>
        <v>4.566883036574213E-12</v>
      </c>
      <c r="AM80" s="62">
        <f t="shared" si="59"/>
        <v>269.51015922427683</v>
      </c>
      <c r="AN80" s="62">
        <f ca="1">AVERAGE(OFFSET($AM$3,0,0,'Données projet'!$E$10+1,1))-AVERAGE(OFFSET($H$3,0,0,'Données projet'!$E$10+1,1))</f>
        <v>341.62910675299065</v>
      </c>
      <c r="AO80" s="62">
        <f t="shared" si="90"/>
        <v>407.15938341104709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90.016379057001885</v>
      </c>
      <c r="AV80" s="23">
        <f>EXP(-LN(2)/25)*AV79+(1-EXP(-LN(2)/25))/(LN(2)/25)*Calculateur!AQ80*Calculateur!AS80*VLOOKUP('Données projet'!$B$10,Paramètres!$A$1:$I$89,3,0)*0.475*44/12</f>
        <v>45.916025086249732</v>
      </c>
      <c r="AW80" s="23">
        <f>EXP(-LN(2)/2)*AW79+(1-EXP(-LN(2)/2))/(LN(2)/2)*AQ80*AT80*VLOOKUP('Données projet'!$B$10,Paramètres!$A$1:$I$89,3,0)*0.475*44/12</f>
        <v>3.6999091721098824E-2</v>
      </c>
      <c r="AX80" s="23">
        <f t="shared" si="60"/>
        <v>135.96940323497273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3.4106051316484809E-13</v>
      </c>
      <c r="BE80" s="14">
        <f>BD80*VLOOKUP('Données projet'!$B$11,Paramètres!$A$1:$I$89,3,0)*VLOOKUP('Données projet'!$B$11,Paramètres!$A$1:$I$89,5,0)</f>
        <v>1.6405010683229191E-13</v>
      </c>
      <c r="BF80" s="14">
        <f t="shared" si="91"/>
        <v>2.3265121008813928E-12</v>
      </c>
      <c r="BG80" s="22">
        <f t="shared" si="61"/>
        <v>4.337729178434667E-12</v>
      </c>
      <c r="BH80" s="62">
        <f t="shared" si="62"/>
        <v>269.51015922427661</v>
      </c>
      <c r="BI80" s="62">
        <f ca="1">AVERAGE(OFFSET($BH$3,0,0,'Données projet'!$E$11+1,1))-AVERAGE(OFFSET($H$3,0,0,'Données projet'!$E$11+1,1))</f>
        <v>405.94837980869011</v>
      </c>
      <c r="BJ80" s="62">
        <f t="shared" si="92"/>
        <v>511.37583835090879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213.52683213168385</v>
      </c>
      <c r="BQ80" s="23">
        <f>EXP(-LN(2)/25)*BQ79+(1-EXP(-LN(2)/25))/(LN(2)/25)*Calculateur!BL80*Calculateur!BN80*VLOOKUP('Données projet'!$B$11,Paramètres!$A$1:$I$89,3,0)*0.475*44/12</f>
        <v>13.705789462476412</v>
      </c>
      <c r="BR80" s="23">
        <f>EXP(-LN(2)/2)*BR79+(1-EXP(-LN(2)/2))/(LN(2)/2)*BL80*BO80*VLOOKUP('Données projet'!$B$11,Paramètres!$A$1:$I$89,3,0)*0.475*44/12</f>
        <v>6.6887541012024417E-5</v>
      </c>
      <c r="BS80" s="24">
        <f t="shared" si="63"/>
        <v>227.23268848170127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10.4</v>
      </c>
      <c r="BY80" s="13">
        <f>IF('Données projet'!$A$114&gt;35,BY79+BX80-CG79,IF(A80&lt;'Données projet'!$A$114,$BV$205^A80,IF(A80='Données projet'!$A$114,'Données projet'!$B$114,BY79+BX80-CG79)))</f>
        <v>392.79999999999995</v>
      </c>
      <c r="BZ80" s="14">
        <f>BY80*VLOOKUP('Données projet'!$B$12,Paramètres!$A$1:$I$89,3,0)*VLOOKUP('Données projet'!$B$12,Paramètres!$A$1:$I$89,5,0)</f>
        <v>337.0224</v>
      </c>
      <c r="CA80" s="14">
        <f t="shared" si="93"/>
        <v>78.884440823098231</v>
      </c>
      <c r="CB80" s="22">
        <f t="shared" si="64"/>
        <v>724.37108110022939</v>
      </c>
      <c r="CC80" s="62">
        <f t="shared" si="65"/>
        <v>993.88124032450173</v>
      </c>
      <c r="CD80" s="62">
        <f ca="1">AVERAGE(OFFSET($CC$3,0,0,'Données projet'!$E$12+1,1))-AVERAGE(OFFSET($H$3,0,0,'Données projet'!$E$12+1,1))</f>
        <v>590.18141384962507</v>
      </c>
      <c r="CE80" s="62">
        <f t="shared" si="94"/>
        <v>331.25104323342907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40.177095040429307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40.177095040429307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4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>
        <f>VLOOKUP(A81,'Données projet'!$A$35:$I$55,2,0)</f>
        <v>194</v>
      </c>
      <c r="L81" s="13">
        <f>VLOOKUP(A81,'Données projet'!$A$35:$I$55,9,0)</f>
        <v>5.9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194.00000000000011</v>
      </c>
      <c r="O81" s="14">
        <f>N81*VLOOKUP('Données projet'!$B$9,Paramètres!$A$1:$I$89,3,0)*VLOOKUP('Données projet'!$B$9,Paramètres!$A$1:$I$89,5,0)</f>
        <v>175.5312000000001</v>
      </c>
      <c r="P81" s="14">
        <f t="shared" si="87"/>
        <v>44.326510481422531</v>
      </c>
      <c r="Q81" s="22">
        <f t="shared" si="54"/>
        <v>382.91884575514445</v>
      </c>
      <c r="R81" s="62">
        <f t="shared" si="55"/>
        <v>652.84228378957073</v>
      </c>
      <c r="S81" s="62">
        <f ca="1">AVERAGE(OFFSET($R$3,0,0,'Données projet'!$E$9+1,1))-AVERAGE(OFFSET($H$3,0,0,'Données projet'!$E$9+1,1))</f>
        <v>432.80275651765203</v>
      </c>
      <c r="T81" s="62">
        <f t="shared" si="88"/>
        <v>203.89279893419919</v>
      </c>
      <c r="U81" s="16">
        <f>IF(ISNA(VLOOKUP(A81,'Données projet'!$A$35:$I$55,3,0)),0,VLOOKUP(A81,'Données projet'!$A$35:$I$55,3,0))</f>
        <v>4</v>
      </c>
      <c r="V81" s="16">
        <f>IF(ISNA(VLOOKUP(A81,'Données projet'!$A$35:$I$55,4,0)),0,VLOOKUP(A81,'Données projet'!$A$35:$I$55,4,0))</f>
        <v>32</v>
      </c>
      <c r="W81" s="17">
        <f>IF(ISNA(VLOOKUP(A81,'Données projet'!$A$35:$I$55,5,0)),0%,VLOOKUP(A81,'Données projet'!$A$35:$I$55,5,0)*VLOOKUP('Données projet'!$B$9,Paramètres!$A$1:$I$89,7,0))</f>
        <v>0.215</v>
      </c>
      <c r="X81" s="17">
        <f>IF(ISNA(VLOOKUP(A81,'Données projet'!$A$35:$I$55,6,0)),0%,VLOOKUP(A81,'Données projet'!$A$35:$I$55,6,0)*VLOOKUP('Données projet'!$B$9,Paramètres!$A$1:$I$89,7,0))</f>
        <v>0.17200000000000001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12.350370134469767</v>
      </c>
      <c r="AA81" s="23">
        <f>EXP(-LN(2)/25)*AA80+(1-EXP(-LN(2)/25))/(LN(2)/25)*Calculateur!V81*Calculateur!X81*VLOOKUP('Données projet'!$B$9,Paramètres!$A$1:$I$89,3,0)*0.475*44/12</f>
        <v>9.5095013313090675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21.859871465778834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1.9895196601282805E-13</v>
      </c>
      <c r="AJ81" s="14">
        <f>AI81*VLOOKUP('Données projet'!$B$10,Paramètres!$A$1:$I$89,3,0)*VLOOKUP('Données projet'!$B$10,Paramètres!$A$1:$I$89,5,0)</f>
        <v>1.738044375088066E-13</v>
      </c>
      <c r="AK81" s="14">
        <f t="shared" si="89"/>
        <v>2.4483293633950478E-12</v>
      </c>
      <c r="AL81" s="22">
        <f t="shared" si="58"/>
        <v>4.566883036574213E-12</v>
      </c>
      <c r="AM81" s="62">
        <f t="shared" si="59"/>
        <v>269.92343803443077</v>
      </c>
      <c r="AN81" s="62">
        <f ca="1">AVERAGE(OFFSET($AM$3,0,0,'Données projet'!$E$10+1,1))-AVERAGE(OFFSET($H$3,0,0,'Données projet'!$E$10+1,1))</f>
        <v>341.62910675299065</v>
      </c>
      <c r="AO81" s="62">
        <f t="shared" si="90"/>
        <v>407.15938341104709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88.251212768263926</v>
      </c>
      <c r="AV81" s="23">
        <f>EXP(-LN(2)/25)*AV80+(1-EXP(-LN(2)/25))/(LN(2)/25)*Calculateur!AQ81*Calculateur!AS81*VLOOKUP('Données projet'!$B$10,Paramètres!$A$1:$I$89,3,0)*0.475*44/12</f>
        <v>44.660448965647419</v>
      </c>
      <c r="AW81" s="23">
        <f>EXP(-LN(2)/2)*AW80+(1-EXP(-LN(2)/2))/(LN(2)/2)*AQ81*AT81*VLOOKUP('Données projet'!$B$10,Paramètres!$A$1:$I$89,3,0)*0.475*44/12</f>
        <v>2.6162308653732029E-2</v>
      </c>
      <c r="AX81" s="23">
        <f t="shared" si="60"/>
        <v>132.93782404256507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3.4106051316484809E-13</v>
      </c>
      <c r="BE81" s="14">
        <f>BD81*VLOOKUP('Données projet'!$B$11,Paramètres!$A$1:$I$89,3,0)*VLOOKUP('Données projet'!$B$11,Paramètres!$A$1:$I$89,5,0)</f>
        <v>1.6405010683229191E-13</v>
      </c>
      <c r="BF81" s="14">
        <f t="shared" si="91"/>
        <v>2.3265121008813928E-12</v>
      </c>
      <c r="BG81" s="22">
        <f t="shared" si="61"/>
        <v>4.337729178434667E-12</v>
      </c>
      <c r="BH81" s="62">
        <f t="shared" si="62"/>
        <v>269.92343803443055</v>
      </c>
      <c r="BI81" s="62">
        <f ca="1">AVERAGE(OFFSET($BH$3,0,0,'Données projet'!$E$11+1,1))-AVERAGE(OFFSET($H$3,0,0,'Données projet'!$E$11+1,1))</f>
        <v>405.94837980869011</v>
      </c>
      <c r="BJ81" s="62">
        <f t="shared" si="92"/>
        <v>511.37583835090879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209.33970119208914</v>
      </c>
      <c r="BQ81" s="23">
        <f>EXP(-LN(2)/25)*BQ80+(1-EXP(-LN(2)/25))/(LN(2)/25)*Calculateur!BL81*Calculateur!BN81*VLOOKUP('Données projet'!$B$11,Paramètres!$A$1:$I$89,3,0)*0.475*44/12</f>
        <v>13.331003928868851</v>
      </c>
      <c r="BR81" s="23">
        <f>EXP(-LN(2)/2)*BR80+(1-EXP(-LN(2)/2))/(LN(2)/2)*BL81*BO81*VLOOKUP('Données projet'!$B$11,Paramètres!$A$1:$I$89,3,0)*0.475*44/12</f>
        <v>4.7296633826495774E-5</v>
      </c>
      <c r="BS81" s="24">
        <f t="shared" si="63"/>
        <v>222.67075241759181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10.4</v>
      </c>
      <c r="BY81" s="13">
        <f>IF('Données projet'!$A$114&gt;35,BY80+BX81-CG80,IF(A81&lt;'Données projet'!$A$114,$BV$205^A81,IF(A81='Données projet'!$A$114,'Données projet'!$B$114,BY80+BX81-CG80)))</f>
        <v>403.19999999999993</v>
      </c>
      <c r="BZ81" s="14">
        <f>BY81*VLOOKUP('Données projet'!$B$12,Paramètres!$A$1:$I$89,3,0)*VLOOKUP('Données projet'!$B$12,Paramètres!$A$1:$I$89,5,0)</f>
        <v>345.94560000000001</v>
      </c>
      <c r="CA81" s="14">
        <f t="shared" si="93"/>
        <v>80.727102887907222</v>
      </c>
      <c r="CB81" s="22">
        <f t="shared" si="64"/>
        <v>743.12162419643846</v>
      </c>
      <c r="CC81" s="62">
        <f t="shared" si="65"/>
        <v>1013.0450622308647</v>
      </c>
      <c r="CD81" s="62">
        <f ca="1">AVERAGE(OFFSET($CC$3,0,0,'Données projet'!$E$12+1,1))-AVERAGE(OFFSET($H$3,0,0,'Données projet'!$E$12+1,1))</f>
        <v>590.18141384962507</v>
      </c>
      <c r="CE81" s="62">
        <f t="shared" si="94"/>
        <v>331.25104323342907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39.389246712294735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39.389246712294735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4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5.7</v>
      </c>
      <c r="N82" s="14">
        <f>IF('Données projet'!$A$36&gt;35,N81+M82-V81,IF(A82&lt;'Données projet'!$A$36,$K$205^A82,IF(A82='Données projet'!$A$36,'Données projet'!$B$36,N81+M82-V81)))</f>
        <v>167.7000000000001</v>
      </c>
      <c r="O82" s="14">
        <f>N82*VLOOKUP('Données projet'!$B$9,Paramètres!$A$1:$I$89,3,0)*VLOOKUP('Données projet'!$B$9,Paramètres!$A$1:$I$89,5,0)</f>
        <v>151.73496000000009</v>
      </c>
      <c r="P82" s="14">
        <f t="shared" si="87"/>
        <v>38.972597229458756</v>
      </c>
      <c r="Q82" s="22">
        <f t="shared" si="54"/>
        <v>332.14899550797418</v>
      </c>
      <c r="R82" s="62">
        <f t="shared" si="55"/>
        <v>602.47854288915119</v>
      </c>
      <c r="S82" s="62">
        <f ca="1">AVERAGE(OFFSET($R$3,0,0,'Données projet'!$E$9+1,1))-AVERAGE(OFFSET($H$3,0,0,'Données projet'!$E$9+1,1))</f>
        <v>432.80275651765203</v>
      </c>
      <c r="T82" s="62">
        <f t="shared" si="88"/>
        <v>203.89279893419919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12.108186909114776</v>
      </c>
      <c r="AA82" s="23">
        <f>EXP(-LN(2)/25)*AA81+(1-EXP(-LN(2)/25))/(LN(2)/25)*Calculateur!V82*Calculateur!X82*VLOOKUP('Données projet'!$B$9,Paramètres!$A$1:$I$89,3,0)*0.475*44/12</f>
        <v>9.2494635173214803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21.357650426436258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1.9895196601282805E-13</v>
      </c>
      <c r="AJ82" s="14">
        <f>AI82*VLOOKUP('Données projet'!$B$10,Paramètres!$A$1:$I$89,3,0)*VLOOKUP('Données projet'!$B$10,Paramètres!$A$1:$I$89,5,0)</f>
        <v>1.738044375088066E-13</v>
      </c>
      <c r="AK82" s="14">
        <f t="shared" si="89"/>
        <v>2.4483293633950478E-12</v>
      </c>
      <c r="AL82" s="22">
        <f t="shared" si="58"/>
        <v>4.566883036574213E-12</v>
      </c>
      <c r="AM82" s="62">
        <f t="shared" si="59"/>
        <v>270.3295473811815</v>
      </c>
      <c r="AN82" s="62">
        <f ca="1">AVERAGE(OFFSET($AM$3,0,0,'Données projet'!$E$10+1,1))-AVERAGE(OFFSET($H$3,0,0,'Données projet'!$E$10+1,1))</f>
        <v>341.62910675299065</v>
      </c>
      <c r="AO82" s="62">
        <f t="shared" si="90"/>
        <v>407.15938341104709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86.520660313802992</v>
      </c>
      <c r="AV82" s="23">
        <f>EXP(-LN(2)/25)*AV81+(1-EXP(-LN(2)/25))/(LN(2)/25)*Calculateur!AQ82*Calculateur!AS82*VLOOKUP('Données projet'!$B$10,Paramètres!$A$1:$I$89,3,0)*0.475*44/12</f>
        <v>43.439206640090852</v>
      </c>
      <c r="AW82" s="23">
        <f>EXP(-LN(2)/2)*AW81+(1-EXP(-LN(2)/2))/(LN(2)/2)*AQ82*AT82*VLOOKUP('Données projet'!$B$10,Paramètres!$A$1:$I$89,3,0)*0.475*44/12</f>
        <v>1.8499545860549412E-2</v>
      </c>
      <c r="AX82" s="23">
        <f t="shared" si="60"/>
        <v>129.9783664997544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3.4106051316484809E-13</v>
      </c>
      <c r="BE82" s="14">
        <f>BD82*VLOOKUP('Données projet'!$B$11,Paramètres!$A$1:$I$89,3,0)*VLOOKUP('Données projet'!$B$11,Paramètres!$A$1:$I$89,5,0)</f>
        <v>1.6405010683229191E-13</v>
      </c>
      <c r="BF82" s="14">
        <f t="shared" si="91"/>
        <v>2.3265121008813928E-12</v>
      </c>
      <c r="BG82" s="22">
        <f t="shared" si="61"/>
        <v>4.337729178434667E-12</v>
      </c>
      <c r="BH82" s="62">
        <f t="shared" si="62"/>
        <v>270.32954738118127</v>
      </c>
      <c r="BI82" s="62">
        <f ca="1">AVERAGE(OFFSET($BH$3,0,0,'Données projet'!$E$11+1,1))-AVERAGE(OFFSET($H$3,0,0,'Données projet'!$E$11+1,1))</f>
        <v>405.94837980869011</v>
      </c>
      <c r="BJ82" s="62">
        <f t="shared" si="92"/>
        <v>511.37583835090879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205.23467733632219</v>
      </c>
      <c r="BQ82" s="23">
        <f>EXP(-LN(2)/25)*BQ81+(1-EXP(-LN(2)/25))/(LN(2)/25)*Calculateur!BL82*Calculateur!BN82*VLOOKUP('Données projet'!$B$11,Paramètres!$A$1:$I$89,3,0)*0.475*44/12</f>
        <v>12.966466925386904</v>
      </c>
      <c r="BR82" s="23">
        <f>EXP(-LN(2)/2)*BR81+(1-EXP(-LN(2)/2))/(LN(2)/2)*BL82*BO82*VLOOKUP('Données projet'!$B$11,Paramètres!$A$1:$I$89,3,0)*0.475*44/12</f>
        <v>3.3443770506012209E-5</v>
      </c>
      <c r="BS82" s="24">
        <f t="shared" si="63"/>
        <v>218.20117770547961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10.4</v>
      </c>
      <c r="BY82" s="13">
        <f>IF('Données projet'!$A$114&gt;35,BY81+BX82-CG81,IF(A82&lt;'Données projet'!$A$114,$BV$205^A82,IF(A82='Données projet'!$A$114,'Données projet'!$B$114,BY81+BX82-CG81)))</f>
        <v>413.59999999999991</v>
      </c>
      <c r="BZ82" s="14">
        <f>BY82*VLOOKUP('Données projet'!$B$12,Paramètres!$A$1:$I$89,3,0)*VLOOKUP('Données projet'!$B$12,Paramètres!$A$1:$I$89,5,0)</f>
        <v>354.86879999999996</v>
      </c>
      <c r="CA82" s="14">
        <f t="shared" si="93"/>
        <v>82.564240228675203</v>
      </c>
      <c r="CB82" s="22">
        <f t="shared" si="64"/>
        <v>761.86254506494254</v>
      </c>
      <c r="CC82" s="62">
        <f t="shared" si="65"/>
        <v>1032.1920924461194</v>
      </c>
      <c r="CD82" s="62">
        <f ca="1">AVERAGE(OFFSET($CC$3,0,0,'Données projet'!$E$12+1,1))-AVERAGE(OFFSET($H$3,0,0,'Données projet'!$E$12+1,1))</f>
        <v>590.18141384962507</v>
      </c>
      <c r="CE82" s="62">
        <f t="shared" si="94"/>
        <v>331.25104323342907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38.616847609334854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38.616847609334854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4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5.7</v>
      </c>
      <c r="N83" s="14">
        <f>IF('Données projet'!$A$36&gt;35,N82+M83-V82,IF(A83&lt;'Données projet'!$A$36,$K$205^A83,IF(A83='Données projet'!$A$36,'Données projet'!$B$36,N82+M83-V82)))</f>
        <v>173.40000000000009</v>
      </c>
      <c r="O83" s="14">
        <f>N83*VLOOKUP('Données projet'!$B$9,Paramètres!$A$1:$I$89,3,0)*VLOOKUP('Données projet'!$B$9,Paramètres!$A$1:$I$89,5,0)</f>
        <v>156.89232000000007</v>
      </c>
      <c r="P83" s="14">
        <f t="shared" si="87"/>
        <v>40.140771359113288</v>
      </c>
      <c r="Q83" s="22">
        <f t="shared" si="54"/>
        <v>343.16596745045581</v>
      </c>
      <c r="R83" s="62">
        <f t="shared" si="55"/>
        <v>613.89457908914187</v>
      </c>
      <c r="S83" s="62">
        <f ca="1">AVERAGE(OFFSET($R$3,0,0,'Données projet'!$E$9+1,1))-AVERAGE(OFFSET($H$3,0,0,'Données projet'!$E$9+1,1))</f>
        <v>432.80275651765203</v>
      </c>
      <c r="T83" s="62">
        <f t="shared" si="88"/>
        <v>203.89279893419919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11.870752749091816</v>
      </c>
      <c r="AA83" s="23">
        <f>EXP(-LN(2)/25)*AA82+(1-EXP(-LN(2)/25))/(LN(2)/25)*Calculateur!V83*Calculateur!X83*VLOOKUP('Données projet'!$B$9,Paramètres!$A$1:$I$89,3,0)*0.475*44/12</f>
        <v>8.9965364510321777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20.867289200123992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1.9895196601282805E-13</v>
      </c>
      <c r="AJ83" s="14">
        <f>AI83*VLOOKUP('Données projet'!$B$10,Paramètres!$A$1:$I$89,3,0)*VLOOKUP('Données projet'!$B$10,Paramètres!$A$1:$I$89,5,0)</f>
        <v>1.738044375088066E-13</v>
      </c>
      <c r="AK83" s="14">
        <f t="shared" si="89"/>
        <v>2.4483293633950478E-12</v>
      </c>
      <c r="AL83" s="22">
        <f t="shared" si="58"/>
        <v>4.566883036574213E-12</v>
      </c>
      <c r="AM83" s="62">
        <f t="shared" si="59"/>
        <v>270.72861163869067</v>
      </c>
      <c r="AN83" s="62">
        <f ca="1">AVERAGE(OFFSET($AM$3,0,0,'Données projet'!$E$10+1,1))-AVERAGE(OFFSET($H$3,0,0,'Données projet'!$E$10+1,1))</f>
        <v>341.62910675299065</v>
      </c>
      <c r="AO83" s="62">
        <f t="shared" si="90"/>
        <v>407.15938341104709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84.824042937441263</v>
      </c>
      <c r="AV83" s="23">
        <f>EXP(-LN(2)/25)*AV82+(1-EXP(-LN(2)/25))/(LN(2)/25)*Calculateur!AQ83*Calculateur!AS83*VLOOKUP('Données projet'!$B$10,Paramètres!$A$1:$I$89,3,0)*0.475*44/12</f>
        <v>42.251359250148973</v>
      </c>
      <c r="AW83" s="23">
        <f>EXP(-LN(2)/2)*AW82+(1-EXP(-LN(2)/2))/(LN(2)/2)*AQ83*AT83*VLOOKUP('Données projet'!$B$10,Paramètres!$A$1:$I$89,3,0)*0.475*44/12</f>
        <v>1.3081154326866015E-2</v>
      </c>
      <c r="AX83" s="23">
        <f t="shared" si="60"/>
        <v>127.08848334191711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3.4106051316484809E-13</v>
      </c>
      <c r="BE83" s="14">
        <f>BD83*VLOOKUP('Données projet'!$B$11,Paramètres!$A$1:$I$89,3,0)*VLOOKUP('Données projet'!$B$11,Paramètres!$A$1:$I$89,5,0)</f>
        <v>1.6405010683229191E-13</v>
      </c>
      <c r="BF83" s="14">
        <f t="shared" si="91"/>
        <v>2.3265121008813928E-12</v>
      </c>
      <c r="BG83" s="22">
        <f t="shared" si="61"/>
        <v>4.337729178434667E-12</v>
      </c>
      <c r="BH83" s="62">
        <f t="shared" si="62"/>
        <v>270.72861163869044</v>
      </c>
      <c r="BI83" s="62">
        <f ca="1">AVERAGE(OFFSET($BH$3,0,0,'Données projet'!$E$11+1,1))-AVERAGE(OFFSET($H$3,0,0,'Données projet'!$E$11+1,1))</f>
        <v>405.94837980869011</v>
      </c>
      <c r="BJ83" s="62">
        <f t="shared" si="92"/>
        <v>511.37583835090879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201.21015049454951</v>
      </c>
      <c r="BQ83" s="23">
        <f>EXP(-LN(2)/25)*BQ82+(1-EXP(-LN(2)/25))/(LN(2)/25)*Calculateur!BL83*Calculateur!BN83*VLOOKUP('Données projet'!$B$11,Paramètres!$A$1:$I$89,3,0)*0.475*44/12</f>
        <v>12.611898205435338</v>
      </c>
      <c r="BR83" s="23">
        <f>EXP(-LN(2)/2)*BR82+(1-EXP(-LN(2)/2))/(LN(2)/2)*BL83*BO83*VLOOKUP('Données projet'!$B$11,Paramètres!$A$1:$I$89,3,0)*0.475*44/12</f>
        <v>2.3648316913247887E-5</v>
      </c>
      <c r="BS83" s="24">
        <f t="shared" si="63"/>
        <v>213.82207234830179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424</v>
      </c>
      <c r="BW83" s="13">
        <f>VLOOKUP(A83,'Données projet'!$A$113:$I$133,9,0)</f>
        <v>10.4</v>
      </c>
      <c r="BX83" s="13">
        <f t="array" ref="BX83">INDEX(BW:BW,MIN(IF(ISNUMBER(BW83:BW279),ROW(BW83:BW279),"")))</f>
        <v>10.4</v>
      </c>
      <c r="BY83" s="13">
        <f>IF('Données projet'!$A$114&gt;35,BY82+BX83-CG82,IF(A83&lt;'Données projet'!$A$114,$BV$205^A83,IF(A83='Données projet'!$A$114,'Données projet'!$B$114,BY82+BX83-CG82)))</f>
        <v>423.99999999999989</v>
      </c>
      <c r="BZ83" s="14">
        <f>BY83*VLOOKUP('Données projet'!$B$12,Paramètres!$A$1:$I$89,3,0)*VLOOKUP('Données projet'!$B$12,Paramètres!$A$1:$I$89,5,0)</f>
        <v>363.79199999999997</v>
      </c>
      <c r="CA83" s="14">
        <f t="shared" si="93"/>
        <v>84.396007741478684</v>
      </c>
      <c r="CB83" s="22">
        <f t="shared" si="64"/>
        <v>780.59411348307538</v>
      </c>
      <c r="CC83" s="62">
        <f t="shared" si="65"/>
        <v>1051.3227251217616</v>
      </c>
      <c r="CD83" s="62">
        <f ca="1">AVERAGE(OFFSET($CC$3,0,0,'Données projet'!$E$12+1,1))-AVERAGE(OFFSET($H$3,0,0,'Données projet'!$E$12+1,1))</f>
        <v>590.18141384962507</v>
      </c>
      <c r="CE83" s="62">
        <f t="shared" si="94"/>
        <v>331.25104323342907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34</v>
      </c>
      <c r="CH83" s="17">
        <f>IF(ISNA(VLOOKUP(A83,'Données projet'!$A$113:$I$133,5,0)),0%,VLOOKUP(A83,'Données projet'!$A$113:$I$133,5,0)*VLOOKUP('Données projet'!$B$12,Paramètres!$A$1:$I$89,7,0))</f>
        <v>0.26500000000000001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46.405521988276909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46.405521988276909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4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5.7</v>
      </c>
      <c r="N84" s="14">
        <f>IF('Données projet'!$A$36&gt;35,N83+M84-V83,IF(A84&lt;'Données projet'!$A$36,$K$205^A84,IF(A84='Données projet'!$A$36,'Données projet'!$B$36,N83+M84-V83)))</f>
        <v>179.10000000000008</v>
      </c>
      <c r="O84" s="14">
        <f>N84*VLOOKUP('Données projet'!$B$9,Paramètres!$A$1:$I$89,3,0)*VLOOKUP('Données projet'!$B$9,Paramètres!$A$1:$I$89,5,0)</f>
        <v>162.04968000000008</v>
      </c>
      <c r="P84" s="14">
        <f t="shared" si="87"/>
        <v>41.304483398422938</v>
      </c>
      <c r="Q84" s="22">
        <f t="shared" si="54"/>
        <v>354.17516791892012</v>
      </c>
      <c r="R84" s="62">
        <f t="shared" si="55"/>
        <v>625.29592094242162</v>
      </c>
      <c r="S84" s="62">
        <f ca="1">AVERAGE(OFFSET($R$3,0,0,'Données projet'!$E$9+1,1))-AVERAGE(OFFSET($H$3,0,0,'Données projet'!$E$9+1,1))</f>
        <v>432.80275651765203</v>
      </c>
      <c r="T84" s="62">
        <f t="shared" si="88"/>
        <v>203.89279893419919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11.637974528126367</v>
      </c>
      <c r="AA84" s="23">
        <f>EXP(-LN(2)/25)*AA83+(1-EXP(-LN(2)/25))/(LN(2)/25)*Calculateur!V84*Calculateur!X84*VLOOKUP('Données projet'!$B$9,Paramètres!$A$1:$I$89,3,0)*0.475*44/12</f>
        <v>8.7505256886714129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20.38850021679778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1.9895196601282805E-13</v>
      </c>
      <c r="AJ84" s="14">
        <f>AI84*VLOOKUP('Données projet'!$B$10,Paramètres!$A$1:$I$89,3,0)*VLOOKUP('Données projet'!$B$10,Paramètres!$A$1:$I$89,5,0)</f>
        <v>1.738044375088066E-13</v>
      </c>
      <c r="AK84" s="14">
        <f t="shared" si="89"/>
        <v>2.4483293633950478E-12</v>
      </c>
      <c r="AL84" s="22">
        <f t="shared" si="58"/>
        <v>4.566883036574213E-12</v>
      </c>
      <c r="AM84" s="62">
        <f t="shared" si="59"/>
        <v>271.12075302350598</v>
      </c>
      <c r="AN84" s="62">
        <f ca="1">AVERAGE(OFFSET($AM$3,0,0,'Données projet'!$E$10+1,1))-AVERAGE(OFFSET($H$3,0,0,'Données projet'!$E$10+1,1))</f>
        <v>341.62910675299065</v>
      </c>
      <c r="AO84" s="62">
        <f t="shared" si="90"/>
        <v>407.15938341104709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83.160695192995576</v>
      </c>
      <c r="AV84" s="23">
        <f>EXP(-LN(2)/25)*AV83+(1-EXP(-LN(2)/25))/(LN(2)/25)*Calculateur!AQ84*Calculateur!AS84*VLOOKUP('Données projet'!$B$10,Paramètres!$A$1:$I$89,3,0)*0.475*44/12</f>
        <v>41.095993609551236</v>
      </c>
      <c r="AW84" s="23">
        <f>EXP(-LN(2)/2)*AW83+(1-EXP(-LN(2)/2))/(LN(2)/2)*AQ84*AT84*VLOOKUP('Données projet'!$B$10,Paramètres!$A$1:$I$89,3,0)*0.475*44/12</f>
        <v>9.2497729302747061E-3</v>
      </c>
      <c r="AX84" s="23">
        <f t="shared" si="60"/>
        <v>124.26593857547709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3.4106051316484809E-13</v>
      </c>
      <c r="BE84" s="14">
        <f>BD84*VLOOKUP('Données projet'!$B$11,Paramètres!$A$1:$I$89,3,0)*VLOOKUP('Données projet'!$B$11,Paramètres!$A$1:$I$89,5,0)</f>
        <v>1.6405010683229191E-13</v>
      </c>
      <c r="BF84" s="14">
        <f t="shared" si="91"/>
        <v>2.3265121008813928E-12</v>
      </c>
      <c r="BG84" s="22">
        <f t="shared" si="61"/>
        <v>4.337729178434667E-12</v>
      </c>
      <c r="BH84" s="62">
        <f t="shared" si="62"/>
        <v>271.12075302350576</v>
      </c>
      <c r="BI84" s="62">
        <f ca="1">AVERAGE(OFFSET($BH$3,0,0,'Données projet'!$E$11+1,1))-AVERAGE(OFFSET($H$3,0,0,'Données projet'!$E$11+1,1))</f>
        <v>405.94837980869011</v>
      </c>
      <c r="BJ84" s="62">
        <f t="shared" si="92"/>
        <v>511.37583835090879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197.264542169425</v>
      </c>
      <c r="BQ84" s="23">
        <f>EXP(-LN(2)/25)*BQ83+(1-EXP(-LN(2)/25))/(LN(2)/25)*Calculateur!BL84*Calculateur!BN84*VLOOKUP('Données projet'!$B$11,Paramètres!$A$1:$I$89,3,0)*0.475*44/12</f>
        <v>12.267025185776808</v>
      </c>
      <c r="BR84" s="23">
        <f>EXP(-LN(2)/2)*BR83+(1-EXP(-LN(2)/2))/(LN(2)/2)*BL84*BO84*VLOOKUP('Données projet'!$B$11,Paramètres!$A$1:$I$89,3,0)*0.475*44/12</f>
        <v>1.6721885253006104E-5</v>
      </c>
      <c r="BS84" s="24">
        <f t="shared" si="63"/>
        <v>209.53158407708708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9.6</v>
      </c>
      <c r="BY84" s="13">
        <f>IF('Données projet'!$A$114&gt;35,BY83+BX84-CG83,IF(A84&lt;'Données projet'!$A$114,$BV$205^A84,IF(A84='Données projet'!$A$114,'Données projet'!$B$114,BY83+BX84-CG83)))</f>
        <v>399.59999999999991</v>
      </c>
      <c r="BZ84" s="14">
        <f>BY84*VLOOKUP('Données projet'!$B$12,Paramètres!$A$1:$I$89,3,0)*VLOOKUP('Données projet'!$B$12,Paramètres!$A$1:$I$89,5,0)</f>
        <v>342.85679999999996</v>
      </c>
      <c r="CA84" s="14">
        <f t="shared" si="93"/>
        <v>80.089891653777826</v>
      </c>
      <c r="CB84" s="22">
        <f t="shared" si="64"/>
        <v>736.63215463032964</v>
      </c>
      <c r="CC84" s="62">
        <f t="shared" si="65"/>
        <v>1007.752907653831</v>
      </c>
      <c r="CD84" s="62">
        <f ca="1">AVERAGE(OFFSET($CC$3,0,0,'Données projet'!$E$12+1,1))-AVERAGE(OFFSET($H$3,0,0,'Données projet'!$E$12+1,1))</f>
        <v>590.18141384962507</v>
      </c>
      <c r="CE84" s="62">
        <f t="shared" si="94"/>
        <v>331.25104323342907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45.495538006660368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45.495538006660368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4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5.7</v>
      </c>
      <c r="N85" s="14">
        <f>IF('Données projet'!$A$36&gt;35,N84+M85-V84,IF(A85&lt;'Données projet'!$A$36,$K$205^A85,IF(A85='Données projet'!$A$36,'Données projet'!$B$36,N84+M85-V84)))</f>
        <v>184.80000000000007</v>
      </c>
      <c r="O85" s="14">
        <f>N85*VLOOKUP('Données projet'!$B$9,Paramètres!$A$1:$I$89,3,0)*VLOOKUP('Données projet'!$B$9,Paramètres!$A$1:$I$89,5,0)</f>
        <v>167.20704000000003</v>
      </c>
      <c r="P85" s="14">
        <f t="shared" si="87"/>
        <v>42.463891647822834</v>
      </c>
      <c r="Q85" s="22">
        <f t="shared" si="54"/>
        <v>365.17687261995815</v>
      </c>
      <c r="R85" s="62">
        <f t="shared" si="55"/>
        <v>636.68296425194512</v>
      </c>
      <c r="S85" s="62">
        <f ca="1">AVERAGE(OFFSET($R$3,0,0,'Données projet'!$E$9+1,1))-AVERAGE(OFFSET($H$3,0,0,'Données projet'!$E$9+1,1))</f>
        <v>432.80275651765203</v>
      </c>
      <c r="T85" s="62">
        <f t="shared" si="88"/>
        <v>203.89279893419919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11.409760946093357</v>
      </c>
      <c r="AA85" s="23">
        <f>EXP(-LN(2)/25)*AA84+(1-EXP(-LN(2)/25))/(LN(2)/25)*Calculateur!V85*Calculateur!X85*VLOOKUP('Données projet'!$B$9,Paramètres!$A$1:$I$89,3,0)*0.475*44/12</f>
        <v>8.5112421035445465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19.921003049637903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1.9895196601282805E-13</v>
      </c>
      <c r="AJ85" s="14">
        <f>AI85*VLOOKUP('Données projet'!$B$10,Paramètres!$A$1:$I$89,3,0)*VLOOKUP('Données projet'!$B$10,Paramètres!$A$1:$I$89,5,0)</f>
        <v>1.738044375088066E-13</v>
      </c>
      <c r="AK85" s="14">
        <f t="shared" si="89"/>
        <v>2.4483293633950478E-12</v>
      </c>
      <c r="AL85" s="22">
        <f t="shared" si="58"/>
        <v>4.566883036574213E-12</v>
      </c>
      <c r="AM85" s="62">
        <f t="shared" si="59"/>
        <v>271.50609163199158</v>
      </c>
      <c r="AN85" s="62">
        <f ca="1">AVERAGE(OFFSET($AM$3,0,0,'Données projet'!$E$10+1,1))-AVERAGE(OFFSET($H$3,0,0,'Données projet'!$E$10+1,1))</f>
        <v>341.62910675299065</v>
      </c>
      <c r="AO85" s="62">
        <f t="shared" si="90"/>
        <v>407.15938341104709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81.529964683276518</v>
      </c>
      <c r="AV85" s="23">
        <f>EXP(-LN(2)/25)*AV84+(1-EXP(-LN(2)/25))/(LN(2)/25)*Calculateur!AQ85*Calculateur!AS85*VLOOKUP('Données projet'!$B$10,Paramètres!$A$1:$I$89,3,0)*0.475*44/12</f>
        <v>39.972221503153683</v>
      </c>
      <c r="AW85" s="23">
        <f>EXP(-LN(2)/2)*AW84+(1-EXP(-LN(2)/2))/(LN(2)/2)*AQ85*AT85*VLOOKUP('Données projet'!$B$10,Paramètres!$A$1:$I$89,3,0)*0.475*44/12</f>
        <v>6.5405771634330073E-3</v>
      </c>
      <c r="AX85" s="23">
        <f t="shared" si="60"/>
        <v>121.50872676359364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3.4106051316484809E-13</v>
      </c>
      <c r="BE85" s="14">
        <f>BD85*VLOOKUP('Données projet'!$B$11,Paramètres!$A$1:$I$89,3,0)*VLOOKUP('Données projet'!$B$11,Paramètres!$A$1:$I$89,5,0)</f>
        <v>1.6405010683229191E-13</v>
      </c>
      <c r="BF85" s="14">
        <f t="shared" si="91"/>
        <v>2.3265121008813928E-12</v>
      </c>
      <c r="BG85" s="22">
        <f t="shared" si="61"/>
        <v>4.337729178434667E-12</v>
      </c>
      <c r="BH85" s="62">
        <f t="shared" si="62"/>
        <v>271.50609163199135</v>
      </c>
      <c r="BI85" s="62">
        <f ca="1">AVERAGE(OFFSET($BH$3,0,0,'Données projet'!$E$11+1,1))-AVERAGE(OFFSET($H$3,0,0,'Données projet'!$E$11+1,1))</f>
        <v>405.94837980869011</v>
      </c>
      <c r="BJ85" s="62">
        <f t="shared" si="92"/>
        <v>511.37583835090879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193.39630481697273</v>
      </c>
      <c r="BQ85" s="23">
        <f>EXP(-LN(2)/25)*BQ84+(1-EXP(-LN(2)/25))/(LN(2)/25)*Calculateur!BL85*Calculateur!BN85*VLOOKUP('Données projet'!$B$11,Paramètres!$A$1:$I$89,3,0)*0.475*44/12</f>
        <v>11.931582736976923</v>
      </c>
      <c r="BR85" s="23">
        <f>EXP(-LN(2)/2)*BR84+(1-EXP(-LN(2)/2))/(LN(2)/2)*BL85*BO85*VLOOKUP('Données projet'!$B$11,Paramètres!$A$1:$I$89,3,0)*0.475*44/12</f>
        <v>1.1824158456623943E-5</v>
      </c>
      <c r="BS85" s="24">
        <f t="shared" si="63"/>
        <v>205.32789937810813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9.6</v>
      </c>
      <c r="BY85" s="13">
        <f>IF('Données projet'!$A$114&gt;35,BY84+BX85-CG84,IF(A85&lt;'Données projet'!$A$114,$BV$205^A85,IF(A85='Données projet'!$A$114,'Données projet'!$B$114,BY84+BX85-CG84)))</f>
        <v>409.19999999999993</v>
      </c>
      <c r="BZ85" s="14">
        <f>BY85*VLOOKUP('Données projet'!$B$12,Paramètres!$A$1:$I$89,3,0)*VLOOKUP('Données projet'!$B$12,Paramètres!$A$1:$I$89,5,0)</f>
        <v>351.09359999999998</v>
      </c>
      <c r="CA85" s="14">
        <f t="shared" si="93"/>
        <v>81.787653933539033</v>
      </c>
      <c r="CB85" s="22">
        <f t="shared" si="64"/>
        <v>753.93485060091371</v>
      </c>
      <c r="CC85" s="62">
        <f t="shared" si="65"/>
        <v>1025.4409422329009</v>
      </c>
      <c r="CD85" s="62">
        <f ca="1">AVERAGE(OFFSET($CC$3,0,0,'Données projet'!$E$12+1,1))-AVERAGE(OFFSET($H$3,0,0,'Données projet'!$E$12+1,1))</f>
        <v>590.18141384962507</v>
      </c>
      <c r="CE85" s="62">
        <f t="shared" si="94"/>
        <v>331.25104323342907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44.603398255887903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44.603398255887903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4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5.7</v>
      </c>
      <c r="N86" s="14">
        <f>IF('Données projet'!$A$36&gt;35,N85+M86-V85,IF(A86&lt;'Données projet'!$A$36,$K$205^A86,IF(A86='Données projet'!$A$36,'Données projet'!$B$36,N85+M86-V85)))</f>
        <v>190.50000000000006</v>
      </c>
      <c r="O86" s="14">
        <f>N86*VLOOKUP('Données projet'!$B$9,Paramètres!$A$1:$I$89,3,0)*VLOOKUP('Données projet'!$B$9,Paramètres!$A$1:$I$89,5,0)</f>
        <v>172.36440000000005</v>
      </c>
      <c r="P86" s="14">
        <f t="shared" si="87"/>
        <v>43.619144087686877</v>
      </c>
      <c r="Q86" s="22">
        <f t="shared" si="54"/>
        <v>376.17133928605472</v>
      </c>
      <c r="R86" s="62">
        <f t="shared" si="55"/>
        <v>648.0560847631582</v>
      </c>
      <c r="S86" s="62">
        <f ca="1">AVERAGE(OFFSET($R$3,0,0,'Données projet'!$E$9+1,1))-AVERAGE(OFFSET($H$3,0,0,'Données projet'!$E$9+1,1))</f>
        <v>432.80275651765203</v>
      </c>
      <c r="T86" s="62">
        <f t="shared" si="88"/>
        <v>203.89279893419919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11.186022493207473</v>
      </c>
      <c r="AA86" s="23">
        <f>EXP(-LN(2)/25)*AA85+(1-EXP(-LN(2)/25))/(LN(2)/25)*Calculateur!V86*Calculateur!X86*VLOOKUP('Données projet'!$B$9,Paramètres!$A$1:$I$89,3,0)*0.475*44/12</f>
        <v>8.2785017406363508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19.464524233843825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1.9895196601282805E-13</v>
      </c>
      <c r="AJ86" s="14">
        <f>AI86*VLOOKUP('Données projet'!$B$10,Paramètres!$A$1:$I$89,3,0)*VLOOKUP('Données projet'!$B$10,Paramètres!$A$1:$I$89,5,0)</f>
        <v>1.738044375088066E-13</v>
      </c>
      <c r="AK86" s="14">
        <f t="shared" si="89"/>
        <v>2.4483293633950478E-12</v>
      </c>
      <c r="AL86" s="22">
        <f t="shared" si="58"/>
        <v>4.566883036574213E-12</v>
      </c>
      <c r="AM86" s="62">
        <f t="shared" si="59"/>
        <v>271.88474547710803</v>
      </c>
      <c r="AN86" s="62">
        <f ca="1">AVERAGE(OFFSET($AM$3,0,0,'Données projet'!$E$10+1,1))-AVERAGE(OFFSET($H$3,0,0,'Données projet'!$E$10+1,1))</f>
        <v>341.62910675299065</v>
      </c>
      <c r="AO86" s="62">
        <f t="shared" si="90"/>
        <v>407.15938341104709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79.93121180420566</v>
      </c>
      <c r="AV86" s="23">
        <f>EXP(-LN(2)/25)*AV85+(1-EXP(-LN(2)/25))/(LN(2)/25)*Calculateur!AQ86*Calculateur!AS86*VLOOKUP('Données projet'!$B$10,Paramètres!$A$1:$I$89,3,0)*0.475*44/12</f>
        <v>38.879179004102177</v>
      </c>
      <c r="AW86" s="23">
        <f>EXP(-LN(2)/2)*AW85+(1-EXP(-LN(2)/2))/(LN(2)/2)*AQ86*AT86*VLOOKUP('Données projet'!$B$10,Paramètres!$A$1:$I$89,3,0)*0.475*44/12</f>
        <v>4.624886465137353E-3</v>
      </c>
      <c r="AX86" s="23">
        <f t="shared" si="60"/>
        <v>118.81501569477297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3.4106051316484809E-13</v>
      </c>
      <c r="BE86" s="14">
        <f>BD86*VLOOKUP('Données projet'!$B$11,Paramètres!$A$1:$I$89,3,0)*VLOOKUP('Données projet'!$B$11,Paramètres!$A$1:$I$89,5,0)</f>
        <v>1.6405010683229191E-13</v>
      </c>
      <c r="BF86" s="14">
        <f t="shared" si="91"/>
        <v>2.3265121008813928E-12</v>
      </c>
      <c r="BG86" s="22">
        <f t="shared" si="61"/>
        <v>4.337729178434667E-12</v>
      </c>
      <c r="BH86" s="62">
        <f t="shared" si="62"/>
        <v>271.8847454771078</v>
      </c>
      <c r="BI86" s="62">
        <f ca="1">AVERAGE(OFFSET($BH$3,0,0,'Données projet'!$E$11+1,1))-AVERAGE(OFFSET($H$3,0,0,'Données projet'!$E$11+1,1))</f>
        <v>405.94837980869011</v>
      </c>
      <c r="BJ86" s="62">
        <f t="shared" si="92"/>
        <v>511.37583835090879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189.60392123961023</v>
      </c>
      <c r="BQ86" s="23">
        <f>EXP(-LN(2)/25)*BQ85+(1-EXP(-LN(2)/25))/(LN(2)/25)*Calculateur!BL86*Calculateur!BN86*VLOOKUP('Données projet'!$B$11,Paramètres!$A$1:$I$89,3,0)*0.475*44/12</f>
        <v>11.605312979579622</v>
      </c>
      <c r="BR86" s="23">
        <f>EXP(-LN(2)/2)*BR85+(1-EXP(-LN(2)/2))/(LN(2)/2)*BL86*BO86*VLOOKUP('Données projet'!$B$11,Paramètres!$A$1:$I$89,3,0)*0.475*44/12</f>
        <v>8.3609426265030521E-6</v>
      </c>
      <c r="BS86" s="24">
        <f t="shared" si="63"/>
        <v>201.20924258013247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9.6</v>
      </c>
      <c r="BY86" s="13">
        <f>IF('Données projet'!$A$114&gt;35,BY85+BX86-CG85,IF(A86&lt;'Données projet'!$A$114,$BV$205^A86,IF(A86='Données projet'!$A$114,'Données projet'!$B$114,BY85+BX86-CG85)))</f>
        <v>418.79999999999995</v>
      </c>
      <c r="BZ86" s="14">
        <f>BY86*VLOOKUP('Données projet'!$B$12,Paramètres!$A$1:$I$89,3,0)*VLOOKUP('Données projet'!$B$12,Paramètres!$A$1:$I$89,5,0)</f>
        <v>359.3304</v>
      </c>
      <c r="CA86" s="14">
        <f t="shared" si="93"/>
        <v>83.48078585362731</v>
      </c>
      <c r="CB86" s="22">
        <f t="shared" si="64"/>
        <v>771.22948202840087</v>
      </c>
      <c r="CC86" s="62">
        <f t="shared" si="65"/>
        <v>1043.1142275055045</v>
      </c>
      <c r="CD86" s="62">
        <f ca="1">AVERAGE(OFFSET($CC$3,0,0,'Données projet'!$E$12+1,1))-AVERAGE(OFFSET($H$3,0,0,'Données projet'!$E$12+1,1))</f>
        <v>590.18141384962507</v>
      </c>
      <c r="CE86" s="62">
        <f t="shared" si="94"/>
        <v>331.25104323342907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43.728752821476569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43.728752821476569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4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5.7</v>
      </c>
      <c r="N87" s="14">
        <f>IF('Données projet'!$A$36&gt;35,N86+M87-V86,IF(A87&lt;'Données projet'!$A$36,$K$205^A87,IF(A87='Données projet'!$A$36,'Données projet'!$B$36,N86+M87-V86)))</f>
        <v>196.20000000000005</v>
      </c>
      <c r="O87" s="14">
        <f>N87*VLOOKUP('Données projet'!$B$9,Paramètres!$A$1:$I$89,3,0)*VLOOKUP('Données projet'!$B$9,Paramètres!$A$1:$I$89,5,0)</f>
        <v>177.52176000000003</v>
      </c>
      <c r="P87" s="14">
        <f t="shared" si="87"/>
        <v>44.770379339547972</v>
      </c>
      <c r="Q87" s="22">
        <f t="shared" si="54"/>
        <v>387.15880934971273</v>
      </c>
      <c r="R87" s="62">
        <f t="shared" si="55"/>
        <v>659.41563987426298</v>
      </c>
      <c r="S87" s="62">
        <f ca="1">AVERAGE(OFFSET($R$3,0,0,'Données projet'!$E$9+1,1))-AVERAGE(OFFSET($H$3,0,0,'Données projet'!$E$9+1,1))</f>
        <v>432.80275651765203</v>
      </c>
      <c r="T87" s="62">
        <f t="shared" si="88"/>
        <v>203.89279893419919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10.9666714149157</v>
      </c>
      <c r="AA87" s="23">
        <f>EXP(-LN(2)/25)*AA86+(1-EXP(-LN(2)/25))/(LN(2)/25)*Calculateur!V87*Calculateur!X87*VLOOKUP('Données projet'!$B$9,Paramètres!$A$1:$I$89,3,0)*0.475*44/12</f>
        <v>8.0521256751911636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19.018797090106865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1.9895196601282805E-13</v>
      </c>
      <c r="AJ87" s="14">
        <f>AI87*VLOOKUP('Données projet'!$B$10,Paramètres!$A$1:$I$89,3,0)*VLOOKUP('Données projet'!$B$10,Paramètres!$A$1:$I$89,5,0)</f>
        <v>1.738044375088066E-13</v>
      </c>
      <c r="AK87" s="14">
        <f t="shared" si="89"/>
        <v>2.4483293633950478E-12</v>
      </c>
      <c r="AL87" s="22">
        <f t="shared" si="58"/>
        <v>4.566883036574213E-12</v>
      </c>
      <c r="AM87" s="62">
        <f t="shared" si="59"/>
        <v>272.25683052455486</v>
      </c>
      <c r="AN87" s="62">
        <f ca="1">AVERAGE(OFFSET($AM$3,0,0,'Données projet'!$E$10+1,1))-AVERAGE(OFFSET($H$3,0,0,'Données projet'!$E$10+1,1))</f>
        <v>341.62910675299065</v>
      </c>
      <c r="AO87" s="62">
        <f t="shared" si="90"/>
        <v>407.15938341104709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78.363809493950413</v>
      </c>
      <c r="AV87" s="23">
        <f>EXP(-LN(2)/25)*AV86+(1-EXP(-LN(2)/25))/(LN(2)/25)*Calculateur!AQ87*Calculateur!AS87*VLOOKUP('Données projet'!$B$10,Paramètres!$A$1:$I$89,3,0)*0.475*44/12</f>
        <v>37.816025809667842</v>
      </c>
      <c r="AW87" s="23">
        <f>EXP(-LN(2)/2)*AW86+(1-EXP(-LN(2)/2))/(LN(2)/2)*AQ87*AT87*VLOOKUP('Données projet'!$B$10,Paramètres!$A$1:$I$89,3,0)*0.475*44/12</f>
        <v>3.2702885817165036E-3</v>
      </c>
      <c r="AX87" s="23">
        <f t="shared" si="60"/>
        <v>116.18310559219998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3.4106051316484809E-13</v>
      </c>
      <c r="BE87" s="14">
        <f>BD87*VLOOKUP('Données projet'!$B$11,Paramètres!$A$1:$I$89,3,0)*VLOOKUP('Données projet'!$B$11,Paramètres!$A$1:$I$89,5,0)</f>
        <v>1.6405010683229191E-13</v>
      </c>
      <c r="BF87" s="14">
        <f t="shared" si="91"/>
        <v>2.3265121008813928E-12</v>
      </c>
      <c r="BG87" s="22">
        <f t="shared" si="61"/>
        <v>4.337729178434667E-12</v>
      </c>
      <c r="BH87" s="62">
        <f t="shared" si="62"/>
        <v>272.25683052455463</v>
      </c>
      <c r="BI87" s="62">
        <f ca="1">AVERAGE(OFFSET($BH$3,0,0,'Données projet'!$E$11+1,1))-AVERAGE(OFFSET($H$3,0,0,'Données projet'!$E$11+1,1))</f>
        <v>405.94837980869011</v>
      </c>
      <c r="BJ87" s="62">
        <f t="shared" si="92"/>
        <v>511.37583835090879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185.88590399107423</v>
      </c>
      <c r="BQ87" s="23">
        <f>EXP(-LN(2)/25)*BQ86+(1-EXP(-LN(2)/25))/(LN(2)/25)*Calculateur!BL87*Calculateur!BN87*VLOOKUP('Données projet'!$B$11,Paramètres!$A$1:$I$89,3,0)*0.475*44/12</f>
        <v>11.287965085856133</v>
      </c>
      <c r="BR87" s="23">
        <f>EXP(-LN(2)/2)*BR86+(1-EXP(-LN(2)/2))/(LN(2)/2)*BL87*BO87*VLOOKUP('Données projet'!$B$11,Paramètres!$A$1:$I$89,3,0)*0.475*44/12</f>
        <v>5.9120792283119717E-6</v>
      </c>
      <c r="BS87" s="24">
        <f t="shared" si="63"/>
        <v>197.17387498900959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9.6</v>
      </c>
      <c r="BY87" s="13">
        <f>IF('Données projet'!$A$114&gt;35,BY86+BX87-CG86,IF(A87&lt;'Données projet'!$A$114,$BV$205^A87,IF(A87='Données projet'!$A$114,'Données projet'!$B$114,BY86+BX87-CG86)))</f>
        <v>428.4</v>
      </c>
      <c r="BZ87" s="14">
        <f>BY87*VLOOKUP('Données projet'!$B$12,Paramètres!$A$1:$I$89,3,0)*VLOOKUP('Données projet'!$B$12,Paramètres!$A$1:$I$89,5,0)</f>
        <v>367.56720000000001</v>
      </c>
      <c r="CA87" s="14">
        <f t="shared" si="93"/>
        <v>85.169405771799362</v>
      </c>
      <c r="CB87" s="22">
        <f t="shared" si="64"/>
        <v>788.5162550525506</v>
      </c>
      <c r="CC87" s="62">
        <f t="shared" si="65"/>
        <v>1060.773085577101</v>
      </c>
      <c r="CD87" s="62">
        <f ca="1">AVERAGE(OFFSET($CC$3,0,0,'Données projet'!$E$12+1,1))-AVERAGE(OFFSET($H$3,0,0,'Données projet'!$E$12+1,1))</f>
        <v>590.18141384962507</v>
      </c>
      <c r="CE87" s="62">
        <f t="shared" si="94"/>
        <v>331.25104323342907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42.871258650553003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42.871258650553003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4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5.7</v>
      </c>
      <c r="N88" s="14">
        <f>IF('Données projet'!$A$36&gt;35,N87+M88-V87,IF(A88&lt;'Données projet'!$A$36,$K$205^A88,IF(A88='Données projet'!$A$36,'Données projet'!$B$36,N87+M88-V87)))</f>
        <v>201.90000000000003</v>
      </c>
      <c r="O88" s="14">
        <f>N88*VLOOKUP('Données projet'!$B$9,Paramètres!$A$1:$I$89,3,0)*VLOOKUP('Données projet'!$B$9,Paramètres!$A$1:$I$89,5,0)</f>
        <v>182.67912000000004</v>
      </c>
      <c r="P88" s="14">
        <f t="shared" si="87"/>
        <v>45.917727512477072</v>
      </c>
      <c r="Q88" s="22">
        <f t="shared" si="54"/>
        <v>398.13950941756428</v>
      </c>
      <c r="R88" s="62">
        <f t="shared" si="55"/>
        <v>670.76197014584579</v>
      </c>
      <c r="S88" s="62">
        <f ca="1">AVERAGE(OFFSET($R$3,0,0,'Données projet'!$E$9+1,1))-AVERAGE(OFFSET($H$3,0,0,'Données projet'!$E$9+1,1))</f>
        <v>432.80275651765203</v>
      </c>
      <c r="T88" s="62">
        <f t="shared" si="88"/>
        <v>203.89279893419919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10.751621677478282</v>
      </c>
      <c r="AA88" s="23">
        <f>EXP(-LN(2)/25)*AA87+(1-EXP(-LN(2)/25))/(LN(2)/25)*Calculateur!V88*Calculateur!X88*VLOOKUP('Données projet'!$B$9,Paramètres!$A$1:$I$89,3,0)*0.475*44/12</f>
        <v>7.8319398751601756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18.583561552638457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1.9895196601282805E-13</v>
      </c>
      <c r="AJ88" s="14">
        <f>AI88*VLOOKUP('Données projet'!$B$10,Paramètres!$A$1:$I$89,3,0)*VLOOKUP('Données projet'!$B$10,Paramètres!$A$1:$I$89,5,0)</f>
        <v>1.738044375088066E-13</v>
      </c>
      <c r="AK88" s="14">
        <f t="shared" si="89"/>
        <v>2.4483293633950478E-12</v>
      </c>
      <c r="AL88" s="22">
        <f t="shared" si="58"/>
        <v>4.566883036574213E-12</v>
      </c>
      <c r="AM88" s="62">
        <f t="shared" si="59"/>
        <v>272.62246072828606</v>
      </c>
      <c r="AN88" s="62">
        <f ca="1">AVERAGE(OFFSET($AM$3,0,0,'Données projet'!$E$10+1,1))-AVERAGE(OFFSET($H$3,0,0,'Données projet'!$E$10+1,1))</f>
        <v>341.62910675299065</v>
      </c>
      <c r="AO88" s="62">
        <f t="shared" si="90"/>
        <v>407.15938341104709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76.827142986978259</v>
      </c>
      <c r="AV88" s="23">
        <f>EXP(-LN(2)/25)*AV87+(1-EXP(-LN(2)/25))/(LN(2)/25)*Calculateur!AQ88*Calculateur!AS88*VLOOKUP('Données projet'!$B$10,Paramètres!$A$1:$I$89,3,0)*0.475*44/12</f>
        <v>36.781944595244106</v>
      </c>
      <c r="AW88" s="23">
        <f>EXP(-LN(2)/2)*AW87+(1-EXP(-LN(2)/2))/(LN(2)/2)*AQ88*AT88*VLOOKUP('Données projet'!$B$10,Paramètres!$A$1:$I$89,3,0)*0.475*44/12</f>
        <v>2.3124432325686765E-3</v>
      </c>
      <c r="AX88" s="23">
        <f t="shared" si="60"/>
        <v>113.61140002545494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3.4106051316484809E-13</v>
      </c>
      <c r="BE88" s="14">
        <f>BD88*VLOOKUP('Données projet'!$B$11,Paramètres!$A$1:$I$89,3,0)*VLOOKUP('Données projet'!$B$11,Paramètres!$A$1:$I$89,5,0)</f>
        <v>1.6405010683229191E-13</v>
      </c>
      <c r="BF88" s="14">
        <f t="shared" si="91"/>
        <v>2.3265121008813928E-12</v>
      </c>
      <c r="BG88" s="22">
        <f t="shared" si="61"/>
        <v>4.337729178434667E-12</v>
      </c>
      <c r="BH88" s="62">
        <f t="shared" si="62"/>
        <v>272.62246072828583</v>
      </c>
      <c r="BI88" s="62">
        <f ca="1">AVERAGE(OFFSET($BH$3,0,0,'Données projet'!$E$11+1,1))-AVERAGE(OFFSET($H$3,0,0,'Données projet'!$E$11+1,1))</f>
        <v>405.94837980869011</v>
      </c>
      <c r="BJ88" s="62">
        <f t="shared" si="92"/>
        <v>511.37583835090879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182.24079479301543</v>
      </c>
      <c r="BQ88" s="23">
        <f>EXP(-LN(2)/25)*BQ87+(1-EXP(-LN(2)/25))/(LN(2)/25)*Calculateur!BL88*Calculateur!BN88*VLOOKUP('Données projet'!$B$11,Paramètres!$A$1:$I$89,3,0)*0.475*44/12</f>
        <v>10.979295086975112</v>
      </c>
      <c r="BR88" s="23">
        <f>EXP(-LN(2)/2)*BR87+(1-EXP(-LN(2)/2))/(LN(2)/2)*BL88*BO88*VLOOKUP('Données projet'!$B$11,Paramètres!$A$1:$I$89,3,0)*0.475*44/12</f>
        <v>4.1804713132515261E-6</v>
      </c>
      <c r="BS88" s="24">
        <f t="shared" si="63"/>
        <v>193.22009406046183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438</v>
      </c>
      <c r="BW88" s="13">
        <f>VLOOKUP(A88,'Données projet'!$A$113:$I$133,9,0)</f>
        <v>9.6</v>
      </c>
      <c r="BX88" s="13">
        <f t="array" ref="BX88">INDEX(BW:BW,MIN(IF(ISNUMBER(BW88:BW284),ROW(BW88:BW284),"")))</f>
        <v>9.6</v>
      </c>
      <c r="BY88" s="13">
        <f>IF('Données projet'!$A$114&gt;35,BY87+BX88-CG87,IF(A88&lt;'Données projet'!$A$114,$BV$205^A88,IF(A88='Données projet'!$A$114,'Données projet'!$B$114,BY87+BX88-CG87)))</f>
        <v>438</v>
      </c>
      <c r="BZ88" s="14">
        <f>BY88*VLOOKUP('Données projet'!$B$12,Paramètres!$A$1:$I$89,3,0)*VLOOKUP('Données projet'!$B$12,Paramètres!$A$1:$I$89,5,0)</f>
        <v>375.80400000000003</v>
      </c>
      <c r="CA88" s="14">
        <f t="shared" si="93"/>
        <v>86.853626438441253</v>
      </c>
      <c r="CB88" s="22">
        <f t="shared" si="64"/>
        <v>805.79536604695193</v>
      </c>
      <c r="CC88" s="62">
        <f t="shared" si="65"/>
        <v>1078.4178267752334</v>
      </c>
      <c r="CD88" s="62">
        <f ca="1">AVERAGE(OFFSET($CC$3,0,0,'Données projet'!$E$12+1,1))-AVERAGE(OFFSET($H$3,0,0,'Données projet'!$E$12+1,1))</f>
        <v>590.18141384962507</v>
      </c>
      <c r="CE88" s="62">
        <f t="shared" si="94"/>
        <v>331.25104323342907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33</v>
      </c>
      <c r="CH88" s="17">
        <f>IF(ISNA(VLOOKUP(A88,'Données projet'!$A$113:$I$133,5,0)),0%,VLOOKUP(A88,'Données projet'!$A$113:$I$133,5,0)*VLOOKUP('Données projet'!$B$12,Paramètres!$A$1:$I$89,7,0))</f>
        <v>0.53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58.6197322301323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58.6197322301323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4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5.7</v>
      </c>
      <c r="N89" s="14">
        <f>IF('Données projet'!$A$36&gt;35,N88+M89-V88,IF(A89&lt;'Données projet'!$A$36,$K$205^A89,IF(A89='Données projet'!$A$36,'Données projet'!$B$36,N88+M89-V88)))</f>
        <v>207.60000000000002</v>
      </c>
      <c r="O89" s="14">
        <f>N89*VLOOKUP('Données projet'!$B$9,Paramètres!$A$1:$I$89,3,0)*VLOOKUP('Données projet'!$B$9,Paramètres!$A$1:$I$89,5,0)</f>
        <v>187.83647999999999</v>
      </c>
      <c r="P89" s="14">
        <f t="shared" si="87"/>
        <v>47.06131095119698</v>
      </c>
      <c r="Q89" s="22">
        <f t="shared" si="54"/>
        <v>409.11365257333472</v>
      </c>
      <c r="R89" s="62">
        <f t="shared" si="55"/>
        <v>682.09540063873942</v>
      </c>
      <c r="S89" s="62">
        <f ca="1">AVERAGE(OFFSET($R$3,0,0,'Données projet'!$E$9+1,1))-AVERAGE(OFFSET($H$3,0,0,'Données projet'!$E$9+1,1))</f>
        <v>432.80275651765203</v>
      </c>
      <c r="T89" s="62">
        <f t="shared" si="88"/>
        <v>203.89279893419919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10.540788934224622</v>
      </c>
      <c r="AA89" s="23">
        <f>EXP(-LN(2)/25)*AA88+(1-EXP(-LN(2)/25))/(LN(2)/25)*Calculateur!V89*Calculateur!X89*VLOOKUP('Données projet'!$B$9,Paramètres!$A$1:$I$89,3,0)*0.475*44/12</f>
        <v>7.6177750674101024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18.158564001634723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1.9895196601282805E-13</v>
      </c>
      <c r="AJ89" s="14">
        <f>AI89*VLOOKUP('Données projet'!$B$10,Paramètres!$A$1:$I$89,3,0)*VLOOKUP('Données projet'!$B$10,Paramètres!$A$1:$I$89,5,0)</f>
        <v>1.738044375088066E-13</v>
      </c>
      <c r="AK89" s="14">
        <f t="shared" si="89"/>
        <v>2.4483293633950478E-12</v>
      </c>
      <c r="AL89" s="22">
        <f t="shared" si="58"/>
        <v>4.566883036574213E-12</v>
      </c>
      <c r="AM89" s="62">
        <f t="shared" si="59"/>
        <v>272.98174806540925</v>
      </c>
      <c r="AN89" s="62">
        <f ca="1">AVERAGE(OFFSET($AM$3,0,0,'Données projet'!$E$10+1,1))-AVERAGE(OFFSET($H$3,0,0,'Données projet'!$E$10+1,1))</f>
        <v>341.62910675299065</v>
      </c>
      <c r="AO89" s="62">
        <f t="shared" si="90"/>
        <v>407.15938341104709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75.320609572933805</v>
      </c>
      <c r="AV89" s="23">
        <f>EXP(-LN(2)/25)*AV88+(1-EXP(-LN(2)/25))/(LN(2)/25)*Calculateur!AQ89*Calculateur!AS89*VLOOKUP('Données projet'!$B$10,Paramètres!$A$1:$I$89,3,0)*0.475*44/12</f>
        <v>35.776140386008755</v>
      </c>
      <c r="AW89" s="23">
        <f>EXP(-LN(2)/2)*AW88+(1-EXP(-LN(2)/2))/(LN(2)/2)*AQ89*AT89*VLOOKUP('Données projet'!$B$10,Paramètres!$A$1:$I$89,3,0)*0.475*44/12</f>
        <v>1.6351442908582518E-3</v>
      </c>
      <c r="AX89" s="23">
        <f t="shared" si="60"/>
        <v>111.09838510323341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3.4106051316484809E-13</v>
      </c>
      <c r="BE89" s="14">
        <f>BD89*VLOOKUP('Données projet'!$B$11,Paramètres!$A$1:$I$89,3,0)*VLOOKUP('Données projet'!$B$11,Paramètres!$A$1:$I$89,5,0)</f>
        <v>1.6405010683229191E-13</v>
      </c>
      <c r="BF89" s="14">
        <f t="shared" si="91"/>
        <v>2.3265121008813928E-12</v>
      </c>
      <c r="BG89" s="22">
        <f t="shared" si="61"/>
        <v>4.337729178434667E-12</v>
      </c>
      <c r="BH89" s="62">
        <f t="shared" si="62"/>
        <v>272.98174806540902</v>
      </c>
      <c r="BI89" s="62">
        <f ca="1">AVERAGE(OFFSET($BH$3,0,0,'Données projet'!$E$11+1,1))-AVERAGE(OFFSET($H$3,0,0,'Données projet'!$E$11+1,1))</f>
        <v>405.94837980869011</v>
      </c>
      <c r="BJ89" s="62">
        <f t="shared" si="92"/>
        <v>511.37583835090879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178.66716396303349</v>
      </c>
      <c r="BQ89" s="23">
        <f>EXP(-LN(2)/25)*BQ88+(1-EXP(-LN(2)/25))/(LN(2)/25)*Calculateur!BL89*Calculateur!BN89*VLOOKUP('Données projet'!$B$11,Paramètres!$A$1:$I$89,3,0)*0.475*44/12</f>
        <v>10.679065685445742</v>
      </c>
      <c r="BR89" s="23">
        <f>EXP(-LN(2)/2)*BR88+(1-EXP(-LN(2)/2))/(LN(2)/2)*BL89*BO89*VLOOKUP('Données projet'!$B$11,Paramètres!$A$1:$I$89,3,0)*0.475*44/12</f>
        <v>2.9560396141559859E-6</v>
      </c>
      <c r="BS89" s="24">
        <f t="shared" si="63"/>
        <v>189.34623260451886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9.1999999999999993</v>
      </c>
      <c r="BY89" s="13">
        <f>IF('Données projet'!$A$114&gt;35,BY88+BX89-CG88,IF(A89&lt;'Données projet'!$A$114,$BV$205^A89,IF(A89='Données projet'!$A$114,'Données projet'!$B$114,BY88+BX89-CG88)))</f>
        <v>414.2</v>
      </c>
      <c r="BZ89" s="14">
        <f>BY89*VLOOKUP('Données projet'!$B$12,Paramètres!$A$1:$I$89,3,0)*VLOOKUP('Données projet'!$B$12,Paramètres!$A$1:$I$89,5,0)</f>
        <v>355.3836</v>
      </c>
      <c r="CA89" s="14">
        <f t="shared" si="93"/>
        <v>82.670063642426967</v>
      </c>
      <c r="CB89" s="22">
        <f t="shared" si="64"/>
        <v>762.94346417722682</v>
      </c>
      <c r="CC89" s="62">
        <f t="shared" si="65"/>
        <v>1035.9252122426315</v>
      </c>
      <c r="CD89" s="62">
        <f ca="1">AVERAGE(OFFSET($CC$3,0,0,'Données projet'!$E$12+1,1))-AVERAGE(OFFSET($H$3,0,0,'Données projet'!$E$12+1,1))</f>
        <v>590.18141384962507</v>
      </c>
      <c r="CE89" s="62">
        <f t="shared" si="94"/>
        <v>331.25104323342907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57.470235035605604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57.470235035605604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4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5.7</v>
      </c>
      <c r="N90" s="14">
        <f>IF('Données projet'!$A$36&gt;35,N89+M90-V89,IF(A90&lt;'Données projet'!$A$36,$K$205^A90,IF(A90='Données projet'!$A$36,'Données projet'!$B$36,N89+M90-V89)))</f>
        <v>213.3</v>
      </c>
      <c r="O90" s="14">
        <f>N90*VLOOKUP('Données projet'!$B$9,Paramètres!$A$1:$I$89,3,0)*VLOOKUP('Données projet'!$B$9,Paramètres!$A$1:$I$89,5,0)</f>
        <v>192.99384000000001</v>
      </c>
      <c r="P90" s="14">
        <f t="shared" si="87"/>
        <v>48.20124489972266</v>
      </c>
      <c r="Q90" s="22">
        <f t="shared" si="54"/>
        <v>420.08143953368364</v>
      </c>
      <c r="R90" s="62">
        <f t="shared" si="55"/>
        <v>693.41624210415853</v>
      </c>
      <c r="S90" s="62">
        <f ca="1">AVERAGE(OFFSET($R$3,0,0,'Données projet'!$E$9+1,1))-AVERAGE(OFFSET($H$3,0,0,'Données projet'!$E$9+1,1))</f>
        <v>432.80275651765203</v>
      </c>
      <c r="T90" s="62">
        <f t="shared" si="88"/>
        <v>203.89279893419919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10.334090492470892</v>
      </c>
      <c r="AA90" s="23">
        <f>EXP(-LN(2)/25)*AA89+(1-EXP(-LN(2)/25))/(LN(2)/25)*Calculateur!V90*Calculateur!X90*VLOOKUP('Données projet'!$B$9,Paramètres!$A$1:$I$89,3,0)*0.475*44/12</f>
        <v>7.4094666075903932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17.743557100061285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1.9895196601282805E-13</v>
      </c>
      <c r="AJ90" s="14">
        <f>AI90*VLOOKUP('Données projet'!$B$10,Paramètres!$A$1:$I$89,3,0)*VLOOKUP('Données projet'!$B$10,Paramètres!$A$1:$I$89,5,0)</f>
        <v>1.738044375088066E-13</v>
      </c>
      <c r="AK90" s="14">
        <f t="shared" si="89"/>
        <v>2.4483293633950478E-12</v>
      </c>
      <c r="AL90" s="22">
        <f t="shared" si="58"/>
        <v>4.566883036574213E-12</v>
      </c>
      <c r="AM90" s="62">
        <f t="shared" si="59"/>
        <v>273.33480257047938</v>
      </c>
      <c r="AN90" s="62">
        <f ca="1">AVERAGE(OFFSET($AM$3,0,0,'Données projet'!$E$10+1,1))-AVERAGE(OFFSET($H$3,0,0,'Données projet'!$E$10+1,1))</f>
        <v>341.62910675299065</v>
      </c>
      <c r="AO90" s="62">
        <f t="shared" si="90"/>
        <v>407.15938341104709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73.843618360244108</v>
      </c>
      <c r="AV90" s="23">
        <f>EXP(-LN(2)/25)*AV89+(1-EXP(-LN(2)/25))/(LN(2)/25)*Calculateur!AQ90*Calculateur!AS90*VLOOKUP('Données projet'!$B$10,Paramètres!$A$1:$I$89,3,0)*0.475*44/12</f>
        <v>34.79783994576789</v>
      </c>
      <c r="AW90" s="23">
        <f>EXP(-LN(2)/2)*AW89+(1-EXP(-LN(2)/2))/(LN(2)/2)*AQ90*AT90*VLOOKUP('Données projet'!$B$10,Paramètres!$A$1:$I$89,3,0)*0.475*44/12</f>
        <v>1.1562216162843383E-3</v>
      </c>
      <c r="AX90" s="23">
        <f t="shared" si="60"/>
        <v>108.64261452762828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3.4106051316484809E-13</v>
      </c>
      <c r="BE90" s="14">
        <f>BD90*VLOOKUP('Données projet'!$B$11,Paramètres!$A$1:$I$89,3,0)*VLOOKUP('Données projet'!$B$11,Paramètres!$A$1:$I$89,5,0)</f>
        <v>1.6405010683229191E-13</v>
      </c>
      <c r="BF90" s="14">
        <f t="shared" si="91"/>
        <v>2.3265121008813928E-12</v>
      </c>
      <c r="BG90" s="22">
        <f t="shared" si="61"/>
        <v>4.337729178434667E-12</v>
      </c>
      <c r="BH90" s="62">
        <f t="shared" si="62"/>
        <v>273.33480257047916</v>
      </c>
      <c r="BI90" s="62">
        <f ca="1">AVERAGE(OFFSET($BH$3,0,0,'Données projet'!$E$11+1,1))-AVERAGE(OFFSET($H$3,0,0,'Données projet'!$E$11+1,1))</f>
        <v>405.94837980869011</v>
      </c>
      <c r="BJ90" s="62">
        <f t="shared" si="92"/>
        <v>511.37583835090879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175.16360985392791</v>
      </c>
      <c r="BQ90" s="23">
        <f>EXP(-LN(2)/25)*BQ89+(1-EXP(-LN(2)/25))/(LN(2)/25)*Calculateur!BL90*Calculateur!BN90*VLOOKUP('Données projet'!$B$11,Paramètres!$A$1:$I$89,3,0)*0.475*44/12</f>
        <v>10.387046072689571</v>
      </c>
      <c r="BR90" s="23">
        <f>EXP(-LN(2)/2)*BR89+(1-EXP(-LN(2)/2))/(LN(2)/2)*BL90*BO90*VLOOKUP('Données projet'!$B$11,Paramètres!$A$1:$I$89,3,0)*0.475*44/12</f>
        <v>2.090235656625763E-6</v>
      </c>
      <c r="BS90" s="24">
        <f t="shared" si="63"/>
        <v>185.55065801685313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9.1999999999999993</v>
      </c>
      <c r="BY90" s="13">
        <f>IF('Données projet'!$A$114&gt;35,BY89+BX90-CG89,IF(A90&lt;'Données projet'!$A$114,$BV$205^A90,IF(A90='Données projet'!$A$114,'Données projet'!$B$114,BY89+BX90-CG89)))</f>
        <v>423.4</v>
      </c>
      <c r="BZ90" s="14">
        <f>BY90*VLOOKUP('Données projet'!$B$12,Paramètres!$A$1:$I$89,3,0)*VLOOKUP('Données projet'!$B$12,Paramètres!$A$1:$I$89,5,0)</f>
        <v>363.27719999999999</v>
      </c>
      <c r="CA90" s="14">
        <f t="shared" si="93"/>
        <v>84.290472188638873</v>
      </c>
      <c r="CB90" s="22">
        <f t="shared" si="64"/>
        <v>779.51369572854594</v>
      </c>
      <c r="CC90" s="62">
        <f t="shared" si="65"/>
        <v>1052.8484982990208</v>
      </c>
      <c r="CD90" s="62">
        <f ca="1">AVERAGE(OFFSET($CC$3,0,0,'Données projet'!$E$12+1,1))-AVERAGE(OFFSET($H$3,0,0,'Données projet'!$E$12+1,1))</f>
        <v>590.18141384962507</v>
      </c>
      <c r="CE90" s="62">
        <f t="shared" si="94"/>
        <v>331.25104323342907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56.343278779939517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56.343278779939517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4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>
        <f>VLOOKUP(A91,'Données projet'!$A$35:$I$55,2,0)</f>
        <v>219</v>
      </c>
      <c r="L91" s="13">
        <f>VLOOKUP(A91,'Données projet'!$A$35:$I$55,9,0)</f>
        <v>5.7</v>
      </c>
      <c r="M91" s="13">
        <f t="array" ref="M91">INDEX(L:L,MIN(IF(ISNUMBER(L91:L287),ROW(L91:L287),"")))</f>
        <v>5.7</v>
      </c>
      <c r="N91" s="14">
        <f>IF('Données projet'!$A$36&gt;35,N90+M91-V90,IF(A91&lt;'Données projet'!$A$36,$K$205^A91,IF(A91='Données projet'!$A$36,'Données projet'!$B$36,N90+M91-V90)))</f>
        <v>219</v>
      </c>
      <c r="O91" s="14">
        <f>N91*VLOOKUP('Données projet'!$B$9,Paramètres!$A$1:$I$89,3,0)*VLOOKUP('Données projet'!$B$9,Paramètres!$A$1:$I$89,5,0)</f>
        <v>198.15119999999999</v>
      </c>
      <c r="P91" s="14">
        <f t="shared" si="87"/>
        <v>49.337638092068957</v>
      </c>
      <c r="Q91" s="22">
        <f t="shared" si="54"/>
        <v>431.04305967702004</v>
      </c>
      <c r="R91" s="62">
        <f t="shared" si="55"/>
        <v>704.72479204621368</v>
      </c>
      <c r="S91" s="62">
        <f ca="1">AVERAGE(OFFSET($R$3,0,0,'Données projet'!$E$9+1,1))-AVERAGE(OFFSET($H$3,0,0,'Données projet'!$E$9+1,1))</f>
        <v>432.80275651765203</v>
      </c>
      <c r="T91" s="62">
        <f t="shared" si="88"/>
        <v>203.89279893419919</v>
      </c>
      <c r="U91" s="16">
        <f>IF(ISNA(VLOOKUP(A91,'Données projet'!$A$35:$I$55,3,0)),0,VLOOKUP(A91,'Données projet'!$A$35:$I$55,3,0))</f>
        <v>5</v>
      </c>
      <c r="V91" s="16">
        <f>IF(ISNA(VLOOKUP(A91,'Données projet'!$A$35:$I$55,4,0)),0,VLOOKUP(A91,'Données projet'!$A$35:$I$55,4,0))</f>
        <v>35</v>
      </c>
      <c r="W91" s="17">
        <f>IF(ISNA(VLOOKUP(A91,'Données projet'!$A$35:$I$55,5,0)),0%,VLOOKUP(A91,'Données projet'!$A$35:$I$55,5,0)*VLOOKUP('Données projet'!$B$9,Paramètres!$A$1:$I$89,7,0))</f>
        <v>0.215</v>
      </c>
      <c r="X91" s="17">
        <f>IF(ISNA(VLOOKUP(A91,'Données projet'!$A$35:$I$55,6,0)),0%,VLOOKUP(A91,'Données projet'!$A$35:$I$55,6,0)*VLOOKUP('Données projet'!$B$9,Paramètres!$A$1:$I$89,7,0))</f>
        <v>0.17200000000000001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17.658173016581987</v>
      </c>
      <c r="AA91" s="23">
        <f>EXP(-LN(2)/25)*AA90+(1-EXP(-LN(2)/25))/(LN(2)/25)*Calculateur!V91*Calculateur!X91*VLOOKUP('Données projet'!$B$9,Paramètres!$A$1:$I$89,3,0)*0.475*44/12</f>
        <v>13.204528065953225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30.86270108253521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1.9895196601282805E-13</v>
      </c>
      <c r="AJ91" s="14">
        <f>AI91*VLOOKUP('Données projet'!$B$10,Paramètres!$A$1:$I$89,3,0)*VLOOKUP('Données projet'!$B$10,Paramètres!$A$1:$I$89,5,0)</f>
        <v>1.738044375088066E-13</v>
      </c>
      <c r="AK91" s="14">
        <f t="shared" si="89"/>
        <v>2.4483293633950478E-12</v>
      </c>
      <c r="AL91" s="22">
        <f t="shared" si="58"/>
        <v>4.566883036574213E-12</v>
      </c>
      <c r="AM91" s="62">
        <f t="shared" si="59"/>
        <v>273.68173236919824</v>
      </c>
      <c r="AN91" s="62">
        <f ca="1">AVERAGE(OFFSET($AM$3,0,0,'Données projet'!$E$10+1,1))-AVERAGE(OFFSET($H$3,0,0,'Données projet'!$E$10+1,1))</f>
        <v>341.62910675299065</v>
      </c>
      <c r="AO91" s="62">
        <f t="shared" si="90"/>
        <v>407.15938341104709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72.395590044359579</v>
      </c>
      <c r="AV91" s="23">
        <f>EXP(-LN(2)/25)*AV90+(1-EXP(-LN(2)/25))/(LN(2)/25)*Calculateur!AQ91*Calculateur!AS91*VLOOKUP('Données projet'!$B$10,Paramètres!$A$1:$I$89,3,0)*0.475*44/12</f>
        <v>33.846291182511997</v>
      </c>
      <c r="AW91" s="23">
        <f>EXP(-LN(2)/2)*AW90+(1-EXP(-LN(2)/2))/(LN(2)/2)*AQ91*AT91*VLOOKUP('Données projet'!$B$10,Paramètres!$A$1:$I$89,3,0)*0.475*44/12</f>
        <v>8.1757214542912591E-4</v>
      </c>
      <c r="AX91" s="23">
        <f t="shared" si="60"/>
        <v>106.24269879901701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3.4106051316484809E-13</v>
      </c>
      <c r="BE91" s="14">
        <f>BD91*VLOOKUP('Données projet'!$B$11,Paramètres!$A$1:$I$89,3,0)*VLOOKUP('Données projet'!$B$11,Paramètres!$A$1:$I$89,5,0)</f>
        <v>1.6405010683229191E-13</v>
      </c>
      <c r="BF91" s="14">
        <f t="shared" si="91"/>
        <v>2.3265121008813928E-12</v>
      </c>
      <c r="BG91" s="22">
        <f t="shared" si="61"/>
        <v>4.337729178434667E-12</v>
      </c>
      <c r="BH91" s="62">
        <f t="shared" si="62"/>
        <v>273.68173236919802</v>
      </c>
      <c r="BI91" s="62">
        <f ca="1">AVERAGE(OFFSET($BH$3,0,0,'Données projet'!$E$11+1,1))-AVERAGE(OFFSET($H$3,0,0,'Données projet'!$E$11+1,1))</f>
        <v>405.94837980869011</v>
      </c>
      <c r="BJ91" s="62">
        <f t="shared" si="92"/>
        <v>511.37583835090879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171.72875830394489</v>
      </c>
      <c r="BQ91" s="23">
        <f>EXP(-LN(2)/25)*BQ90+(1-EXP(-LN(2)/25))/(LN(2)/25)*Calculateur!BL91*Calculateur!BN91*VLOOKUP('Données projet'!$B$11,Paramètres!$A$1:$I$89,3,0)*0.475*44/12</f>
        <v>10.103011751600862</v>
      </c>
      <c r="BR91" s="23">
        <f>EXP(-LN(2)/2)*BR90+(1-EXP(-LN(2)/2))/(LN(2)/2)*BL91*BO91*VLOOKUP('Données projet'!$B$11,Paramètres!$A$1:$I$89,3,0)*0.475*44/12</f>
        <v>1.4780198070779929E-6</v>
      </c>
      <c r="BS91" s="24">
        <f t="shared" si="63"/>
        <v>181.83177153356556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9.1999999999999993</v>
      </c>
      <c r="BY91" s="13">
        <f>IF('Données projet'!$A$114&gt;35,BY90+BX91-CG90,IF(A91&lt;'Données projet'!$A$114,$BV$205^A91,IF(A91='Données projet'!$A$114,'Données projet'!$B$114,BY90+BX91-CG90)))</f>
        <v>432.59999999999997</v>
      </c>
      <c r="BZ91" s="14">
        <f>BY91*VLOOKUP('Données projet'!$B$12,Paramètres!$A$1:$I$89,3,0)*VLOOKUP('Données projet'!$B$12,Paramètres!$A$1:$I$89,5,0)</f>
        <v>371.17080000000004</v>
      </c>
      <c r="CA91" s="14">
        <f t="shared" si="93"/>
        <v>85.906787171637717</v>
      </c>
      <c r="CB91" s="22">
        <f t="shared" si="64"/>
        <v>796.07679765726914</v>
      </c>
      <c r="CC91" s="62">
        <f t="shared" si="65"/>
        <v>1069.7585300264627</v>
      </c>
      <c r="CD91" s="62">
        <f ca="1">AVERAGE(OFFSET($CC$3,0,0,'Données projet'!$E$12+1,1))-AVERAGE(OFFSET($H$3,0,0,'Données projet'!$E$12+1,1))</f>
        <v>590.18141384962507</v>
      </c>
      <c r="CE91" s="62">
        <f t="shared" si="94"/>
        <v>331.25104323342907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55.238421449071595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55.238421449071595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4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5.7</v>
      </c>
      <c r="N92" s="14">
        <f>IF('Données projet'!$A$36&gt;35,N91+M92-V91,IF(A92&lt;'Données projet'!$A$36,$K$205^A92,IF(A92='Données projet'!$A$36,'Données projet'!$B$36,N91+M92-V91)))</f>
        <v>189.7</v>
      </c>
      <c r="O92" s="14">
        <f>N92*VLOOKUP('Données projet'!$B$9,Paramètres!$A$1:$I$89,3,0)*VLOOKUP('Données projet'!$B$9,Paramètres!$A$1:$I$89,5,0)</f>
        <v>171.64055999999997</v>
      </c>
      <c r="P92" s="14">
        <f t="shared" si="87"/>
        <v>43.457248820627512</v>
      </c>
      <c r="Q92" s="22">
        <f t="shared" si="54"/>
        <v>374.62868369592616</v>
      </c>
      <c r="R92" s="62">
        <f t="shared" si="55"/>
        <v>648.6513274074498</v>
      </c>
      <c r="S92" s="62">
        <f ca="1">AVERAGE(OFFSET($R$3,0,0,'Données projet'!$E$9+1,1))-AVERAGE(OFFSET($H$3,0,0,'Données projet'!$E$9+1,1))</f>
        <v>432.80275651765203</v>
      </c>
      <c r="T92" s="62">
        <f t="shared" si="88"/>
        <v>203.89279893419919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17.311907014148865</v>
      </c>
      <c r="AA92" s="23">
        <f>EXP(-LN(2)/25)*AA91+(1-EXP(-LN(2)/25))/(LN(2)/25)*Calculateur!V92*Calculateur!X92*VLOOKUP('Données projet'!$B$9,Paramètres!$A$1:$I$89,3,0)*0.475*44/12</f>
        <v>12.843449551593782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30.155356565742647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1.9895196601282805E-13</v>
      </c>
      <c r="AJ92" s="14">
        <f>AI92*VLOOKUP('Données projet'!$B$10,Paramètres!$A$1:$I$89,3,0)*VLOOKUP('Données projet'!$B$10,Paramètres!$A$1:$I$89,5,0)</f>
        <v>1.738044375088066E-13</v>
      </c>
      <c r="AK92" s="14">
        <f t="shared" si="89"/>
        <v>2.4483293633950478E-12</v>
      </c>
      <c r="AL92" s="22">
        <f t="shared" si="58"/>
        <v>4.566883036574213E-12</v>
      </c>
      <c r="AM92" s="62">
        <f t="shared" si="59"/>
        <v>274.02264371152813</v>
      </c>
      <c r="AN92" s="62">
        <f ca="1">AVERAGE(OFFSET($AM$3,0,0,'Données projet'!$E$10+1,1))-AVERAGE(OFFSET($H$3,0,0,'Données projet'!$E$10+1,1))</f>
        <v>341.62910675299065</v>
      </c>
      <c r="AO92" s="62">
        <f t="shared" si="90"/>
        <v>407.15938341104709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70.975956680539483</v>
      </c>
      <c r="AV92" s="23">
        <f>EXP(-LN(2)/25)*AV91+(1-EXP(-LN(2)/25))/(LN(2)/25)*Calculateur!AQ92*Calculateur!AS92*VLOOKUP('Données projet'!$B$10,Paramètres!$A$1:$I$89,3,0)*0.475*44/12</f>
        <v>32.920762570227112</v>
      </c>
      <c r="AW92" s="23">
        <f>EXP(-LN(2)/2)*AW91+(1-EXP(-LN(2)/2))/(LN(2)/2)*AQ92*AT92*VLOOKUP('Données projet'!$B$10,Paramètres!$A$1:$I$89,3,0)*0.475*44/12</f>
        <v>5.7811080814216913E-4</v>
      </c>
      <c r="AX92" s="23">
        <f t="shared" si="60"/>
        <v>103.89729736157473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3.4106051316484809E-13</v>
      </c>
      <c r="BE92" s="14">
        <f>BD92*VLOOKUP('Données projet'!$B$11,Paramètres!$A$1:$I$89,3,0)*VLOOKUP('Données projet'!$B$11,Paramètres!$A$1:$I$89,5,0)</f>
        <v>1.6405010683229191E-13</v>
      </c>
      <c r="BF92" s="14">
        <f t="shared" si="91"/>
        <v>2.3265121008813928E-12</v>
      </c>
      <c r="BG92" s="22">
        <f t="shared" si="61"/>
        <v>4.337729178434667E-12</v>
      </c>
      <c r="BH92" s="62">
        <f t="shared" si="62"/>
        <v>274.02264371152791</v>
      </c>
      <c r="BI92" s="62">
        <f ca="1">AVERAGE(OFFSET($BH$3,0,0,'Données projet'!$E$11+1,1))-AVERAGE(OFFSET($H$3,0,0,'Données projet'!$E$11+1,1))</f>
        <v>405.94837980869011</v>
      </c>
      <c r="BJ92" s="62">
        <f t="shared" si="92"/>
        <v>511.37583835090879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168.36126209780446</v>
      </c>
      <c r="BQ92" s="23">
        <f>EXP(-LN(2)/25)*BQ91+(1-EXP(-LN(2)/25))/(LN(2)/25)*Calculateur!BL92*Calculateur!BN92*VLOOKUP('Données projet'!$B$11,Paramètres!$A$1:$I$89,3,0)*0.475*44/12</f>
        <v>9.8267443639590386</v>
      </c>
      <c r="BR92" s="23">
        <f>EXP(-LN(2)/2)*BR91+(1-EXP(-LN(2)/2))/(LN(2)/2)*BL92*BO92*VLOOKUP('Données projet'!$B$11,Paramètres!$A$1:$I$89,3,0)*0.475*44/12</f>
        <v>1.0451178283128815E-6</v>
      </c>
      <c r="BS92" s="24">
        <f t="shared" si="63"/>
        <v>178.18800750688135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9.1999999999999993</v>
      </c>
      <c r="BY92" s="13">
        <f>IF('Données projet'!$A$114&gt;35,BY91+BX92-CG91,IF(A92&lt;'Données projet'!$A$114,$BV$205^A92,IF(A92='Données projet'!$A$114,'Données projet'!$B$114,BY91+BX92-CG91)))</f>
        <v>441.79999999999995</v>
      </c>
      <c r="BZ92" s="14">
        <f>BY92*VLOOKUP('Données projet'!$B$12,Paramètres!$A$1:$I$89,3,0)*VLOOKUP('Données projet'!$B$12,Paramètres!$A$1:$I$89,5,0)</f>
        <v>379.06439999999998</v>
      </c>
      <c r="CA92" s="14">
        <f t="shared" si="93"/>
        <v>87.519105676243697</v>
      </c>
      <c r="CB92" s="22">
        <f t="shared" si="64"/>
        <v>812.63293905279113</v>
      </c>
      <c r="CC92" s="62">
        <f t="shared" si="65"/>
        <v>1086.6555827643147</v>
      </c>
      <c r="CD92" s="62">
        <f ca="1">AVERAGE(OFFSET($CC$3,0,0,'Données projet'!$E$12+1,1))-AVERAGE(OFFSET($H$3,0,0,'Données projet'!$E$12+1,1))</f>
        <v>590.18141384962507</v>
      </c>
      <c r="CE92" s="62">
        <f t="shared" si="94"/>
        <v>331.25104323342907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54.155229696565563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54.155229696565563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4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5.7</v>
      </c>
      <c r="N93" s="14">
        <f>IF('Données projet'!$A$36&gt;35,N92+M93-V92,IF(A93&lt;'Données projet'!$A$36,$K$205^A93,IF(A93='Données projet'!$A$36,'Données projet'!$B$36,N92+M93-V92)))</f>
        <v>195.39999999999998</v>
      </c>
      <c r="O93" s="14">
        <f>N93*VLOOKUP('Données projet'!$B$9,Paramètres!$A$1:$I$89,3,0)*VLOOKUP('Données projet'!$B$9,Paramètres!$A$1:$I$89,5,0)</f>
        <v>176.79791999999998</v>
      </c>
      <c r="P93" s="14">
        <f t="shared" si="87"/>
        <v>44.609039852547795</v>
      </c>
      <c r="Q93" s="22">
        <f t="shared" si="54"/>
        <v>385.61712174318728</v>
      </c>
      <c r="R93" s="62">
        <f t="shared" si="55"/>
        <v>659.97476274741496</v>
      </c>
      <c r="S93" s="62">
        <f ca="1">AVERAGE(OFFSET($R$3,0,0,'Données projet'!$E$9+1,1))-AVERAGE(OFFSET($H$3,0,0,'Données projet'!$E$9+1,1))</f>
        <v>432.80275651765203</v>
      </c>
      <c r="T93" s="62">
        <f t="shared" si="88"/>
        <v>203.89279893419919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16.972431076822048</v>
      </c>
      <c r="AA93" s="23">
        <f>EXP(-LN(2)/25)*AA92+(1-EXP(-LN(2)/25))/(LN(2)/25)*Calculateur!V93*Calculateur!X93*VLOOKUP('Données projet'!$B$9,Paramètres!$A$1:$I$89,3,0)*0.475*44/12</f>
        <v>12.492244748197793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29.464675825019839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1.9895196601282805E-13</v>
      </c>
      <c r="AJ93" s="14">
        <f>AI93*VLOOKUP('Données projet'!$B$10,Paramètres!$A$1:$I$89,3,0)*VLOOKUP('Données projet'!$B$10,Paramètres!$A$1:$I$89,5,0)</f>
        <v>1.738044375088066E-13</v>
      </c>
      <c r="AK93" s="14">
        <f t="shared" si="89"/>
        <v>2.4483293633950478E-12</v>
      </c>
      <c r="AL93" s="22">
        <f t="shared" si="58"/>
        <v>4.566883036574213E-12</v>
      </c>
      <c r="AM93" s="62">
        <f t="shared" si="59"/>
        <v>274.35764100423222</v>
      </c>
      <c r="AN93" s="62">
        <f ca="1">AVERAGE(OFFSET($AM$3,0,0,'Données projet'!$E$10+1,1))-AVERAGE(OFFSET($H$3,0,0,'Données projet'!$E$10+1,1))</f>
        <v>341.62910675299065</v>
      </c>
      <c r="AO93" s="62">
        <f t="shared" si="90"/>
        <v>407.15938341104709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69.584161461093046</v>
      </c>
      <c r="AV93" s="23">
        <f>EXP(-LN(2)/25)*AV92+(1-EXP(-LN(2)/25))/(LN(2)/25)*Calculateur!AQ93*Calculateur!AS93*VLOOKUP('Données projet'!$B$10,Paramètres!$A$1:$I$89,3,0)*0.475*44/12</f>
        <v>32.020542586516591</v>
      </c>
      <c r="AW93" s="23">
        <f>EXP(-LN(2)/2)*AW92+(1-EXP(-LN(2)/2))/(LN(2)/2)*AQ93*AT93*VLOOKUP('Données projet'!$B$10,Paramètres!$A$1:$I$89,3,0)*0.475*44/12</f>
        <v>4.0878607271456295E-4</v>
      </c>
      <c r="AX93" s="23">
        <f t="shared" si="60"/>
        <v>101.60511283368234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3.4106051316484809E-13</v>
      </c>
      <c r="BE93" s="14">
        <f>BD93*VLOOKUP('Données projet'!$B$11,Paramètres!$A$1:$I$89,3,0)*VLOOKUP('Données projet'!$B$11,Paramètres!$A$1:$I$89,5,0)</f>
        <v>1.6405010683229191E-13</v>
      </c>
      <c r="BF93" s="14">
        <f t="shared" si="91"/>
        <v>2.3265121008813928E-12</v>
      </c>
      <c r="BG93" s="22">
        <f t="shared" si="61"/>
        <v>4.337729178434667E-12</v>
      </c>
      <c r="BH93" s="62">
        <f t="shared" si="62"/>
        <v>274.35764100423199</v>
      </c>
      <c r="BI93" s="62">
        <f ca="1">AVERAGE(OFFSET($BH$3,0,0,'Données projet'!$E$11+1,1))-AVERAGE(OFFSET($H$3,0,0,'Données projet'!$E$11+1,1))</f>
        <v>405.94837980869011</v>
      </c>
      <c r="BJ93" s="62">
        <f t="shared" si="92"/>
        <v>511.37583835090879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165.05980043829658</v>
      </c>
      <c r="BQ93" s="23">
        <f>EXP(-LN(2)/25)*BQ92+(1-EXP(-LN(2)/25))/(LN(2)/25)*Calculateur!BL93*Calculateur!BN93*VLOOKUP('Données projet'!$B$11,Paramètres!$A$1:$I$89,3,0)*0.475*44/12</f>
        <v>9.5580315225605528</v>
      </c>
      <c r="BR93" s="23">
        <f>EXP(-LN(2)/2)*BR92+(1-EXP(-LN(2)/2))/(LN(2)/2)*BL93*BO93*VLOOKUP('Données projet'!$B$11,Paramètres!$A$1:$I$89,3,0)*0.475*44/12</f>
        <v>7.3900990353899646E-7</v>
      </c>
      <c r="BS93" s="24">
        <f t="shared" si="63"/>
        <v>174.61783269986702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451</v>
      </c>
      <c r="BW93" s="13">
        <f>VLOOKUP(A93,'Données projet'!$A$113:$I$133,9,0)</f>
        <v>9.1999999999999993</v>
      </c>
      <c r="BX93" s="13">
        <f t="array" ref="BX93">INDEX(BW:BW,MIN(IF(ISNUMBER(BW93:BW289),ROW(BW93:BW289),"")))</f>
        <v>9.1999999999999993</v>
      </c>
      <c r="BY93" s="13">
        <f>IF('Données projet'!$A$114&gt;35,BY92+BX93-CG92,IF(A93&lt;'Données projet'!$A$114,$BV$205^A93,IF(A93='Données projet'!$A$114,'Données projet'!$B$114,BY92+BX93-CG92)))</f>
        <v>450.99999999999994</v>
      </c>
      <c r="BZ93" s="14">
        <f>BY93*VLOOKUP('Données projet'!$B$12,Paramètres!$A$1:$I$89,3,0)*VLOOKUP('Données projet'!$B$12,Paramètres!$A$1:$I$89,5,0)</f>
        <v>386.95799999999997</v>
      </c>
      <c r="CA93" s="14">
        <f t="shared" si="93"/>
        <v>89.12752051283708</v>
      </c>
      <c r="CB93" s="22">
        <f t="shared" si="64"/>
        <v>829.18228155985787</v>
      </c>
      <c r="CC93" s="62">
        <f t="shared" si="65"/>
        <v>1103.5399225640856</v>
      </c>
      <c r="CD93" s="62">
        <f ca="1">AVERAGE(OFFSET($CC$3,0,0,'Données projet'!$E$12+1,1))-AVERAGE(OFFSET($H$3,0,0,'Données projet'!$E$12+1,1))</f>
        <v>590.18141384962507</v>
      </c>
      <c r="CE93" s="62">
        <f t="shared" si="94"/>
        <v>331.25104323342907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31</v>
      </c>
      <c r="CH93" s="17">
        <f>IF(ISNA(VLOOKUP(A93,'Données projet'!$A$113:$I$133,5,0)),0%,VLOOKUP(A93,'Données projet'!$A$113:$I$133,5,0)*VLOOKUP('Données projet'!$B$12,Paramètres!$A$1:$I$89,7,0))</f>
        <v>0.53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68.677028285697673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68.677028285697673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4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5.7</v>
      </c>
      <c r="N94" s="14">
        <f>IF('Données projet'!$A$36&gt;35,N93+M94-V93,IF(A94&lt;'Données projet'!$A$36,$K$205^A94,IF(A94='Données projet'!$A$36,'Données projet'!$B$36,N93+M94-V93)))</f>
        <v>201.09999999999997</v>
      </c>
      <c r="O94" s="14">
        <f>N94*VLOOKUP('Données projet'!$B$9,Paramètres!$A$1:$I$89,3,0)*VLOOKUP('Données projet'!$B$9,Paramètres!$A$1:$I$89,5,0)</f>
        <v>181.95527999999996</v>
      </c>
      <c r="P94" s="14">
        <f t="shared" si="87"/>
        <v>45.756926029204784</v>
      </c>
      <c r="Q94" s="22">
        <f t="shared" si="54"/>
        <v>396.59875883419824</v>
      </c>
      <c r="R94" s="62">
        <f t="shared" si="55"/>
        <v>671.28558567704329</v>
      </c>
      <c r="S94" s="62">
        <f ca="1">AVERAGE(OFFSET($R$3,0,0,'Données projet'!$E$9+1,1))-AVERAGE(OFFSET($H$3,0,0,'Données projet'!$E$9+1,1))</f>
        <v>432.80275651765203</v>
      </c>
      <c r="T94" s="62">
        <f t="shared" si="88"/>
        <v>203.89279893419919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16.639612055566332</v>
      </c>
      <c r="AA94" s="23">
        <f>EXP(-LN(2)/25)*AA93+(1-EXP(-LN(2)/25))/(LN(2)/25)*Calculateur!V94*Calculateur!X94*VLOOKUP('Données projet'!$B$9,Paramètres!$A$1:$I$89,3,0)*0.475*44/12</f>
        <v>12.150643658619725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28.790255714186056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1.9895196601282805E-13</v>
      </c>
      <c r="AJ94" s="14">
        <f>AI94*VLOOKUP('Données projet'!$B$10,Paramètres!$A$1:$I$89,3,0)*VLOOKUP('Données projet'!$B$10,Paramètres!$A$1:$I$89,5,0)</f>
        <v>1.738044375088066E-13</v>
      </c>
      <c r="AK94" s="14">
        <f t="shared" si="89"/>
        <v>2.4483293633950478E-12</v>
      </c>
      <c r="AL94" s="22">
        <f t="shared" si="58"/>
        <v>4.566883036574213E-12</v>
      </c>
      <c r="AM94" s="62">
        <f t="shared" si="59"/>
        <v>274.6868268428496</v>
      </c>
      <c r="AN94" s="62">
        <f ca="1">AVERAGE(OFFSET($AM$3,0,0,'Données projet'!$E$10+1,1))-AVERAGE(OFFSET($H$3,0,0,'Données projet'!$E$10+1,1))</f>
        <v>341.62910675299065</v>
      </c>
      <c r="AO94" s="62">
        <f t="shared" si="90"/>
        <v>407.15938341104709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68.219658496988686</v>
      </c>
      <c r="AV94" s="23">
        <f>EXP(-LN(2)/25)*AV93+(1-EXP(-LN(2)/25))/(LN(2)/25)*Calculateur!AQ94*Calculateur!AS94*VLOOKUP('Données projet'!$B$10,Paramètres!$A$1:$I$89,3,0)*0.475*44/12</f>
        <v>31.144939165601144</v>
      </c>
      <c r="AW94" s="23">
        <f>EXP(-LN(2)/2)*AW93+(1-EXP(-LN(2)/2))/(LN(2)/2)*AQ94*AT94*VLOOKUP('Données projet'!$B$10,Paramètres!$A$1:$I$89,3,0)*0.475*44/12</f>
        <v>2.8905540407108457E-4</v>
      </c>
      <c r="AX94" s="23">
        <f t="shared" si="60"/>
        <v>99.364886717993897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3.4106051316484809E-13</v>
      </c>
      <c r="BE94" s="14">
        <f>BD94*VLOOKUP('Données projet'!$B$11,Paramètres!$A$1:$I$89,3,0)*VLOOKUP('Données projet'!$B$11,Paramètres!$A$1:$I$89,5,0)</f>
        <v>1.6405010683229191E-13</v>
      </c>
      <c r="BF94" s="14">
        <f t="shared" si="91"/>
        <v>2.3265121008813928E-12</v>
      </c>
      <c r="BG94" s="22">
        <f t="shared" si="61"/>
        <v>4.337729178434667E-12</v>
      </c>
      <c r="BH94" s="62">
        <f t="shared" si="62"/>
        <v>274.68682684284937</v>
      </c>
      <c r="BI94" s="62">
        <f ca="1">AVERAGE(OFFSET($BH$3,0,0,'Données projet'!$E$11+1,1))-AVERAGE(OFFSET($H$3,0,0,'Données projet'!$E$11+1,1))</f>
        <v>405.94837980869011</v>
      </c>
      <c r="BJ94" s="62">
        <f t="shared" si="92"/>
        <v>511.37583835090879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161.82307842823886</v>
      </c>
      <c r="BQ94" s="23">
        <f>EXP(-LN(2)/25)*BQ93+(1-EXP(-LN(2)/25))/(LN(2)/25)*Calculateur!BL94*Calculateur!BN94*VLOOKUP('Données projet'!$B$11,Paramètres!$A$1:$I$89,3,0)*0.475*44/12</f>
        <v>9.2966666479411018</v>
      </c>
      <c r="BR94" s="23">
        <f>EXP(-LN(2)/2)*BR93+(1-EXP(-LN(2)/2))/(LN(2)/2)*BL94*BO94*VLOOKUP('Données projet'!$B$11,Paramètres!$A$1:$I$89,3,0)*0.475*44/12</f>
        <v>5.2255891415644076E-7</v>
      </c>
      <c r="BS94" s="24">
        <f t="shared" si="63"/>
        <v>171.11974559873886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8.6</v>
      </c>
      <c r="BY94" s="13">
        <f>IF('Données projet'!$A$114&gt;35,BY93+BX94-CG93,IF(A94&lt;'Données projet'!$A$114,$BV$205^A94,IF(A94='Données projet'!$A$114,'Données projet'!$B$114,BY93+BX94-CG93)))</f>
        <v>428.59999999999997</v>
      </c>
      <c r="BZ94" s="14">
        <f>BY94*VLOOKUP('Données projet'!$B$12,Paramètres!$A$1:$I$89,3,0)*VLOOKUP('Données projet'!$B$12,Paramètres!$A$1:$I$89,5,0)</f>
        <v>367.73879999999997</v>
      </c>
      <c r="CA94" s="14">
        <f t="shared" si="93"/>
        <v>85.20453819128241</v>
      </c>
      <c r="CB94" s="22">
        <f t="shared" si="64"/>
        <v>788.87631401648343</v>
      </c>
      <c r="CC94" s="62">
        <f t="shared" si="65"/>
        <v>1063.5631408593285</v>
      </c>
      <c r="CD94" s="62">
        <f ca="1">AVERAGE(OFFSET($CC$3,0,0,'Données projet'!$E$12+1,1))-AVERAGE(OFFSET($H$3,0,0,'Données projet'!$E$12+1,1))</f>
        <v>590.18141384962507</v>
      </c>
      <c r="CE94" s="62">
        <f t="shared" si="94"/>
        <v>331.25104323342907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67.330313649866213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67.330313649866213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4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5.7</v>
      </c>
      <c r="N95" s="14">
        <f>IF('Données projet'!$A$36&gt;35,N94+M95-V94,IF(A95&lt;'Données projet'!$A$36,$K$205^A95,IF(A95='Données projet'!$A$36,'Données projet'!$B$36,N94+M95-V94)))</f>
        <v>206.79999999999995</v>
      </c>
      <c r="O95" s="14">
        <f>N95*VLOOKUP('Données projet'!$B$9,Paramètres!$A$1:$I$89,3,0)*VLOOKUP('Données projet'!$B$9,Paramètres!$A$1:$I$89,5,0)</f>
        <v>187.11263999999994</v>
      </c>
      <c r="P95" s="14">
        <f t="shared" si="87"/>
        <v>46.901030743214655</v>
      </c>
      <c r="Q95" s="22">
        <f t="shared" si="54"/>
        <v>407.57380987776543</v>
      </c>
      <c r="R95" s="62">
        <f t="shared" si="55"/>
        <v>682.58411192087715</v>
      </c>
      <c r="S95" s="62">
        <f ca="1">AVERAGE(OFFSET($R$3,0,0,'Données projet'!$E$9+1,1))-AVERAGE(OFFSET($H$3,0,0,'Données projet'!$E$9+1,1))</f>
        <v>432.80275651765203</v>
      </c>
      <c r="T95" s="62">
        <f t="shared" si="88"/>
        <v>203.89279893419919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16.313319412317885</v>
      </c>
      <c r="AA95" s="23">
        <f>EXP(-LN(2)/25)*AA94+(1-EXP(-LN(2)/25))/(LN(2)/25)*Calculateur!V95*Calculateur!X95*VLOOKUP('Données projet'!$B$9,Paramètres!$A$1:$I$89,3,0)*0.475*44/12</f>
        <v>11.818383668800189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28.131703081118076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1.9895196601282805E-13</v>
      </c>
      <c r="AJ95" s="14">
        <f>AI95*VLOOKUP('Données projet'!$B$10,Paramètres!$A$1:$I$89,3,0)*VLOOKUP('Données projet'!$B$10,Paramètres!$A$1:$I$89,5,0)</f>
        <v>1.738044375088066E-13</v>
      </c>
      <c r="AK95" s="14">
        <f t="shared" si="89"/>
        <v>2.4483293633950478E-12</v>
      </c>
      <c r="AL95" s="22">
        <f t="shared" si="58"/>
        <v>4.566883036574213E-12</v>
      </c>
      <c r="AM95" s="62">
        <f t="shared" si="59"/>
        <v>275.01030204311627</v>
      </c>
      <c r="AN95" s="62">
        <f ca="1">AVERAGE(OFFSET($AM$3,0,0,'Données projet'!$E$10+1,1))-AVERAGE(OFFSET($H$3,0,0,'Données projet'!$E$10+1,1))</f>
        <v>341.62910675299065</v>
      </c>
      <c r="AO95" s="62">
        <f t="shared" si="90"/>
        <v>407.15938341104709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66.881912603745789</v>
      </c>
      <c r="AV95" s="23">
        <f>EXP(-LN(2)/25)*AV94+(1-EXP(-LN(2)/25))/(LN(2)/25)*Calculateur!AQ95*Calculateur!AS95*VLOOKUP('Données projet'!$B$10,Paramètres!$A$1:$I$89,3,0)*0.475*44/12</f>
        <v>30.293279166276612</v>
      </c>
      <c r="AW95" s="23">
        <f>EXP(-LN(2)/2)*AW94+(1-EXP(-LN(2)/2))/(LN(2)/2)*AQ95*AT95*VLOOKUP('Données projet'!$B$10,Paramètres!$A$1:$I$89,3,0)*0.475*44/12</f>
        <v>2.0439303635728148E-4</v>
      </c>
      <c r="AX95" s="23">
        <f t="shared" si="60"/>
        <v>97.17539616305875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3.4106051316484809E-13</v>
      </c>
      <c r="BE95" s="14">
        <f>BD95*VLOOKUP('Données projet'!$B$11,Paramètres!$A$1:$I$89,3,0)*VLOOKUP('Données projet'!$B$11,Paramètres!$A$1:$I$89,5,0)</f>
        <v>1.6405010683229191E-13</v>
      </c>
      <c r="BF95" s="14">
        <f t="shared" si="91"/>
        <v>2.3265121008813928E-12</v>
      </c>
      <c r="BG95" s="22">
        <f t="shared" si="61"/>
        <v>4.337729178434667E-12</v>
      </c>
      <c r="BH95" s="62">
        <f t="shared" si="62"/>
        <v>275.01030204311604</v>
      </c>
      <c r="BI95" s="62">
        <f ca="1">AVERAGE(OFFSET($BH$3,0,0,'Données projet'!$E$11+1,1))-AVERAGE(OFFSET($H$3,0,0,'Données projet'!$E$11+1,1))</f>
        <v>405.94837980869011</v>
      </c>
      <c r="BJ95" s="62">
        <f t="shared" si="92"/>
        <v>511.37583835090879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158.64982656259289</v>
      </c>
      <c r="BQ95" s="23">
        <f>EXP(-LN(2)/25)*BQ94+(1-EXP(-LN(2)/25))/(LN(2)/25)*Calculateur!BL95*Calculateur!BN95*VLOOKUP('Données projet'!$B$11,Paramètres!$A$1:$I$89,3,0)*0.475*44/12</f>
        <v>9.0424488095627016</v>
      </c>
      <c r="BR95" s="23">
        <f>EXP(-LN(2)/2)*BR94+(1-EXP(-LN(2)/2))/(LN(2)/2)*BL95*BO95*VLOOKUP('Données projet'!$B$11,Paramètres!$A$1:$I$89,3,0)*0.475*44/12</f>
        <v>3.6950495176949823E-7</v>
      </c>
      <c r="BS95" s="24">
        <f t="shared" si="63"/>
        <v>167.69227574166055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8.6</v>
      </c>
      <c r="BY95" s="13">
        <f>IF('Données projet'!$A$114&gt;35,BY94+BX95-CG94,IF(A95&lt;'Données projet'!$A$114,$BV$205^A95,IF(A95='Données projet'!$A$114,'Données projet'!$B$114,BY94+BX95-CG94)))</f>
        <v>437.2</v>
      </c>
      <c r="BZ95" s="14">
        <f>BY95*VLOOKUP('Données projet'!$B$12,Paramètres!$A$1:$I$89,3,0)*VLOOKUP('Données projet'!$B$12,Paramètres!$A$1:$I$89,5,0)</f>
        <v>375.11760000000004</v>
      </c>
      <c r="CA95" s="14">
        <f t="shared" si="93"/>
        <v>86.713440086205196</v>
      </c>
      <c r="CB95" s="22">
        <f t="shared" si="64"/>
        <v>804.35572815014075</v>
      </c>
      <c r="CC95" s="62">
        <f t="shared" si="65"/>
        <v>1079.3660301932525</v>
      </c>
      <c r="CD95" s="62">
        <f ca="1">AVERAGE(OFFSET($CC$3,0,0,'Données projet'!$E$12+1,1))-AVERAGE(OFFSET($H$3,0,0,'Données projet'!$E$12+1,1))</f>
        <v>590.18141384962507</v>
      </c>
      <c r="CE95" s="62">
        <f t="shared" si="94"/>
        <v>331.25104323342907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66.010007266628591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66.010007266628591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4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5.7</v>
      </c>
      <c r="N96" s="14">
        <f>IF('Données projet'!$A$36&gt;35,N95+M96-V95,IF(A96&lt;'Données projet'!$A$36,$K$205^A96,IF(A96='Données projet'!$A$36,'Données projet'!$B$36,N95+M96-V95)))</f>
        <v>212.49999999999994</v>
      </c>
      <c r="O96" s="14">
        <f>N96*VLOOKUP('Données projet'!$B$9,Paramètres!$A$1:$I$89,3,0)*VLOOKUP('Données projet'!$B$9,Paramètres!$A$1:$I$89,5,0)</f>
        <v>192.26999999999995</v>
      </c>
      <c r="P96" s="14">
        <f t="shared" si="87"/>
        <v>48.041470197986364</v>
      </c>
      <c r="Q96" s="22">
        <f t="shared" si="54"/>
        <v>418.54247726149282</v>
      </c>
      <c r="R96" s="62">
        <f t="shared" si="55"/>
        <v>693.87064293332878</v>
      </c>
      <c r="S96" s="62">
        <f ca="1">AVERAGE(OFFSET($R$3,0,0,'Données projet'!$E$9+1,1))-AVERAGE(OFFSET($H$3,0,0,'Données projet'!$E$9+1,1))</f>
        <v>432.80275651765203</v>
      </c>
      <c r="T96" s="62">
        <f t="shared" si="88"/>
        <v>203.89279893419919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15.993425168784677</v>
      </c>
      <c r="AA96" s="23">
        <f>EXP(-LN(2)/25)*AA95+(1-EXP(-LN(2)/25))/(LN(2)/25)*Calculateur!V96*Calculateur!X96*VLOOKUP('Données projet'!$B$9,Paramètres!$A$1:$I$89,3,0)*0.475*44/12</f>
        <v>11.495209345875063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27.48863451465974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1.9895196601282805E-13</v>
      </c>
      <c r="AJ96" s="14">
        <f>AI96*VLOOKUP('Données projet'!$B$10,Paramètres!$A$1:$I$89,3,0)*VLOOKUP('Données projet'!$B$10,Paramètres!$A$1:$I$89,5,0)</f>
        <v>1.738044375088066E-13</v>
      </c>
      <c r="AK96" s="14">
        <f t="shared" si="89"/>
        <v>2.4483293633950478E-12</v>
      </c>
      <c r="AL96" s="22">
        <f t="shared" si="58"/>
        <v>4.566883036574213E-12</v>
      </c>
      <c r="AM96" s="62">
        <f t="shared" si="59"/>
        <v>275.32816567184051</v>
      </c>
      <c r="AN96" s="62">
        <f ca="1">AVERAGE(OFFSET($AM$3,0,0,'Données projet'!$E$10+1,1))-AVERAGE(OFFSET($H$3,0,0,'Données projet'!$E$10+1,1))</f>
        <v>341.62910675299065</v>
      </c>
      <c r="AO96" s="62">
        <f t="shared" si="90"/>
        <v>407.15938341104709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65.570399091524962</v>
      </c>
      <c r="AV96" s="23">
        <f>EXP(-LN(2)/25)*AV95+(1-EXP(-LN(2)/25))/(LN(2)/25)*Calculateur!AQ96*Calculateur!AS96*VLOOKUP('Données projet'!$B$10,Paramètres!$A$1:$I$89,3,0)*0.475*44/12</f>
        <v>29.464907854420463</v>
      </c>
      <c r="AW96" s="23">
        <f>EXP(-LN(2)/2)*AW95+(1-EXP(-LN(2)/2))/(LN(2)/2)*AQ96*AT96*VLOOKUP('Données projet'!$B$10,Paramètres!$A$1:$I$89,3,0)*0.475*44/12</f>
        <v>1.4452770203554228E-4</v>
      </c>
      <c r="AX96" s="23">
        <f t="shared" si="60"/>
        <v>95.035451473647456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3.4106051316484809E-13</v>
      </c>
      <c r="BE96" s="14">
        <f>BD96*VLOOKUP('Données projet'!$B$11,Paramètres!$A$1:$I$89,3,0)*VLOOKUP('Données projet'!$B$11,Paramètres!$A$1:$I$89,5,0)</f>
        <v>1.6405010683229191E-13</v>
      </c>
      <c r="BF96" s="14">
        <f t="shared" si="91"/>
        <v>2.3265121008813928E-12</v>
      </c>
      <c r="BG96" s="22">
        <f t="shared" si="61"/>
        <v>4.337729178434667E-12</v>
      </c>
      <c r="BH96" s="62">
        <f t="shared" si="62"/>
        <v>275.32816567184028</v>
      </c>
      <c r="BI96" s="62">
        <f ca="1">AVERAGE(OFFSET($BH$3,0,0,'Données projet'!$E$11+1,1))-AVERAGE(OFFSET($H$3,0,0,'Données projet'!$E$11+1,1))</f>
        <v>405.94837980869011</v>
      </c>
      <c r="BJ96" s="62">
        <f t="shared" si="92"/>
        <v>511.37583835090879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155.53880023053972</v>
      </c>
      <c r="BQ96" s="23">
        <f>EXP(-LN(2)/25)*BQ95+(1-EXP(-LN(2)/25))/(LN(2)/25)*Calculateur!BL96*Calculateur!BN96*VLOOKUP('Données projet'!$B$11,Paramètres!$A$1:$I$89,3,0)*0.475*44/12</f>
        <v>8.7951825713434939</v>
      </c>
      <c r="BR96" s="23">
        <f>EXP(-LN(2)/2)*BR95+(1-EXP(-LN(2)/2))/(LN(2)/2)*BL96*BO96*VLOOKUP('Données projet'!$B$11,Paramètres!$A$1:$I$89,3,0)*0.475*44/12</f>
        <v>2.6127945707822038E-7</v>
      </c>
      <c r="BS96" s="24">
        <f t="shared" si="63"/>
        <v>164.33398306316269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8.6</v>
      </c>
      <c r="BY96" s="13">
        <f>IF('Données projet'!$A$114&gt;35,BY95+BX96-CG95,IF(A96&lt;'Données projet'!$A$114,$BV$205^A96,IF(A96='Données projet'!$A$114,'Données projet'!$B$114,BY95+BX96-CG95)))</f>
        <v>445.8</v>
      </c>
      <c r="BZ96" s="14">
        <f>BY96*VLOOKUP('Données projet'!$B$12,Paramètres!$A$1:$I$89,3,0)*VLOOKUP('Données projet'!$B$12,Paramètres!$A$1:$I$89,5,0)</f>
        <v>382.49640000000005</v>
      </c>
      <c r="CA96" s="14">
        <f t="shared" si="93"/>
        <v>88.218890823541386</v>
      </c>
      <c r="CB96" s="22">
        <f t="shared" si="64"/>
        <v>819.82913151766786</v>
      </c>
      <c r="CC96" s="62">
        <f t="shared" si="65"/>
        <v>1095.1572971895039</v>
      </c>
      <c r="CD96" s="62">
        <f ca="1">AVERAGE(OFFSET($CC$3,0,0,'Données projet'!$E$12+1,1))-AVERAGE(OFFSET($H$3,0,0,'Données projet'!$E$12+1,1))</f>
        <v>590.18141384962507</v>
      </c>
      <c r="CE96" s="62">
        <f t="shared" si="94"/>
        <v>331.25104323342907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64.715591286258885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64.715591286258885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4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5.7</v>
      </c>
      <c r="N97" s="14">
        <f>IF('Données projet'!$A$36&gt;35,N96+M97-V96,IF(A97&lt;'Données projet'!$A$36,$K$205^A97,IF(A97='Données projet'!$A$36,'Données projet'!$B$36,N96+M97-V96)))</f>
        <v>218.19999999999993</v>
      </c>
      <c r="O97" s="14">
        <f>N97*VLOOKUP('Données projet'!$B$9,Paramètres!$A$1:$I$89,3,0)*VLOOKUP('Données projet'!$B$9,Paramètres!$A$1:$I$89,5,0)</f>
        <v>197.42735999999994</v>
      </c>
      <c r="P97" s="14">
        <f t="shared" si="87"/>
        <v>49.178354008041829</v>
      </c>
      <c r="Q97" s="22">
        <f t="shared" si="54"/>
        <v>429.50495189733937</v>
      </c>
      <c r="R97" s="62">
        <f t="shared" si="55"/>
        <v>705.14546697457786</v>
      </c>
      <c r="S97" s="62">
        <f ca="1">AVERAGE(OFFSET($R$3,0,0,'Données projet'!$E$9+1,1))-AVERAGE(OFFSET($H$3,0,0,'Données projet'!$E$9+1,1))</f>
        <v>432.80275651765203</v>
      </c>
      <c r="T97" s="62">
        <f t="shared" si="88"/>
        <v>203.89279893419919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15.679803856250933</v>
      </c>
      <c r="AA97" s="23">
        <f>EXP(-LN(2)/25)*AA96+(1-EXP(-LN(2)/25))/(LN(2)/25)*Calculateur!V97*Calculateur!X97*VLOOKUP('Données projet'!$B$9,Paramètres!$A$1:$I$89,3,0)*0.475*44/12</f>
        <v>11.180872241805323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26.860676098056256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1.9895196601282805E-13</v>
      </c>
      <c r="AJ97" s="14">
        <f>AI97*VLOOKUP('Données projet'!$B$10,Paramètres!$A$1:$I$89,3,0)*VLOOKUP('Données projet'!$B$10,Paramètres!$A$1:$I$89,5,0)</f>
        <v>1.738044375088066E-13</v>
      </c>
      <c r="AK97" s="14">
        <f t="shared" si="89"/>
        <v>2.4483293633950478E-12</v>
      </c>
      <c r="AL97" s="22">
        <f t="shared" si="58"/>
        <v>4.566883036574213E-12</v>
      </c>
      <c r="AM97" s="62">
        <f t="shared" si="59"/>
        <v>275.64051507724304</v>
      </c>
      <c r="AN97" s="62">
        <f ca="1">AVERAGE(OFFSET($AM$3,0,0,'Données projet'!$E$10+1,1))-AVERAGE(OFFSET($H$3,0,0,'Données projet'!$E$10+1,1))</f>
        <v>341.62910675299065</v>
      </c>
      <c r="AO97" s="62">
        <f t="shared" si="90"/>
        <v>407.15938341104709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64.284603559334528</v>
      </c>
      <c r="AV97" s="23">
        <f>EXP(-LN(2)/25)*AV96+(1-EXP(-LN(2)/25))/(LN(2)/25)*Calculateur!AQ97*Calculateur!AS97*VLOOKUP('Données projet'!$B$10,Paramètres!$A$1:$I$89,3,0)*0.475*44/12</f>
        <v>28.659188399649175</v>
      </c>
      <c r="AW97" s="23">
        <f>EXP(-LN(2)/2)*AW96+(1-EXP(-LN(2)/2))/(LN(2)/2)*AQ97*AT97*VLOOKUP('Données projet'!$B$10,Paramètres!$A$1:$I$89,3,0)*0.475*44/12</f>
        <v>1.0219651817864074E-4</v>
      </c>
      <c r="AX97" s="23">
        <f t="shared" si="60"/>
        <v>92.94389415550188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3.4106051316484809E-13</v>
      </c>
      <c r="BE97" s="14">
        <f>BD97*VLOOKUP('Données projet'!$B$11,Paramètres!$A$1:$I$89,3,0)*VLOOKUP('Données projet'!$B$11,Paramètres!$A$1:$I$89,5,0)</f>
        <v>1.6405010683229191E-13</v>
      </c>
      <c r="BF97" s="14">
        <f t="shared" si="91"/>
        <v>2.3265121008813928E-12</v>
      </c>
      <c r="BG97" s="22">
        <f t="shared" si="61"/>
        <v>4.337729178434667E-12</v>
      </c>
      <c r="BH97" s="62">
        <f t="shared" si="62"/>
        <v>275.64051507724281</v>
      </c>
      <c r="BI97" s="62">
        <f ca="1">AVERAGE(OFFSET($BH$3,0,0,'Données projet'!$E$11+1,1))-AVERAGE(OFFSET($H$3,0,0,'Données projet'!$E$11+1,1))</f>
        <v>405.94837980869011</v>
      </c>
      <c r="BJ97" s="62">
        <f t="shared" si="92"/>
        <v>511.37583835090879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152.48877922731941</v>
      </c>
      <c r="BQ97" s="23">
        <f>EXP(-LN(2)/25)*BQ96+(1-EXP(-LN(2)/25))/(LN(2)/25)*Calculateur!BL97*Calculateur!BN97*VLOOKUP('Données projet'!$B$11,Paramètres!$A$1:$I$89,3,0)*0.475*44/12</f>
        <v>8.5546778414115572</v>
      </c>
      <c r="BR97" s="23">
        <f>EXP(-LN(2)/2)*BR96+(1-EXP(-LN(2)/2))/(LN(2)/2)*BL97*BO97*VLOOKUP('Données projet'!$B$11,Paramètres!$A$1:$I$89,3,0)*0.475*44/12</f>
        <v>1.8475247588474912E-7</v>
      </c>
      <c r="BS97" s="24">
        <f t="shared" si="63"/>
        <v>161.04345725348344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8.6</v>
      </c>
      <c r="BY97" s="13">
        <f>IF('Données projet'!$A$114&gt;35,BY96+BX97-CG96,IF(A97&lt;'Données projet'!$A$114,$BV$205^A97,IF(A97='Données projet'!$A$114,'Données projet'!$B$114,BY96+BX97-CG96)))</f>
        <v>454.40000000000003</v>
      </c>
      <c r="BZ97" s="14">
        <f>BY97*VLOOKUP('Données projet'!$B$12,Paramètres!$A$1:$I$89,3,0)*VLOOKUP('Données projet'!$B$12,Paramètres!$A$1:$I$89,5,0)</f>
        <v>389.87520000000006</v>
      </c>
      <c r="CA97" s="14">
        <f t="shared" si="93"/>
        <v>89.720964655579479</v>
      </c>
      <c r="CB97" s="22">
        <f t="shared" si="64"/>
        <v>835.29665344180091</v>
      </c>
      <c r="CC97" s="62">
        <f t="shared" si="65"/>
        <v>1110.9371685190395</v>
      </c>
      <c r="CD97" s="62">
        <f ca="1">AVERAGE(OFFSET($CC$3,0,0,'Données projet'!$E$12+1,1))-AVERAGE(OFFSET($H$3,0,0,'Données projet'!$E$12+1,1))</f>
        <v>590.18141384962507</v>
      </c>
      <c r="CE97" s="62">
        <f t="shared" si="94"/>
        <v>331.25104323342907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63.446558013748437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63.446558013748437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4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5.7</v>
      </c>
      <c r="N98" s="14">
        <f>IF('Données projet'!$A$36&gt;35,N97+M98-V97,IF(A98&lt;'Données projet'!$A$36,$K$205^A98,IF(A98='Données projet'!$A$36,'Données projet'!$B$36,N97+M98-V97)))</f>
        <v>223.89999999999992</v>
      </c>
      <c r="O98" s="14">
        <f>N98*VLOOKUP('Données projet'!$B$9,Paramètres!$A$1:$I$89,3,0)*VLOOKUP('Données projet'!$B$9,Paramètres!$A$1:$I$89,5,0)</f>
        <v>202.58471999999992</v>
      </c>
      <c r="P98" s="14">
        <f t="shared" si="87"/>
        <v>50.31178573484361</v>
      </c>
      <c r="Q98" s="22">
        <f t="shared" si="54"/>
        <v>440.46141415485243</v>
      </c>
      <c r="R98" s="62">
        <f t="shared" si="55"/>
        <v>716.40886007361837</v>
      </c>
      <c r="S98" s="62">
        <f ca="1">AVERAGE(OFFSET($R$3,0,0,'Données projet'!$E$9+1,1))-AVERAGE(OFFSET($H$3,0,0,'Données projet'!$E$9+1,1))</f>
        <v>432.80275651765203</v>
      </c>
      <c r="T98" s="62">
        <f t="shared" si="88"/>
        <v>203.89279893419919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15.372332466365863</v>
      </c>
      <c r="AA98" s="23">
        <f>EXP(-LN(2)/25)*AA97+(1-EXP(-LN(2)/25))/(LN(2)/25)*Calculateur!V98*Calculateur!X98*VLOOKUP('Données projet'!$B$9,Paramètres!$A$1:$I$89,3,0)*0.475*44/12</f>
        <v>10.875130702376639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26.247463168742502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1.9895196601282805E-13</v>
      </c>
      <c r="AJ98" s="14">
        <f>AI98*VLOOKUP('Données projet'!$B$10,Paramètres!$A$1:$I$89,3,0)*VLOOKUP('Données projet'!$B$10,Paramètres!$A$1:$I$89,5,0)</f>
        <v>1.738044375088066E-13</v>
      </c>
      <c r="AK98" s="14">
        <f t="shared" si="89"/>
        <v>2.4483293633950478E-12</v>
      </c>
      <c r="AL98" s="22">
        <f t="shared" si="58"/>
        <v>4.566883036574213E-12</v>
      </c>
      <c r="AM98" s="62">
        <f t="shared" si="59"/>
        <v>275.94744591877048</v>
      </c>
      <c r="AN98" s="62">
        <f ca="1">AVERAGE(OFFSET($AM$3,0,0,'Données projet'!$E$10+1,1))-AVERAGE(OFFSET($H$3,0,0,'Données projet'!$E$10+1,1))</f>
        <v>341.62910675299065</v>
      </c>
      <c r="AO98" s="62">
        <f t="shared" si="90"/>
        <v>407.15938341104709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63.024021693272509</v>
      </c>
      <c r="AV98" s="23">
        <f>EXP(-LN(2)/25)*AV97+(1-EXP(-LN(2)/25))/(LN(2)/25)*Calculateur!AQ98*Calculateur!AS98*VLOOKUP('Données projet'!$B$10,Paramètres!$A$1:$I$89,3,0)*0.475*44/12</f>
        <v>27.87550138573955</v>
      </c>
      <c r="AW98" s="23">
        <f>EXP(-LN(2)/2)*AW97+(1-EXP(-LN(2)/2))/(LN(2)/2)*AQ98*AT98*VLOOKUP('Données projet'!$B$10,Paramètres!$A$1:$I$89,3,0)*0.475*44/12</f>
        <v>7.2263851017771141E-5</v>
      </c>
      <c r="AX98" s="23">
        <f t="shared" si="60"/>
        <v>90.89959534286308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3.4106051316484809E-13</v>
      </c>
      <c r="BE98" s="14">
        <f>BD98*VLOOKUP('Données projet'!$B$11,Paramètres!$A$1:$I$89,3,0)*VLOOKUP('Données projet'!$B$11,Paramètres!$A$1:$I$89,5,0)</f>
        <v>1.6405010683229191E-13</v>
      </c>
      <c r="BF98" s="14">
        <f t="shared" si="91"/>
        <v>2.3265121008813928E-12</v>
      </c>
      <c r="BG98" s="22">
        <f t="shared" si="61"/>
        <v>4.337729178434667E-12</v>
      </c>
      <c r="BH98" s="62">
        <f t="shared" si="62"/>
        <v>275.94744591877026</v>
      </c>
      <c r="BI98" s="62">
        <f ca="1">AVERAGE(OFFSET($BH$3,0,0,'Données projet'!$E$11+1,1))-AVERAGE(OFFSET($H$3,0,0,'Données projet'!$E$11+1,1))</f>
        <v>405.94837980869011</v>
      </c>
      <c r="BJ98" s="62">
        <f t="shared" si="92"/>
        <v>511.37583835090879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149.49856727564313</v>
      </c>
      <c r="BQ98" s="23">
        <f>EXP(-LN(2)/25)*BQ97+(1-EXP(-LN(2)/25))/(LN(2)/25)*Calculateur!BL98*Calculateur!BN98*VLOOKUP('Données projet'!$B$11,Paramètres!$A$1:$I$89,3,0)*0.475*44/12</f>
        <v>8.3207497259672021</v>
      </c>
      <c r="BR98" s="23">
        <f>EXP(-LN(2)/2)*BR97+(1-EXP(-LN(2)/2))/(LN(2)/2)*BL98*BO98*VLOOKUP('Données projet'!$B$11,Paramètres!$A$1:$I$89,3,0)*0.475*44/12</f>
        <v>1.3063972853911019E-7</v>
      </c>
      <c r="BS98" s="24">
        <f t="shared" si="63"/>
        <v>157.81931713225006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463</v>
      </c>
      <c r="BW98" s="13">
        <f>VLOOKUP(A98,'Données projet'!$A$113:$I$133,9,0)</f>
        <v>8.6</v>
      </c>
      <c r="BX98" s="13">
        <f t="array" ref="BX98">INDEX(BW:BW,MIN(IF(ISNUMBER(BW98:BW294),ROW(BW98:BW294),"")))</f>
        <v>8.6</v>
      </c>
      <c r="BY98" s="13">
        <f>IF('Données projet'!$A$114&gt;35,BY97+BX98-CG97,IF(A98&lt;'Données projet'!$A$114,$BV$205^A98,IF(A98='Données projet'!$A$114,'Données projet'!$B$114,BY97+BX98-CG97)))</f>
        <v>463.00000000000006</v>
      </c>
      <c r="BZ98" s="14">
        <f>BY98*VLOOKUP('Données projet'!$B$12,Paramètres!$A$1:$I$89,3,0)*VLOOKUP('Données projet'!$B$12,Paramètres!$A$1:$I$89,5,0)</f>
        <v>397.25400000000013</v>
      </c>
      <c r="CA98" s="14">
        <f t="shared" si="93"/>
        <v>91.219732863167494</v>
      </c>
      <c r="CB98" s="22">
        <f t="shared" si="64"/>
        <v>850.75841807001689</v>
      </c>
      <c r="CC98" s="62">
        <f t="shared" si="65"/>
        <v>1126.7058639887828</v>
      </c>
      <c r="CD98" s="62">
        <f ca="1">AVERAGE(OFFSET($CC$3,0,0,'Données projet'!$E$12+1,1))-AVERAGE(OFFSET($H$3,0,0,'Données projet'!$E$12+1,1))</f>
        <v>590.18141384962507</v>
      </c>
      <c r="CE98" s="62">
        <f t="shared" si="94"/>
        <v>331.25104323342907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30</v>
      </c>
      <c r="CH98" s="17">
        <f>IF(ISNA(VLOOKUP(A98,'Données projet'!$A$113:$I$133,5,0)),0%,VLOOKUP(A98,'Données projet'!$A$113:$I$133,5,0)*VLOOKUP('Données projet'!$B$12,Paramètres!$A$1:$I$89,7,0))</f>
        <v>0.53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77.283457721342458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77.283457721342458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4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5.7</v>
      </c>
      <c r="N99" s="14">
        <f>IF('Données projet'!$A$36&gt;35,N98+M99-V98,IF(A99&lt;'Données projet'!$A$36,$K$205^A99,IF(A99='Données projet'!$A$36,'Données projet'!$B$36,N98+M99-V98)))</f>
        <v>229.59999999999991</v>
      </c>
      <c r="O99" s="14">
        <f>N99*VLOOKUP('Données projet'!$B$9,Paramètres!$A$1:$I$89,3,0)*VLOOKUP('Données projet'!$B$9,Paramètres!$A$1:$I$89,5,0)</f>
        <v>207.74207999999993</v>
      </c>
      <c r="P99" s="14">
        <f t="shared" si="87"/>
        <v>51.441863366522369</v>
      </c>
      <c r="Q99" s="22">
        <f t="shared" ref="Q99:Q130" si="107">(O99+P99)*0.475*44/12</f>
        <v>451.41203469669296</v>
      </c>
      <c r="R99" s="62">
        <f t="shared" si="55"/>
        <v>727.66108689308044</v>
      </c>
      <c r="S99" s="62">
        <f ca="1">AVERAGE(OFFSET($R$3,0,0,'Données projet'!$E$9+1,1))-AVERAGE(OFFSET($H$3,0,0,'Données projet'!$E$9+1,1))</f>
        <v>432.80275651765203</v>
      </c>
      <c r="T99" s="62">
        <f t="shared" si="88"/>
        <v>203.89279893419919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15.07089040289741</v>
      </c>
      <c r="AA99" s="23">
        <f>EXP(-LN(2)/25)*AA98+(1-EXP(-LN(2)/25))/(LN(2)/25)*Calculateur!V99*Calculateur!X99*VLOOKUP('Données projet'!$B$9,Paramètres!$A$1:$I$89,3,0)*0.475*44/12</f>
        <v>10.577749681421881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25.64864008431929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1.9895196601282805E-13</v>
      </c>
      <c r="AJ99" s="14">
        <f>AI99*VLOOKUP('Données projet'!$B$10,Paramètres!$A$1:$I$89,3,0)*VLOOKUP('Données projet'!$B$10,Paramètres!$A$1:$I$89,5,0)</f>
        <v>1.738044375088066E-13</v>
      </c>
      <c r="AK99" s="14">
        <f t="shared" si="89"/>
        <v>2.4483293633950478E-12</v>
      </c>
      <c r="AL99" s="22">
        <f t="shared" si="58"/>
        <v>4.566883036574213E-12</v>
      </c>
      <c r="AM99" s="62">
        <f t="shared" si="59"/>
        <v>276.24905219639197</v>
      </c>
      <c r="AN99" s="62">
        <f ca="1">AVERAGE(OFFSET($AM$3,0,0,'Données projet'!$E$10+1,1))-AVERAGE(OFFSET($H$3,0,0,'Données projet'!$E$10+1,1))</f>
        <v>341.62910675299065</v>
      </c>
      <c r="AO99" s="62">
        <f t="shared" si="90"/>
        <v>407.15938341104709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61.788159068724951</v>
      </c>
      <c r="AV99" s="23">
        <f>EXP(-LN(2)/25)*AV98+(1-EXP(-LN(2)/25))/(LN(2)/25)*Calculateur!AQ99*Calculateur!AS99*VLOOKUP('Données projet'!$B$10,Paramètres!$A$1:$I$89,3,0)*0.475*44/12</f>
        <v>27.113244334437596</v>
      </c>
      <c r="AW99" s="23">
        <f>EXP(-LN(2)/2)*AW98+(1-EXP(-LN(2)/2))/(LN(2)/2)*AQ99*AT99*VLOOKUP('Données projet'!$B$10,Paramètres!$A$1:$I$89,3,0)*0.475*44/12</f>
        <v>5.1098259089320369E-5</v>
      </c>
      <c r="AX99" s="23">
        <f t="shared" si="60"/>
        <v>88.90145450142164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3.4106051316484809E-13</v>
      </c>
      <c r="BE99" s="14">
        <f>BD99*VLOOKUP('Données projet'!$B$11,Paramètres!$A$1:$I$89,3,0)*VLOOKUP('Données projet'!$B$11,Paramètres!$A$1:$I$89,5,0)</f>
        <v>1.6405010683229191E-13</v>
      </c>
      <c r="BF99" s="14">
        <f t="shared" si="91"/>
        <v>2.3265121008813928E-12</v>
      </c>
      <c r="BG99" s="22">
        <f t="shared" si="61"/>
        <v>4.337729178434667E-12</v>
      </c>
      <c r="BH99" s="62">
        <f t="shared" si="62"/>
        <v>276.24905219639174</v>
      </c>
      <c r="BI99" s="62">
        <f ca="1">AVERAGE(OFFSET($BH$3,0,0,'Données projet'!$E$11+1,1))-AVERAGE(OFFSET($H$3,0,0,'Données projet'!$E$11+1,1))</f>
        <v>405.94837980869011</v>
      </c>
      <c r="BJ99" s="62">
        <f t="shared" si="92"/>
        <v>511.37583835090879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146.56699155649002</v>
      </c>
      <c r="BQ99" s="23">
        <f>EXP(-LN(2)/25)*BQ98+(1-EXP(-LN(2)/25))/(LN(2)/25)*Calculateur!BL99*Calculateur!BN99*VLOOKUP('Données projet'!$B$11,Paramètres!$A$1:$I$89,3,0)*0.475*44/12</f>
        <v>8.0932183871414178</v>
      </c>
      <c r="BR99" s="23">
        <f>EXP(-LN(2)/2)*BR98+(1-EXP(-LN(2)/2))/(LN(2)/2)*BL99*BO99*VLOOKUP('Données projet'!$B$11,Paramètres!$A$1:$I$89,3,0)*0.475*44/12</f>
        <v>9.2376237942374558E-8</v>
      </c>
      <c r="BS99" s="24">
        <f t="shared" si="63"/>
        <v>154.66021003600767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8.1999999999999993</v>
      </c>
      <c r="BY99" s="13">
        <f>IF('Données projet'!$A$114&gt;35,BY98+BX99-CG98,IF(A99&lt;'Données projet'!$A$114,$BV$205^A99,IF(A99='Données projet'!$A$114,'Données projet'!$B$114,BY98+BX99-CG98)))</f>
        <v>441.20000000000005</v>
      </c>
      <c r="BZ99" s="14">
        <f>BY99*VLOOKUP('Données projet'!$B$12,Paramètres!$A$1:$I$89,3,0)*VLOOKUP('Données projet'!$B$12,Paramètres!$A$1:$I$89,5,0)</f>
        <v>378.54960000000011</v>
      </c>
      <c r="CA99" s="14">
        <f t="shared" si="93"/>
        <v>87.414074444191471</v>
      </c>
      <c r="CB99" s="22">
        <f t="shared" si="64"/>
        <v>811.55339965696703</v>
      </c>
      <c r="CC99" s="62">
        <f t="shared" si="65"/>
        <v>1087.8024518533543</v>
      </c>
      <c r="CD99" s="62">
        <f ca="1">AVERAGE(OFFSET($CC$3,0,0,'Données projet'!$E$12+1,1))-AVERAGE(OFFSET($H$3,0,0,'Données projet'!$E$12+1,1))</f>
        <v>590.18141384962507</v>
      </c>
      <c r="CE99" s="62">
        <f t="shared" si="94"/>
        <v>331.25104323342907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75.767976253681624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75.767976253681624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4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5.7</v>
      </c>
      <c r="N100" s="14">
        <f>IF('Données projet'!$A$36&gt;35,N99+M100-V99,IF(A100&lt;'Données projet'!$A$36,$K$205^A100,IF(A100='Données projet'!$A$36,'Données projet'!$B$36,N99+M100-V99)))</f>
        <v>235.2999999999999</v>
      </c>
      <c r="O100" s="14">
        <f>N100*VLOOKUP('Données projet'!$B$9,Paramètres!$A$1:$I$89,3,0)*VLOOKUP('Données projet'!$B$9,Paramètres!$A$1:$I$89,5,0)</f>
        <v>212.89943999999991</v>
      </c>
      <c r="P100" s="14">
        <f t="shared" si="87"/>
        <v>52.568679748625613</v>
      </c>
      <c r="Q100" s="22">
        <f t="shared" si="107"/>
        <v>462.35697522885613</v>
      </c>
      <c r="R100" s="62">
        <f t="shared" si="55"/>
        <v>738.90240150823888</v>
      </c>
      <c r="S100" s="62">
        <f ca="1">AVERAGE(OFFSET($R$3,0,0,'Données projet'!$E$9+1,1))-AVERAGE(OFFSET($H$3,0,0,'Données projet'!$E$9+1,1))</f>
        <v>432.80275651765203</v>
      </c>
      <c r="T100" s="62">
        <f t="shared" si="88"/>
        <v>203.89279893419919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14.775359434432071</v>
      </c>
      <c r="AA100" s="23">
        <f>EXP(-LN(2)/25)*AA99+(1-EXP(-LN(2)/25))/(LN(2)/25)*Calculateur!V100*Calculateur!X100*VLOOKUP('Données projet'!$B$9,Paramètres!$A$1:$I$89,3,0)*0.475*44/12</f>
        <v>10.288500560123721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25.063859994555791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1.9895196601282805E-13</v>
      </c>
      <c r="AJ100" s="14">
        <f>AI100*VLOOKUP('Données projet'!$B$10,Paramètres!$A$1:$I$89,3,0)*VLOOKUP('Données projet'!$B$10,Paramètres!$A$1:$I$89,5,0)</f>
        <v>1.738044375088066E-13</v>
      </c>
      <c r="AK100" s="14">
        <f t="shared" si="89"/>
        <v>2.4483293633950478E-12</v>
      </c>
      <c r="AL100" s="22">
        <f t="shared" si="58"/>
        <v>4.566883036574213E-12</v>
      </c>
      <c r="AM100" s="62">
        <f t="shared" si="59"/>
        <v>276.54542627938736</v>
      </c>
      <c r="AN100" s="62">
        <f ca="1">AVERAGE(OFFSET($AM$3,0,0,'Données projet'!$E$10+1,1))-AVERAGE(OFFSET($H$3,0,0,'Données projet'!$E$10+1,1))</f>
        <v>341.62910675299065</v>
      </c>
      <c r="AO100" s="62">
        <f t="shared" si="90"/>
        <v>407.15938341104709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60.576530956443001</v>
      </c>
      <c r="AV100" s="23">
        <f>EXP(-LN(2)/25)*AV99+(1-EXP(-LN(2)/25))/(LN(2)/25)*Calculateur!AQ100*Calculateur!AS100*VLOOKUP('Données projet'!$B$10,Paramètres!$A$1:$I$89,3,0)*0.475*44/12</f>
        <v>26.371831242288849</v>
      </c>
      <c r="AW100" s="23">
        <f>EXP(-LN(2)/2)*AW99+(1-EXP(-LN(2)/2))/(LN(2)/2)*AQ100*AT100*VLOOKUP('Données projet'!$B$10,Paramètres!$A$1:$I$89,3,0)*0.475*44/12</f>
        <v>3.6131925508885571E-5</v>
      </c>
      <c r="AX100" s="23">
        <f t="shared" si="60"/>
        <v>86.948398330657355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3.4106051316484809E-13</v>
      </c>
      <c r="BE100" s="14">
        <f>BD100*VLOOKUP('Données projet'!$B$11,Paramètres!$A$1:$I$89,3,0)*VLOOKUP('Données projet'!$B$11,Paramètres!$A$1:$I$89,5,0)</f>
        <v>1.6405010683229191E-13</v>
      </c>
      <c r="BF100" s="14">
        <f t="shared" si="91"/>
        <v>2.3265121008813928E-12</v>
      </c>
      <c r="BG100" s="22">
        <f t="shared" si="61"/>
        <v>4.337729178434667E-12</v>
      </c>
      <c r="BH100" s="62">
        <f t="shared" si="62"/>
        <v>276.54542627938713</v>
      </c>
      <c r="BI100" s="62">
        <f ca="1">AVERAGE(OFFSET($BH$3,0,0,'Données projet'!$E$11+1,1))-AVERAGE(OFFSET($H$3,0,0,'Données projet'!$E$11+1,1))</f>
        <v>405.94837980869011</v>
      </c>
      <c r="BJ100" s="62">
        <f t="shared" si="92"/>
        <v>511.37583835090879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143.69290224910489</v>
      </c>
      <c r="BQ100" s="23">
        <f>EXP(-LN(2)/25)*BQ99+(1-EXP(-LN(2)/25))/(LN(2)/25)*Calculateur!BL100*Calculateur!BN100*VLOOKUP('Données projet'!$B$11,Paramètres!$A$1:$I$89,3,0)*0.475*44/12</f>
        <v>7.8719089047411783</v>
      </c>
      <c r="BR100" s="23">
        <f>EXP(-LN(2)/2)*BR99+(1-EXP(-LN(2)/2))/(LN(2)/2)*BL100*BO100*VLOOKUP('Données projet'!$B$11,Paramètres!$A$1:$I$89,3,0)*0.475*44/12</f>
        <v>6.5319864269555095E-8</v>
      </c>
      <c r="BS100" s="24">
        <f t="shared" si="63"/>
        <v>151.56481121916593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8.1999999999999993</v>
      </c>
      <c r="BY100" s="13">
        <f>IF('Données projet'!$A$114&gt;35,BY99+BX100-CG99,IF(A100&lt;'Données projet'!$A$114,$BV$205^A100,IF(A100='Données projet'!$A$114,'Données projet'!$B$114,BY99+BX100-CG99)))</f>
        <v>449.40000000000003</v>
      </c>
      <c r="BZ100" s="14">
        <f>BY100*VLOOKUP('Données projet'!$B$12,Paramètres!$A$1:$I$89,3,0)*VLOOKUP('Données projet'!$B$12,Paramètres!$A$1:$I$89,5,0)</f>
        <v>385.5852000000001</v>
      </c>
      <c r="CA100" s="14">
        <f t="shared" si="93"/>
        <v>88.84807267555091</v>
      </c>
      <c r="CB100" s="22">
        <f t="shared" si="64"/>
        <v>826.30461657658464</v>
      </c>
      <c r="CC100" s="62">
        <f t="shared" si="65"/>
        <v>1102.8500428559673</v>
      </c>
      <c r="CD100" s="62">
        <f ca="1">AVERAGE(OFFSET($CC$3,0,0,'Données projet'!$E$12+1,1))-AVERAGE(OFFSET($H$3,0,0,'Données projet'!$E$12+1,1))</f>
        <v>590.18141384962507</v>
      </c>
      <c r="CE100" s="62">
        <f t="shared" si="94"/>
        <v>331.25104323342907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74.282212453249201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74.282212453249201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4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>
        <f>VLOOKUP(A101,'Données projet'!$A$35:$I$55,2,0)</f>
        <v>241</v>
      </c>
      <c r="L101" s="13">
        <f>VLOOKUP(A101,'Données projet'!$A$35:$I$55,9,0)</f>
        <v>5.7</v>
      </c>
      <c r="M101" s="13">
        <f t="array" ref="M101">INDEX(L:L,MIN(IF(ISNUMBER(L101:L297),ROW(L101:L297),"")))</f>
        <v>5.7</v>
      </c>
      <c r="N101" s="14">
        <f>IF('Données projet'!$A$36&gt;35,N100+M101-V100,IF(A101&lt;'Données projet'!$A$36,$K$205^A101,IF(A101='Données projet'!$A$36,'Données projet'!$B$36,N100+M101-V100)))</f>
        <v>240.99999999999989</v>
      </c>
      <c r="O101" s="14">
        <f>N101*VLOOKUP('Données projet'!$B$9,Paramètres!$A$1:$I$89,3,0)*VLOOKUP('Données projet'!$B$9,Paramètres!$A$1:$I$89,5,0)</f>
        <v>218.05679999999987</v>
      </c>
      <c r="P101" s="14">
        <f t="shared" si="87"/>
        <v>53.69232297195181</v>
      </c>
      <c r="Q101" s="22">
        <f t="shared" si="107"/>
        <v>473.29638917614921</v>
      </c>
      <c r="R101" s="62">
        <f t="shared" si="55"/>
        <v>750.13304811078058</v>
      </c>
      <c r="S101" s="62">
        <f ca="1">AVERAGE(OFFSET($R$3,0,0,'Données projet'!$E$9+1,1))-AVERAGE(OFFSET($H$3,0,0,'Données projet'!$E$9+1,1))</f>
        <v>432.80275651765203</v>
      </c>
      <c r="T101" s="62">
        <f t="shared" si="88"/>
        <v>203.89279893419919</v>
      </c>
      <c r="U101" s="16">
        <f>IF(ISNA(VLOOKUP(A101,'Données projet'!$A$35:$I$55,3,0)),0,VLOOKUP(A101,'Données projet'!$A$35:$I$55,3,0))</f>
        <v>6</v>
      </c>
      <c r="V101" s="16">
        <f>IF(ISNA(VLOOKUP(A101,'Données projet'!$A$35:$I$55,4,0)),0,VLOOKUP(A101,'Données projet'!$A$35:$I$55,4,0))</f>
        <v>34</v>
      </c>
      <c r="W101" s="17">
        <f>IF(ISNA(VLOOKUP(A101,'Données projet'!$A$35:$I$55,5,0)),0%,VLOOKUP(A101,'Données projet'!$A$35:$I$55,5,0)*VLOOKUP('Données projet'!$B$9,Paramètres!$A$1:$I$89,7,0))</f>
        <v>0.215</v>
      </c>
      <c r="X101" s="17">
        <f>IF(ISNA(VLOOKUP(A101,'Données projet'!$A$35:$I$55,6,0)),0%,VLOOKUP(A101,'Données projet'!$A$35:$I$55,6,0)*VLOOKUP('Données projet'!$B$9,Paramètres!$A$1:$I$89,7,0))</f>
        <v>0.17200000000000001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21.797302019626571</v>
      </c>
      <c r="AA101" s="23">
        <f>EXP(-LN(2)/25)*AA100+(1-EXP(-LN(2)/25))/(LN(2)/25)*Calculateur!V101*Calculateur!X101*VLOOKUP('Données projet'!$B$9,Paramètres!$A$1:$I$89,3,0)*0.475*44/12</f>
        <v>15.833472577584306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37.630774597210873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1.9895196601282805E-13</v>
      </c>
      <c r="AJ101" s="14">
        <f>AI101*VLOOKUP('Données projet'!$B$10,Paramètres!$A$1:$I$89,3,0)*VLOOKUP('Données projet'!$B$10,Paramètres!$A$1:$I$89,5,0)</f>
        <v>1.738044375088066E-13</v>
      </c>
      <c r="AK101" s="14">
        <f t="shared" si="89"/>
        <v>2.4483293633950478E-12</v>
      </c>
      <c r="AL101" s="22">
        <f t="shared" si="58"/>
        <v>4.566883036574213E-12</v>
      </c>
      <c r="AM101" s="62">
        <f t="shared" si="59"/>
        <v>276.83665893463592</v>
      </c>
      <c r="AN101" s="62">
        <f ca="1">AVERAGE(OFFSET($AM$3,0,0,'Données projet'!$E$10+1,1))-AVERAGE(OFFSET($H$3,0,0,'Données projet'!$E$10+1,1))</f>
        <v>341.62910675299065</v>
      </c>
      <c r="AO101" s="62">
        <f t="shared" si="90"/>
        <v>407.15938341104709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59.388662132422724</v>
      </c>
      <c r="AV101" s="23">
        <f>EXP(-LN(2)/25)*AV100+(1-EXP(-LN(2)/25))/(LN(2)/25)*Calculateur!AQ101*Calculateur!AS101*VLOOKUP('Données projet'!$B$10,Paramètres!$A$1:$I$89,3,0)*0.475*44/12</f>
        <v>25.650692130134129</v>
      </c>
      <c r="AW101" s="23">
        <f>EXP(-LN(2)/2)*AW100+(1-EXP(-LN(2)/2))/(LN(2)/2)*AQ101*AT101*VLOOKUP('Données projet'!$B$10,Paramètres!$A$1:$I$89,3,0)*0.475*44/12</f>
        <v>2.5549129544660185E-5</v>
      </c>
      <c r="AX101" s="23">
        <f t="shared" si="60"/>
        <v>85.039379811686402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3.4106051316484809E-13</v>
      </c>
      <c r="BE101" s="14">
        <f>BD101*VLOOKUP('Données projet'!$B$11,Paramètres!$A$1:$I$89,3,0)*VLOOKUP('Données projet'!$B$11,Paramètres!$A$1:$I$89,5,0)</f>
        <v>1.6405010683229191E-13</v>
      </c>
      <c r="BF101" s="14">
        <f t="shared" si="91"/>
        <v>2.3265121008813928E-12</v>
      </c>
      <c r="BG101" s="22">
        <f t="shared" si="61"/>
        <v>4.337729178434667E-12</v>
      </c>
      <c r="BH101" s="62">
        <f t="shared" si="62"/>
        <v>276.83665893463569</v>
      </c>
      <c r="BI101" s="62">
        <f ca="1">AVERAGE(OFFSET($BH$3,0,0,'Données projet'!$E$11+1,1))-AVERAGE(OFFSET($H$3,0,0,'Données projet'!$E$11+1,1))</f>
        <v>405.94837980869011</v>
      </c>
      <c r="BJ101" s="62">
        <f t="shared" si="92"/>
        <v>511.37583835090879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140.8751720800162</v>
      </c>
      <c r="BQ101" s="23">
        <f>EXP(-LN(2)/25)*BQ100+(1-EXP(-LN(2)/25))/(LN(2)/25)*Calculateur!BL101*Calculateur!BN101*VLOOKUP('Données projet'!$B$11,Paramètres!$A$1:$I$89,3,0)*0.475*44/12</f>
        <v>7.6566511417753329</v>
      </c>
      <c r="BR101" s="23">
        <f>EXP(-LN(2)/2)*BR100+(1-EXP(-LN(2)/2))/(LN(2)/2)*BL101*BO101*VLOOKUP('Données projet'!$B$11,Paramètres!$A$1:$I$89,3,0)*0.475*44/12</f>
        <v>4.6188118971187279E-8</v>
      </c>
      <c r="BS101" s="24">
        <f t="shared" si="63"/>
        <v>148.53182326797966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8.1999999999999993</v>
      </c>
      <c r="BY101" s="13">
        <f>IF('Données projet'!$A$114&gt;35,BY100+BX101-CG100,IF(A101&lt;'Données projet'!$A$114,$BV$205^A101,IF(A101='Données projet'!$A$114,'Données projet'!$B$114,BY100+BX101-CG100)))</f>
        <v>457.6</v>
      </c>
      <c r="BZ101" s="14">
        <f>BY101*VLOOKUP('Données projet'!$B$12,Paramètres!$A$1:$I$89,3,0)*VLOOKUP('Données projet'!$B$12,Paramètres!$A$1:$I$89,5,0)</f>
        <v>392.62080000000009</v>
      </c>
      <c r="CA101" s="14">
        <f t="shared" si="93"/>
        <v>90.279028293744005</v>
      </c>
      <c r="CB101" s="22">
        <f t="shared" si="64"/>
        <v>841.0505342782709</v>
      </c>
      <c r="CC101" s="62">
        <f t="shared" si="65"/>
        <v>1117.8871932129023</v>
      </c>
      <c r="CD101" s="62">
        <f ca="1">AVERAGE(OFFSET($CC$3,0,0,'Données projet'!$E$12+1,1))-AVERAGE(OFFSET($H$3,0,0,'Données projet'!$E$12+1,1))</f>
        <v>590.18141384962507</v>
      </c>
      <c r="CE101" s="62">
        <f t="shared" si="94"/>
        <v>331.25104323342907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72.825583574716816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72.825583574716816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4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5.7</v>
      </c>
      <c r="N102" s="14">
        <f>IF('Données projet'!$A$36&gt;35,N101+M102-V101,IF(A102&lt;'Données projet'!$A$36,$K$205^A102,IF(A102='Données projet'!$A$36,'Données projet'!$B$36,N101+M102-V101)))</f>
        <v>212.69999999999987</v>
      </c>
      <c r="O102" s="14">
        <f>N102*VLOOKUP('Données projet'!$B$9,Paramètres!$A$1:$I$89,3,0)*VLOOKUP('Données projet'!$B$9,Paramètres!$A$1:$I$89,5,0)</f>
        <v>192.45095999999987</v>
      </c>
      <c r="P102" s="14">
        <f t="shared" si="87"/>
        <v>48.081420427304188</v>
      </c>
      <c r="Q102" s="22">
        <f t="shared" si="107"/>
        <v>418.92722924422122</v>
      </c>
      <c r="R102" s="62">
        <f t="shared" si="55"/>
        <v>696.05006859863136</v>
      </c>
      <c r="S102" s="62">
        <f ca="1">AVERAGE(OFFSET($R$3,0,0,'Données projet'!$E$9+1,1))-AVERAGE(OFFSET($H$3,0,0,'Données projet'!$E$9+1,1))</f>
        <v>432.80275651765203</v>
      </c>
      <c r="T102" s="62">
        <f t="shared" si="88"/>
        <v>203.89279893419919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21.369870222063149</v>
      </c>
      <c r="AA102" s="23">
        <f>EXP(-LN(2)/25)*AA101+(1-EXP(-LN(2)/25))/(LN(2)/25)*Calculateur!V102*Calculateur!X102*VLOOKUP('Données projet'!$B$9,Paramètres!$A$1:$I$89,3,0)*0.475*44/12</f>
        <v>15.400505437304128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36.770375659367275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1.9895196601282805E-13</v>
      </c>
      <c r="AJ102" s="14">
        <f>AI102*VLOOKUP('Données projet'!$B$10,Paramètres!$A$1:$I$89,3,0)*VLOOKUP('Données projet'!$B$10,Paramètres!$A$1:$I$89,5,0)</f>
        <v>1.738044375088066E-13</v>
      </c>
      <c r="AK102" s="14">
        <f t="shared" si="89"/>
        <v>2.4483293633950478E-12</v>
      </c>
      <c r="AL102" s="22">
        <f t="shared" si="58"/>
        <v>4.566883036574213E-12</v>
      </c>
      <c r="AM102" s="62">
        <f t="shared" si="59"/>
        <v>277.12283935441468</v>
      </c>
      <c r="AN102" s="62">
        <f ca="1">AVERAGE(OFFSET($AM$3,0,0,'Données projet'!$E$10+1,1))-AVERAGE(OFFSET($H$3,0,0,'Données projet'!$E$10+1,1))</f>
        <v>341.62910675299065</v>
      </c>
      <c r="AO102" s="62">
        <f t="shared" si="90"/>
        <v>407.15938341104709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58.224086691513044</v>
      </c>
      <c r="AV102" s="23">
        <f>EXP(-LN(2)/25)*AV101+(1-EXP(-LN(2)/25))/(LN(2)/25)*Calculateur!AQ102*Calculateur!AS102*VLOOKUP('Données projet'!$B$10,Paramètres!$A$1:$I$89,3,0)*0.475*44/12</f>
        <v>24.949272604924339</v>
      </c>
      <c r="AW102" s="23">
        <f>EXP(-LN(2)/2)*AW101+(1-EXP(-LN(2)/2))/(LN(2)/2)*AQ102*AT102*VLOOKUP('Données projet'!$B$10,Paramètres!$A$1:$I$89,3,0)*0.475*44/12</f>
        <v>1.8065962754442785E-5</v>
      </c>
      <c r="AX102" s="23">
        <f t="shared" si="60"/>
        <v>83.173377362400132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3.4106051316484809E-13</v>
      </c>
      <c r="BE102" s="14">
        <f>BD102*VLOOKUP('Données projet'!$B$11,Paramètres!$A$1:$I$89,3,0)*VLOOKUP('Données projet'!$B$11,Paramètres!$A$1:$I$89,5,0)</f>
        <v>1.6405010683229191E-13</v>
      </c>
      <c r="BF102" s="14">
        <f t="shared" si="91"/>
        <v>2.3265121008813928E-12</v>
      </c>
      <c r="BG102" s="22">
        <f t="shared" si="61"/>
        <v>4.337729178434667E-12</v>
      </c>
      <c r="BH102" s="62">
        <f t="shared" si="62"/>
        <v>277.12283935441445</v>
      </c>
      <c r="BI102" s="62">
        <f ca="1">AVERAGE(OFFSET($BH$3,0,0,'Données projet'!$E$11+1,1))-AVERAGE(OFFSET($H$3,0,0,'Données projet'!$E$11+1,1))</f>
        <v>405.94837980869011</v>
      </c>
      <c r="BJ102" s="62">
        <f t="shared" si="92"/>
        <v>511.37583835090879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138.11269588089763</v>
      </c>
      <c r="BQ102" s="23">
        <f>EXP(-LN(2)/25)*BQ101+(1-EXP(-LN(2)/25))/(LN(2)/25)*Calculateur!BL102*Calculateur!BN102*VLOOKUP('Données projet'!$B$11,Paramètres!$A$1:$I$89,3,0)*0.475*44/12</f>
        <v>7.4472796136577024</v>
      </c>
      <c r="BR102" s="23">
        <f>EXP(-LN(2)/2)*BR101+(1-EXP(-LN(2)/2))/(LN(2)/2)*BL102*BO102*VLOOKUP('Données projet'!$B$11,Paramètres!$A$1:$I$89,3,0)*0.475*44/12</f>
        <v>3.2659932134777547E-8</v>
      </c>
      <c r="BS102" s="24">
        <f t="shared" si="63"/>
        <v>145.55997552721527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8.1999999999999993</v>
      </c>
      <c r="BY102" s="13">
        <f>IF('Données projet'!$A$114&gt;35,BY101+BX102-CG101,IF(A102&lt;'Données projet'!$A$114,$BV$205^A102,IF(A102='Données projet'!$A$114,'Données projet'!$B$114,BY101+BX102-CG101)))</f>
        <v>465.8</v>
      </c>
      <c r="BZ102" s="14">
        <f>BY102*VLOOKUP('Données projet'!$B$12,Paramètres!$A$1:$I$89,3,0)*VLOOKUP('Données projet'!$B$12,Paramètres!$A$1:$I$89,5,0)</f>
        <v>399.65640000000008</v>
      </c>
      <c r="CA102" s="14">
        <f t="shared" si="93"/>
        <v>91.707002110648844</v>
      </c>
      <c r="CB102" s="22">
        <f t="shared" si="64"/>
        <v>855.79125867604671</v>
      </c>
      <c r="CC102" s="62">
        <f t="shared" si="65"/>
        <v>1132.9140980304569</v>
      </c>
      <c r="CD102" s="62">
        <f ca="1">AVERAGE(OFFSET($CC$3,0,0,'Données projet'!$E$12+1,1))-AVERAGE(OFFSET($H$3,0,0,'Données projet'!$E$12+1,1))</f>
        <v>590.18141384962507</v>
      </c>
      <c r="CE102" s="62">
        <f t="shared" si="94"/>
        <v>331.25104323342907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71.397518300036566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71.397518300036566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4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5.7</v>
      </c>
      <c r="N103" s="14">
        <f>IF('Données projet'!$A$36&gt;35,N102+M103-V102,IF(A103&lt;'Données projet'!$A$36,$K$205^A103,IF(A103='Données projet'!$A$36,'Données projet'!$B$36,N102+M103-V102)))</f>
        <v>218.39999999999986</v>
      </c>
      <c r="O103" s="14">
        <f>N103*VLOOKUP('Données projet'!$B$9,Paramètres!$A$1:$I$89,3,0)*VLOOKUP('Données projet'!$B$9,Paramètres!$A$1:$I$89,5,0)</f>
        <v>197.60831999999988</v>
      </c>
      <c r="P103" s="14">
        <f t="shared" si="87"/>
        <v>49.218181392381318</v>
      </c>
      <c r="Q103" s="22">
        <f t="shared" si="107"/>
        <v>429.88948992506386</v>
      </c>
      <c r="R103" s="62">
        <f t="shared" si="55"/>
        <v>707.29354510877306</v>
      </c>
      <c r="S103" s="62">
        <f ca="1">AVERAGE(OFFSET($R$3,0,0,'Données projet'!$E$9+1,1))-AVERAGE(OFFSET($H$3,0,0,'Données projet'!$E$9+1,1))</f>
        <v>432.80275651765203</v>
      </c>
      <c r="T103" s="62">
        <f t="shared" si="88"/>
        <v>203.89279893419919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20.950820101342291</v>
      </c>
      <c r="AA103" s="23">
        <f>EXP(-LN(2)/25)*AA102+(1-EXP(-LN(2)/25))/(LN(2)/25)*Calculateur!V103*Calculateur!X103*VLOOKUP('Données projet'!$B$9,Paramètres!$A$1:$I$89,3,0)*0.475*44/12</f>
        <v>14.979377806243663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35.930197907585956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1.9895196601282805E-13</v>
      </c>
      <c r="AJ103" s="14">
        <f>AI103*VLOOKUP('Données projet'!$B$10,Paramètres!$A$1:$I$89,3,0)*VLOOKUP('Données projet'!$B$10,Paramètres!$A$1:$I$89,5,0)</f>
        <v>1.738044375088066E-13</v>
      </c>
      <c r="AK103" s="14">
        <f t="shared" si="89"/>
        <v>2.4483293633950478E-12</v>
      </c>
      <c r="AL103" s="22">
        <f t="shared" si="58"/>
        <v>4.566883036574213E-12</v>
      </c>
      <c r="AM103" s="62">
        <f t="shared" si="59"/>
        <v>277.40405518371375</v>
      </c>
      <c r="AN103" s="62">
        <f ca="1">AVERAGE(OFFSET($AM$3,0,0,'Données projet'!$E$10+1,1))-AVERAGE(OFFSET($H$3,0,0,'Données projet'!$E$10+1,1))</f>
        <v>341.62910675299065</v>
      </c>
      <c r="AO103" s="62">
        <f t="shared" si="90"/>
        <v>407.15938341104709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57.082347864678717</v>
      </c>
      <c r="AV103" s="23">
        <f>EXP(-LN(2)/25)*AV102+(1-EXP(-LN(2)/25))/(LN(2)/25)*Calculateur!AQ103*Calculateur!AS103*VLOOKUP('Données projet'!$B$10,Paramètres!$A$1:$I$89,3,0)*0.475*44/12</f>
        <v>24.267033433517458</v>
      </c>
      <c r="AW103" s="23">
        <f>EXP(-LN(2)/2)*AW102+(1-EXP(-LN(2)/2))/(LN(2)/2)*AQ103*AT103*VLOOKUP('Données projet'!$B$10,Paramètres!$A$1:$I$89,3,0)*0.475*44/12</f>
        <v>1.2774564772330092E-5</v>
      </c>
      <c r="AX103" s="23">
        <f t="shared" si="60"/>
        <v>81.349394072760944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3.4106051316484809E-13</v>
      </c>
      <c r="BE103" s="14">
        <f>BD103*VLOOKUP('Données projet'!$B$11,Paramètres!$A$1:$I$89,3,0)*VLOOKUP('Données projet'!$B$11,Paramètres!$A$1:$I$89,5,0)</f>
        <v>1.6405010683229191E-13</v>
      </c>
      <c r="BF103" s="14">
        <f t="shared" si="91"/>
        <v>2.3265121008813928E-12</v>
      </c>
      <c r="BG103" s="22">
        <f t="shared" si="61"/>
        <v>4.337729178434667E-12</v>
      </c>
      <c r="BH103" s="62">
        <f t="shared" si="62"/>
        <v>277.40405518371352</v>
      </c>
      <c r="BI103" s="62">
        <f ca="1">AVERAGE(OFFSET($BH$3,0,0,'Données projet'!$E$11+1,1))-AVERAGE(OFFSET($H$3,0,0,'Données projet'!$E$11+1,1))</f>
        <v>405.94837980869011</v>
      </c>
      <c r="BJ103" s="62">
        <f t="shared" si="92"/>
        <v>511.37583835090879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135.40439015509966</v>
      </c>
      <c r="BQ103" s="23">
        <f>EXP(-LN(2)/25)*BQ102+(1-EXP(-LN(2)/25))/(LN(2)/25)*Calculateur!BL103*Calculateur!BN103*VLOOKUP('Données projet'!$B$11,Paramètres!$A$1:$I$89,3,0)*0.475*44/12</f>
        <v>7.2436333609868182</v>
      </c>
      <c r="BR103" s="23">
        <f>EXP(-LN(2)/2)*BR102+(1-EXP(-LN(2)/2))/(LN(2)/2)*BL103*BO103*VLOOKUP('Données projet'!$B$11,Paramètres!$A$1:$I$89,3,0)*0.475*44/12</f>
        <v>2.3094059485593639E-8</v>
      </c>
      <c r="BS103" s="24">
        <f t="shared" si="63"/>
        <v>142.64802353918054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474</v>
      </c>
      <c r="BW103" s="13">
        <f>VLOOKUP(A103,'Données projet'!$A$113:$I$133,9,0)</f>
        <v>8.1999999999999993</v>
      </c>
      <c r="BX103" s="13">
        <f t="array" ref="BX103">INDEX(BW:BW,MIN(IF(ISNUMBER(BW103:BW299),ROW(BW103:BW299),"")))</f>
        <v>8.1999999999999993</v>
      </c>
      <c r="BY103" s="13">
        <f>IF('Données projet'!$A$114&gt;35,BY102+BX103-CG102,IF(A103&lt;'Données projet'!$A$114,$BV$205^A103,IF(A103='Données projet'!$A$114,'Données projet'!$B$114,BY102+BX103-CG102)))</f>
        <v>474</v>
      </c>
      <c r="BZ103" s="14">
        <f>BY103*VLOOKUP('Données projet'!$B$12,Paramètres!$A$1:$I$89,3,0)*VLOOKUP('Données projet'!$B$12,Paramètres!$A$1:$I$89,5,0)</f>
        <v>406.69200000000006</v>
      </c>
      <c r="CA103" s="14">
        <f t="shared" si="93"/>
        <v>93.132052674423107</v>
      </c>
      <c r="CB103" s="22">
        <f t="shared" si="64"/>
        <v>870.52689174128693</v>
      </c>
      <c r="CC103" s="62">
        <f t="shared" si="65"/>
        <v>1147.9309469249961</v>
      </c>
      <c r="CD103" s="62">
        <f ca="1">AVERAGE(OFFSET($CC$3,0,0,'Données projet'!$E$12+1,1))-AVERAGE(OFFSET($H$3,0,0,'Données projet'!$E$12+1,1))</f>
        <v>590.18141384962507</v>
      </c>
      <c r="CE103" s="62">
        <f t="shared" si="94"/>
        <v>331.25104323342907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29</v>
      </c>
      <c r="CH103" s="17">
        <f>IF(ISNA(VLOOKUP(A103,'Données projet'!$A$113:$I$133,5,0)),0%,VLOOKUP(A103,'Données projet'!$A$113:$I$133,5,0)*VLOOKUP('Données projet'!$B$12,Paramètres!$A$1:$I$89,7,0))</f>
        <v>0.53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84.575802925634591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84.575802925634591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4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5.7</v>
      </c>
      <c r="N104" s="14">
        <f>IF('Données projet'!$A$36&gt;35,N103+M104-V103,IF(A104&lt;'Données projet'!$A$36,$K$205^A104,IF(A104='Données projet'!$A$36,'Données projet'!$B$36,N103+M104-V103)))</f>
        <v>224.09999999999985</v>
      </c>
      <c r="O104" s="14">
        <f>N104*VLOOKUP('Données projet'!$B$9,Paramètres!$A$1:$I$89,3,0)*VLOOKUP('Données projet'!$B$9,Paramètres!$A$1:$I$89,5,0)</f>
        <v>202.76567999999983</v>
      </c>
      <c r="P104" s="14">
        <f t="shared" si="87"/>
        <v>50.351493804082907</v>
      </c>
      <c r="Q104" s="22">
        <f t="shared" si="107"/>
        <v>440.8457443754441</v>
      </c>
      <c r="R104" s="62">
        <f t="shared" si="55"/>
        <v>718.5261369225185</v>
      </c>
      <c r="S104" s="62">
        <f ca="1">AVERAGE(OFFSET($R$3,0,0,'Données projet'!$E$9+1,1))-AVERAGE(OFFSET($H$3,0,0,'Données projet'!$E$9+1,1))</f>
        <v>432.80275651765203</v>
      </c>
      <c r="T104" s="62">
        <f t="shared" si="88"/>
        <v>203.89279893419919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20.539987297893436</v>
      </c>
      <c r="AA104" s="23">
        <f>EXP(-LN(2)/25)*AA103+(1-EXP(-LN(2)/25))/(LN(2)/25)*Calculateur!V104*Calculateur!X104*VLOOKUP('Données projet'!$B$9,Paramètres!$A$1:$I$89,3,0)*0.475*44/12</f>
        <v>14.569765932400687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35.109753230294125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1.9895196601282805E-13</v>
      </c>
      <c r="AJ104" s="14">
        <f>AI104*VLOOKUP('Données projet'!$B$10,Paramètres!$A$1:$I$89,3,0)*VLOOKUP('Données projet'!$B$10,Paramètres!$A$1:$I$89,5,0)</f>
        <v>1.738044375088066E-13</v>
      </c>
      <c r="AK104" s="14">
        <f t="shared" si="89"/>
        <v>2.4483293633950478E-12</v>
      </c>
      <c r="AL104" s="22">
        <f t="shared" si="58"/>
        <v>4.566883036574213E-12</v>
      </c>
      <c r="AM104" s="62">
        <f t="shared" si="59"/>
        <v>277.68039254707895</v>
      </c>
      <c r="AN104" s="62">
        <f ca="1">AVERAGE(OFFSET($AM$3,0,0,'Données projet'!$E$10+1,1))-AVERAGE(OFFSET($H$3,0,0,'Données projet'!$E$10+1,1))</f>
        <v>341.62910675299065</v>
      </c>
      <c r="AO104" s="62">
        <f t="shared" si="90"/>
        <v>407.15938341104709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55.962997839846693</v>
      </c>
      <c r="AV104" s="23">
        <f>EXP(-LN(2)/25)*AV103+(1-EXP(-LN(2)/25))/(LN(2)/25)*Calculateur!AQ104*Calculateur!AS104*VLOOKUP('Données projet'!$B$10,Paramètres!$A$1:$I$89,3,0)*0.475*44/12</f>
        <v>23.603450128130099</v>
      </c>
      <c r="AW104" s="23">
        <f>EXP(-LN(2)/2)*AW103+(1-EXP(-LN(2)/2))/(LN(2)/2)*AQ104*AT104*VLOOKUP('Données projet'!$B$10,Paramètres!$A$1:$I$89,3,0)*0.475*44/12</f>
        <v>9.0329813772213927E-6</v>
      </c>
      <c r="AX104" s="23">
        <f t="shared" si="60"/>
        <v>79.566457000958167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3.4106051316484809E-13</v>
      </c>
      <c r="BE104" s="14">
        <f>BD104*VLOOKUP('Données projet'!$B$11,Paramètres!$A$1:$I$89,3,0)*VLOOKUP('Données projet'!$B$11,Paramètres!$A$1:$I$89,5,0)</f>
        <v>1.6405010683229191E-13</v>
      </c>
      <c r="BF104" s="14">
        <f t="shared" si="91"/>
        <v>2.3265121008813928E-12</v>
      </c>
      <c r="BG104" s="22">
        <f t="shared" si="61"/>
        <v>4.337729178434667E-12</v>
      </c>
      <c r="BH104" s="62">
        <f t="shared" si="62"/>
        <v>277.68039254707872</v>
      </c>
      <c r="BI104" s="62">
        <f ca="1">AVERAGE(OFFSET($BH$3,0,0,'Données projet'!$E$11+1,1))-AVERAGE(OFFSET($H$3,0,0,'Données projet'!$E$11+1,1))</f>
        <v>405.94837980869011</v>
      </c>
      <c r="BJ104" s="62">
        <f t="shared" si="92"/>
        <v>511.37583835090879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132.74919265268122</v>
      </c>
      <c r="BQ104" s="23">
        <f>EXP(-LN(2)/25)*BQ103+(1-EXP(-LN(2)/25))/(LN(2)/25)*Calculateur!BL104*Calculateur!BN104*VLOOKUP('Données projet'!$B$11,Paramètres!$A$1:$I$89,3,0)*0.475*44/12</f>
        <v>7.0455558258045103</v>
      </c>
      <c r="BR104" s="23">
        <f>EXP(-LN(2)/2)*BR103+(1-EXP(-LN(2)/2))/(LN(2)/2)*BL104*BO104*VLOOKUP('Données projet'!$B$11,Paramètres!$A$1:$I$89,3,0)*0.475*44/12</f>
        <v>1.6329966067388774E-8</v>
      </c>
      <c r="BS104" s="24">
        <f t="shared" si="63"/>
        <v>139.79474849481571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7.8</v>
      </c>
      <c r="BY104" s="13">
        <f>IF('Données projet'!$A$114&gt;35,BY103+BX104-CG103,IF(A104&lt;'Données projet'!$A$114,$BV$205^A104,IF(A104='Données projet'!$A$114,'Données projet'!$B$114,BY103+BX104-CG103)))</f>
        <v>452.8</v>
      </c>
      <c r="BZ104" s="14">
        <f>BY104*VLOOKUP('Données projet'!$B$12,Paramètres!$A$1:$I$89,3,0)*VLOOKUP('Données projet'!$B$12,Paramètres!$A$1:$I$89,5,0)</f>
        <v>388.50240000000002</v>
      </c>
      <c r="CA104" s="14">
        <f t="shared" si="93"/>
        <v>89.441761444345047</v>
      </c>
      <c r="CB104" s="22">
        <f t="shared" si="64"/>
        <v>832.41941451556761</v>
      </c>
      <c r="CC104" s="62">
        <f t="shared" si="65"/>
        <v>1110.099807062642</v>
      </c>
      <c r="CD104" s="62">
        <f ca="1">AVERAGE(OFFSET($CC$3,0,0,'Données projet'!$E$12+1,1))-AVERAGE(OFFSET($H$3,0,0,'Données projet'!$E$12+1,1))</f>
        <v>590.18141384962507</v>
      </c>
      <c r="CE104" s="62">
        <f t="shared" si="94"/>
        <v>331.25104323342907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82.917323016408972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82.917323016408972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4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5.7</v>
      </c>
      <c r="N105" s="14">
        <f>IF('Données projet'!$A$36&gt;35,N104+M105-V104,IF(A105&lt;'Données projet'!$A$36,$K$205^A105,IF(A105='Données projet'!$A$36,'Données projet'!$B$36,N104+M105-V104)))</f>
        <v>229.79999999999984</v>
      </c>
      <c r="O105" s="14">
        <f>N105*VLOOKUP('Données projet'!$B$9,Paramètres!$A$1:$I$89,3,0)*VLOOKUP('Données projet'!$B$9,Paramètres!$A$1:$I$89,5,0)</f>
        <v>207.92303999999987</v>
      </c>
      <c r="P105" s="14">
        <f t="shared" si="87"/>
        <v>51.481455463073324</v>
      </c>
      <c r="Q105" s="22">
        <f t="shared" si="107"/>
        <v>451.79616293151918</v>
      </c>
      <c r="R105" s="62">
        <f t="shared" si="55"/>
        <v>729.74809900650212</v>
      </c>
      <c r="S105" s="62">
        <f ca="1">AVERAGE(OFFSET($R$3,0,0,'Données projet'!$E$9+1,1))-AVERAGE(OFFSET($H$3,0,0,'Données projet'!$E$9+1,1))</f>
        <v>432.80275651765203</v>
      </c>
      <c r="T105" s="62">
        <f t="shared" si="88"/>
        <v>203.89279893419919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20.137210675136945</v>
      </c>
      <c r="AA105" s="23">
        <f>EXP(-LN(2)/25)*AA104+(1-EXP(-LN(2)/25))/(LN(2)/25)*Calculateur!V105*Calculateur!X105*VLOOKUP('Données projet'!$B$9,Paramètres!$A$1:$I$89,3,0)*0.475*44/12</f>
        <v>14.171354916788498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34.308565591925444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1.9895196601282805E-13</v>
      </c>
      <c r="AJ105" s="14">
        <f>AI105*VLOOKUP('Données projet'!$B$10,Paramètres!$A$1:$I$89,3,0)*VLOOKUP('Données projet'!$B$10,Paramètres!$A$1:$I$89,5,0)</f>
        <v>1.738044375088066E-13</v>
      </c>
      <c r="AK105" s="14">
        <f t="shared" si="89"/>
        <v>2.4483293633950478E-12</v>
      </c>
      <c r="AL105" s="22">
        <f t="shared" si="58"/>
        <v>4.566883036574213E-12</v>
      </c>
      <c r="AM105" s="62">
        <f t="shared" si="59"/>
        <v>277.95193607498749</v>
      </c>
      <c r="AN105" s="62">
        <f ca="1">AVERAGE(OFFSET($AM$3,0,0,'Données projet'!$E$10+1,1))-AVERAGE(OFFSET($H$3,0,0,'Données projet'!$E$10+1,1))</f>
        <v>341.62910675299065</v>
      </c>
      <c r="AO105" s="62">
        <f t="shared" si="90"/>
        <v>407.15938341104709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54.865597586265523</v>
      </c>
      <c r="AV105" s="23">
        <f>EXP(-LN(2)/25)*AV104+(1-EXP(-LN(2)/25))/(LN(2)/25)*Calculateur!AQ105*Calculateur!AS105*VLOOKUP('Données projet'!$B$10,Paramètres!$A$1:$I$89,3,0)*0.475*44/12</f>
        <v>22.958012543124887</v>
      </c>
      <c r="AW105" s="23">
        <f>EXP(-LN(2)/2)*AW104+(1-EXP(-LN(2)/2))/(LN(2)/2)*AQ105*AT105*VLOOKUP('Données projet'!$B$10,Paramètres!$A$1:$I$89,3,0)*0.475*44/12</f>
        <v>6.3872823861650461E-6</v>
      </c>
      <c r="AX105" s="23">
        <f t="shared" si="60"/>
        <v>77.823616516672786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3.4106051316484809E-13</v>
      </c>
      <c r="BE105" s="14">
        <f>BD105*VLOOKUP('Données projet'!$B$11,Paramètres!$A$1:$I$89,3,0)*VLOOKUP('Données projet'!$B$11,Paramètres!$A$1:$I$89,5,0)</f>
        <v>1.6405010683229191E-13</v>
      </c>
      <c r="BF105" s="14">
        <f t="shared" si="91"/>
        <v>2.3265121008813928E-12</v>
      </c>
      <c r="BG105" s="22">
        <f t="shared" si="61"/>
        <v>4.337729178434667E-12</v>
      </c>
      <c r="BH105" s="62">
        <f t="shared" si="62"/>
        <v>277.95193607498726</v>
      </c>
      <c r="BI105" s="62">
        <f ca="1">AVERAGE(OFFSET($BH$3,0,0,'Données projet'!$E$11+1,1))-AVERAGE(OFFSET($H$3,0,0,'Données projet'!$E$11+1,1))</f>
        <v>405.94837980869011</v>
      </c>
      <c r="BJ105" s="62">
        <f t="shared" si="92"/>
        <v>511.37583835090879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130.14606195377462</v>
      </c>
      <c r="BQ105" s="23">
        <f>EXP(-LN(2)/25)*BQ104+(1-EXP(-LN(2)/25))/(LN(2)/25)*Calculateur!BL105*Calculateur!BN105*VLOOKUP('Données projet'!$B$11,Paramètres!$A$1:$I$89,3,0)*0.475*44/12</f>
        <v>6.8528947312382078</v>
      </c>
      <c r="BR105" s="23">
        <f>EXP(-LN(2)/2)*BR104+(1-EXP(-LN(2)/2))/(LN(2)/2)*BL105*BO105*VLOOKUP('Données projet'!$B$11,Paramètres!$A$1:$I$89,3,0)*0.475*44/12</f>
        <v>1.154702974279682E-8</v>
      </c>
      <c r="BS105" s="24">
        <f t="shared" si="63"/>
        <v>136.99895669655984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7.8</v>
      </c>
      <c r="BY105" s="13">
        <f>IF('Données projet'!$A$114&gt;35,BY104+BX105-CG104,IF(A105&lt;'Données projet'!$A$114,$BV$205^A105,IF(A105='Données projet'!$A$114,'Données projet'!$B$114,BY104+BX105-CG104)))</f>
        <v>460.6</v>
      </c>
      <c r="BZ105" s="14">
        <f>BY105*VLOOKUP('Données projet'!$B$12,Paramètres!$A$1:$I$89,3,0)*VLOOKUP('Données projet'!$B$12,Paramètres!$A$1:$I$89,5,0)</f>
        <v>395.1948000000001</v>
      </c>
      <c r="CA105" s="14">
        <f t="shared" si="93"/>
        <v>90.801800495271991</v>
      </c>
      <c r="CB105" s="22">
        <f t="shared" si="64"/>
        <v>846.4440791959322</v>
      </c>
      <c r="CC105" s="62">
        <f t="shared" si="65"/>
        <v>1124.3960152709151</v>
      </c>
      <c r="CD105" s="62">
        <f ca="1">AVERAGE(OFFSET($CC$3,0,0,'Données projet'!$E$12+1,1))-AVERAGE(OFFSET($H$3,0,0,'Données projet'!$E$12+1,1))</f>
        <v>590.18141384962507</v>
      </c>
      <c r="CE105" s="62">
        <f t="shared" si="94"/>
        <v>331.25104323342907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81.291364886630404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81.291364886630404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4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5.7</v>
      </c>
      <c r="N106" s="14">
        <f>IF('Données projet'!$A$36&gt;35,N105+M106-V105,IF(A106&lt;'Données projet'!$A$36,$K$205^A106,IF(A106='Données projet'!$A$36,'Données projet'!$B$36,N105+M106-V105)))</f>
        <v>235.49999999999983</v>
      </c>
      <c r="O106" s="14">
        <f>N106*VLOOKUP('Données projet'!$B$9,Paramètres!$A$1:$I$89,3,0)*VLOOKUP('Données projet'!$B$9,Paramètres!$A$1:$I$89,5,0)</f>
        <v>213.08039999999983</v>
      </c>
      <c r="P106" s="14">
        <f t="shared" si="87"/>
        <v>52.608159041735547</v>
      </c>
      <c r="Q106" s="22">
        <f t="shared" si="107"/>
        <v>462.74090699768914</v>
      </c>
      <c r="R106" s="62">
        <f t="shared" si="55"/>
        <v>740.95967592745183</v>
      </c>
      <c r="S106" s="62">
        <f ca="1">AVERAGE(OFFSET($R$3,0,0,'Données projet'!$E$9+1,1))-AVERAGE(OFFSET($H$3,0,0,'Données projet'!$E$9+1,1))</f>
        <v>432.80275651765203</v>
      </c>
      <c r="T106" s="62">
        <f t="shared" si="88"/>
        <v>203.89279893419919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19.742332256283227</v>
      </c>
      <c r="AA106" s="23">
        <f>EXP(-LN(2)/25)*AA105+(1-EXP(-LN(2)/25))/(LN(2)/25)*Calculateur!V106*Calculateur!X106*VLOOKUP('Données projet'!$B$9,Paramètres!$A$1:$I$89,3,0)*0.475*44/12</f>
        <v>13.783838471349751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33.52617072763298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1.9895196601282805E-13</v>
      </c>
      <c r="AJ106" s="14">
        <f>AI106*VLOOKUP('Données projet'!$B$10,Paramètres!$A$1:$I$89,3,0)*VLOOKUP('Données projet'!$B$10,Paramètres!$A$1:$I$89,5,0)</f>
        <v>1.738044375088066E-13</v>
      </c>
      <c r="AK106" s="14">
        <f t="shared" si="89"/>
        <v>2.4483293633950478E-12</v>
      </c>
      <c r="AL106" s="22">
        <f t="shared" si="58"/>
        <v>4.566883036574213E-12</v>
      </c>
      <c r="AM106" s="62">
        <f t="shared" si="59"/>
        <v>278.21876892976724</v>
      </c>
      <c r="AN106" s="62">
        <f ca="1">AVERAGE(OFFSET($AM$3,0,0,'Données projet'!$E$10+1,1))-AVERAGE(OFFSET($H$3,0,0,'Données projet'!$E$10+1,1))</f>
        <v>341.62910675299065</v>
      </c>
      <c r="AO106" s="62">
        <f t="shared" si="90"/>
        <v>407.15938341104709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53.78971668230902</v>
      </c>
      <c r="AV106" s="23">
        <f>EXP(-LN(2)/25)*AV105+(1-EXP(-LN(2)/25))/(LN(2)/25)*Calculateur!AQ106*Calculateur!AS106*VLOOKUP('Données projet'!$B$10,Paramètres!$A$1:$I$89,3,0)*0.475*44/12</f>
        <v>22.330224482823731</v>
      </c>
      <c r="AW106" s="23">
        <f>EXP(-LN(2)/2)*AW105+(1-EXP(-LN(2)/2))/(LN(2)/2)*AQ106*AT106*VLOOKUP('Données projet'!$B$10,Paramètres!$A$1:$I$89,3,0)*0.475*44/12</f>
        <v>4.5164906886106963E-6</v>
      </c>
      <c r="AX106" s="23">
        <f t="shared" si="60"/>
        <v>76.119945681623449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3.4106051316484809E-13</v>
      </c>
      <c r="BE106" s="14">
        <f>BD106*VLOOKUP('Données projet'!$B$11,Paramètres!$A$1:$I$89,3,0)*VLOOKUP('Données projet'!$B$11,Paramètres!$A$1:$I$89,5,0)</f>
        <v>1.6405010683229191E-13</v>
      </c>
      <c r="BF106" s="14">
        <f t="shared" si="91"/>
        <v>2.3265121008813928E-12</v>
      </c>
      <c r="BG106" s="22">
        <f t="shared" si="61"/>
        <v>4.337729178434667E-12</v>
      </c>
      <c r="BH106" s="62">
        <f t="shared" si="62"/>
        <v>278.21876892976701</v>
      </c>
      <c r="BI106" s="62">
        <f ca="1">AVERAGE(OFFSET($BH$3,0,0,'Données projet'!$E$11+1,1))-AVERAGE(OFFSET($H$3,0,0,'Données projet'!$E$11+1,1))</f>
        <v>405.94837980869011</v>
      </c>
      <c r="BJ106" s="62">
        <f t="shared" si="92"/>
        <v>511.37583835090879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127.59397706012064</v>
      </c>
      <c r="BQ106" s="23">
        <f>EXP(-LN(2)/25)*BQ105+(1-EXP(-LN(2)/25))/(LN(2)/25)*Calculateur!BL106*Calculateur!BN106*VLOOKUP('Données projet'!$B$11,Paramètres!$A$1:$I$89,3,0)*0.475*44/12</f>
        <v>6.6655019644344273</v>
      </c>
      <c r="BR106" s="23">
        <f>EXP(-LN(2)/2)*BR105+(1-EXP(-LN(2)/2))/(LN(2)/2)*BL106*BO106*VLOOKUP('Données projet'!$B$11,Paramètres!$A$1:$I$89,3,0)*0.475*44/12</f>
        <v>8.1649830336943868E-9</v>
      </c>
      <c r="BS106" s="24">
        <f t="shared" si="63"/>
        <v>134.25947903272007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7.8</v>
      </c>
      <c r="BY106" s="13">
        <f>IF('Données projet'!$A$114&gt;35,BY105+BX106-CG105,IF(A106&lt;'Données projet'!$A$114,$BV$205^A106,IF(A106='Données projet'!$A$114,'Données projet'!$B$114,BY105+BX106-CG105)))</f>
        <v>468.40000000000003</v>
      </c>
      <c r="BZ106" s="14">
        <f>BY106*VLOOKUP('Données projet'!$B$12,Paramètres!$A$1:$I$89,3,0)*VLOOKUP('Données projet'!$B$12,Paramètres!$A$1:$I$89,5,0)</f>
        <v>401.88720000000012</v>
      </c>
      <c r="CA106" s="14">
        <f t="shared" si="93"/>
        <v>92.159161185828268</v>
      </c>
      <c r="CB106" s="22">
        <f t="shared" si="64"/>
        <v>860.46407906531783</v>
      </c>
      <c r="CC106" s="62">
        <f t="shared" si="65"/>
        <v>1138.6828479950805</v>
      </c>
      <c r="CD106" s="62">
        <f ca="1">AVERAGE(OFFSET($CC$3,0,0,'Données projet'!$E$12+1,1))-AVERAGE(OFFSET($H$3,0,0,'Données projet'!$E$12+1,1))</f>
        <v>590.18141384962507</v>
      </c>
      <c r="CE106" s="62">
        <f t="shared" si="94"/>
        <v>331.25104323342907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79.697290804040264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79.697290804040264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4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5.7</v>
      </c>
      <c r="N107" s="14">
        <f>IF('Données projet'!$A$36&gt;35,N106+M107-V106,IF(A107&lt;'Données projet'!$A$36,$K$205^A107,IF(A107='Données projet'!$A$36,'Données projet'!$B$36,N106+M107-V106)))</f>
        <v>241.19999999999982</v>
      </c>
      <c r="O107" s="14">
        <f>N107*VLOOKUP('Données projet'!$B$9,Paramètres!$A$1:$I$89,3,0)*VLOOKUP('Données projet'!$B$9,Paramètres!$A$1:$I$89,5,0)</f>
        <v>218.23775999999981</v>
      </c>
      <c r="P107" s="14">
        <f t="shared" si="87"/>
        <v>53.731692470599022</v>
      </c>
      <c r="Q107" s="22">
        <f t="shared" si="107"/>
        <v>473.68012971962617</v>
      </c>
      <c r="R107" s="62">
        <f t="shared" si="55"/>
        <v>752.16110255068702</v>
      </c>
      <c r="S107" s="62">
        <f ca="1">AVERAGE(OFFSET($R$3,0,0,'Données projet'!$E$9+1,1))-AVERAGE(OFFSET($H$3,0,0,'Données projet'!$E$9+1,1))</f>
        <v>432.80275651765203</v>
      </c>
      <c r="T107" s="62">
        <f t="shared" si="88"/>
        <v>203.89279893419919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19.355197162371176</v>
      </c>
      <c r="AA107" s="23">
        <f>EXP(-LN(2)/25)*AA106+(1-EXP(-LN(2)/25))/(LN(2)/25)*Calculateur!V107*Calculateur!X107*VLOOKUP('Données projet'!$B$9,Paramètres!$A$1:$I$89,3,0)*0.475*44/12</f>
        <v>13.406918683490131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32.76211584586131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1.9895196601282805E-13</v>
      </c>
      <c r="AJ107" s="14">
        <f>AI107*VLOOKUP('Données projet'!$B$10,Paramètres!$A$1:$I$89,3,0)*VLOOKUP('Données projet'!$B$10,Paramètres!$A$1:$I$89,5,0)</f>
        <v>1.738044375088066E-13</v>
      </c>
      <c r="AK107" s="14">
        <f t="shared" si="89"/>
        <v>2.4483293633950478E-12</v>
      </c>
      <c r="AL107" s="22">
        <f t="shared" si="58"/>
        <v>4.566883036574213E-12</v>
      </c>
      <c r="AM107" s="62">
        <f t="shared" si="59"/>
        <v>278.48097283106546</v>
      </c>
      <c r="AN107" s="62">
        <f ca="1">AVERAGE(OFFSET($AM$3,0,0,'Données projet'!$E$10+1,1))-AVERAGE(OFFSET($H$3,0,0,'Données projet'!$E$10+1,1))</f>
        <v>341.62910675299065</v>
      </c>
      <c r="AO107" s="62">
        <f t="shared" si="90"/>
        <v>407.15938341104709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52.734933146656545</v>
      </c>
      <c r="AV107" s="23">
        <f>EXP(-LN(2)/25)*AV106+(1-EXP(-LN(2)/25))/(LN(2)/25)*Calculateur!AQ107*Calculateur!AS107*VLOOKUP('Données projet'!$B$10,Paramètres!$A$1:$I$89,3,0)*0.475*44/12</f>
        <v>21.719603320045447</v>
      </c>
      <c r="AW107" s="23">
        <f>EXP(-LN(2)/2)*AW106+(1-EXP(-LN(2)/2))/(LN(2)/2)*AQ107*AT107*VLOOKUP('Données projet'!$B$10,Paramètres!$A$1:$I$89,3,0)*0.475*44/12</f>
        <v>3.1936411930825231E-6</v>
      </c>
      <c r="AX107" s="23">
        <f t="shared" si="60"/>
        <v>74.454539660343187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3.4106051316484809E-13</v>
      </c>
      <c r="BE107" s="14">
        <f>BD107*VLOOKUP('Données projet'!$B$11,Paramètres!$A$1:$I$89,3,0)*VLOOKUP('Données projet'!$B$11,Paramètres!$A$1:$I$89,5,0)</f>
        <v>1.6405010683229191E-13</v>
      </c>
      <c r="BF107" s="14">
        <f t="shared" si="91"/>
        <v>2.3265121008813928E-12</v>
      </c>
      <c r="BG107" s="22">
        <f t="shared" si="61"/>
        <v>4.337729178434667E-12</v>
      </c>
      <c r="BH107" s="62">
        <f t="shared" si="62"/>
        <v>278.48097283106523</v>
      </c>
      <c r="BI107" s="62">
        <f ca="1">AVERAGE(OFFSET($BH$3,0,0,'Données projet'!$E$11+1,1))-AVERAGE(OFFSET($H$3,0,0,'Données projet'!$E$11+1,1))</f>
        <v>405.94837980869011</v>
      </c>
      <c r="BJ107" s="62">
        <f t="shared" si="92"/>
        <v>511.37583835090879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125.09193699461314</v>
      </c>
      <c r="BQ107" s="23">
        <f>EXP(-LN(2)/25)*BQ106+(1-EXP(-LN(2)/25))/(LN(2)/25)*Calculateur!BL107*Calculateur!BN107*VLOOKUP('Données projet'!$B$11,Paramètres!$A$1:$I$89,3,0)*0.475*44/12</f>
        <v>6.4832334626934536</v>
      </c>
      <c r="BR107" s="23">
        <f>EXP(-LN(2)/2)*BR106+(1-EXP(-LN(2)/2))/(LN(2)/2)*BL107*BO107*VLOOKUP('Données projet'!$B$11,Paramètres!$A$1:$I$89,3,0)*0.475*44/12</f>
        <v>5.7735148713984099E-9</v>
      </c>
      <c r="BS107" s="24">
        <f t="shared" si="63"/>
        <v>131.5751704630801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7.8</v>
      </c>
      <c r="BY107" s="13">
        <f>IF('Données projet'!$A$114&gt;35,BY106+BX107-CG106,IF(A107&lt;'Données projet'!$A$114,$BV$205^A107,IF(A107='Données projet'!$A$114,'Données projet'!$B$114,BY106+BX107-CG106)))</f>
        <v>476.20000000000005</v>
      </c>
      <c r="BZ107" s="14">
        <f>BY107*VLOOKUP('Données projet'!$B$12,Paramètres!$A$1:$I$89,3,0)*VLOOKUP('Données projet'!$B$12,Paramètres!$A$1:$I$89,5,0)</f>
        <v>408.57960000000003</v>
      </c>
      <c r="CA107" s="14">
        <f t="shared" si="93"/>
        <v>93.513893265221384</v>
      </c>
      <c r="CB107" s="22">
        <f t="shared" si="64"/>
        <v>874.47950077026053</v>
      </c>
      <c r="CC107" s="62">
        <f t="shared" si="65"/>
        <v>1152.9604736013214</v>
      </c>
      <c r="CD107" s="62">
        <f ca="1">AVERAGE(OFFSET($CC$3,0,0,'Données projet'!$E$12+1,1))-AVERAGE(OFFSET($H$3,0,0,'Données projet'!$E$12+1,1))</f>
        <v>590.18141384962507</v>
      </c>
      <c r="CE107" s="62">
        <f t="shared" si="94"/>
        <v>331.25104323342907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78.134475541920537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78.134475541920537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4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5.7</v>
      </c>
      <c r="N108" s="14">
        <f>IF('Données projet'!$A$36&gt;35,N107+M108-V107,IF(A108&lt;'Données projet'!$A$36,$K$205^A108,IF(A108='Données projet'!$A$36,'Données projet'!$B$36,N107+M108-V107)))</f>
        <v>246.89999999999981</v>
      </c>
      <c r="O108" s="14">
        <f>N108*VLOOKUP('Données projet'!$B$9,Paramètres!$A$1:$I$89,3,0)*VLOOKUP('Données projet'!$B$9,Paramètres!$A$1:$I$89,5,0)</f>
        <v>223.39511999999982</v>
      </c>
      <c r="P108" s="14">
        <f t="shared" si="87"/>
        <v>54.852139287210115</v>
      </c>
      <c r="Q108" s="22">
        <f t="shared" si="107"/>
        <v>484.61397659189061</v>
      </c>
      <c r="R108" s="62">
        <f t="shared" si="55"/>
        <v>763.35260467276237</v>
      </c>
      <c r="S108" s="62">
        <f ca="1">AVERAGE(OFFSET($R$3,0,0,'Données projet'!$E$9+1,1))-AVERAGE(OFFSET($H$3,0,0,'Données projet'!$E$9+1,1))</f>
        <v>432.80275651765203</v>
      </c>
      <c r="T108" s="62">
        <f t="shared" si="88"/>
        <v>203.89279893419919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18.975653551521649</v>
      </c>
      <c r="AA108" s="23">
        <f>EXP(-LN(2)/25)*AA107+(1-EXP(-LN(2)/25))/(LN(2)/25)*Calculateur!V108*Calculateur!X108*VLOOKUP('Données projet'!$B$9,Paramètres!$A$1:$I$89,3,0)*0.475*44/12</f>
        <v>13.040305787050881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32.015959338572529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1.9895196601282805E-13</v>
      </c>
      <c r="AJ108" s="14">
        <f>AI108*VLOOKUP('Données projet'!$B$10,Paramètres!$A$1:$I$89,3,0)*VLOOKUP('Données projet'!$B$10,Paramètres!$A$1:$I$89,5,0)</f>
        <v>1.738044375088066E-13</v>
      </c>
      <c r="AK108" s="14">
        <f t="shared" si="89"/>
        <v>2.4483293633950478E-12</v>
      </c>
      <c r="AL108" s="22">
        <f t="shared" si="58"/>
        <v>4.566883036574213E-12</v>
      </c>
      <c r="AM108" s="62">
        <f t="shared" si="59"/>
        <v>278.73862808087631</v>
      </c>
      <c r="AN108" s="62">
        <f ca="1">AVERAGE(OFFSET($AM$3,0,0,'Données projet'!$E$10+1,1))-AVERAGE(OFFSET($H$3,0,0,'Données projet'!$E$10+1,1))</f>
        <v>341.62910675299065</v>
      </c>
      <c r="AO108" s="62">
        <f t="shared" si="90"/>
        <v>407.15938341104709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51.700833272783782</v>
      </c>
      <c r="AV108" s="23">
        <f>EXP(-LN(2)/25)*AV107+(1-EXP(-LN(2)/25))/(LN(2)/25)*Calculateur!AQ108*Calculateur!AS108*VLOOKUP('Données projet'!$B$10,Paramètres!$A$1:$I$89,3,0)*0.475*44/12</f>
        <v>21.125679625074508</v>
      </c>
      <c r="AW108" s="23">
        <f>EXP(-LN(2)/2)*AW107+(1-EXP(-LN(2)/2))/(LN(2)/2)*AQ108*AT108*VLOOKUP('Données projet'!$B$10,Paramètres!$A$1:$I$89,3,0)*0.475*44/12</f>
        <v>2.2582453443053482E-6</v>
      </c>
      <c r="AX108" s="23">
        <f t="shared" si="60"/>
        <v>72.826515156103639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3.4106051316484809E-13</v>
      </c>
      <c r="BE108" s="14">
        <f>BD108*VLOOKUP('Données projet'!$B$11,Paramètres!$A$1:$I$89,3,0)*VLOOKUP('Données projet'!$B$11,Paramètres!$A$1:$I$89,5,0)</f>
        <v>1.6405010683229191E-13</v>
      </c>
      <c r="BF108" s="14">
        <f t="shared" si="91"/>
        <v>2.3265121008813928E-12</v>
      </c>
      <c r="BG108" s="22">
        <f t="shared" si="61"/>
        <v>4.337729178434667E-12</v>
      </c>
      <c r="BH108" s="62">
        <f t="shared" si="62"/>
        <v>278.73862808087608</v>
      </c>
      <c r="BI108" s="62">
        <f ca="1">AVERAGE(OFFSET($BH$3,0,0,'Données projet'!$E$11+1,1))-AVERAGE(OFFSET($H$3,0,0,'Données projet'!$E$11+1,1))</f>
        <v>405.94837980869011</v>
      </c>
      <c r="BJ108" s="62">
        <f t="shared" si="92"/>
        <v>511.37583835090879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122.63896040869648</v>
      </c>
      <c r="BQ108" s="23">
        <f>EXP(-LN(2)/25)*BQ107+(1-EXP(-LN(2)/25))/(LN(2)/25)*Calculateur!BL108*Calculateur!BN108*VLOOKUP('Données projet'!$B$11,Paramètres!$A$1:$I$89,3,0)*0.475*44/12</f>
        <v>6.3059491027176708</v>
      </c>
      <c r="BR108" s="23">
        <f>EXP(-LN(2)/2)*BR107+(1-EXP(-LN(2)/2))/(LN(2)/2)*BL108*BO108*VLOOKUP('Données projet'!$B$11,Paramètres!$A$1:$I$89,3,0)*0.475*44/12</f>
        <v>4.0824915168471934E-9</v>
      </c>
      <c r="BS108" s="24">
        <f t="shared" si="63"/>
        <v>128.94490951549665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484</v>
      </c>
      <c r="BW108" s="13">
        <f>VLOOKUP(A108,'Données projet'!$A$113:$I$133,9,0)</f>
        <v>7.8</v>
      </c>
      <c r="BX108" s="13">
        <f t="array" ref="BX108">INDEX(BW:BW,MIN(IF(ISNUMBER(BW108:BW304),ROW(BW108:BW304),"")))</f>
        <v>7.8</v>
      </c>
      <c r="BY108" s="13">
        <f>IF('Données projet'!$A$114&gt;35,BY107+BX108-CG107,IF(A108&lt;'Données projet'!$A$114,$BV$205^A108,IF(A108='Données projet'!$A$114,'Données projet'!$B$114,BY107+BX108-CG107)))</f>
        <v>484.00000000000006</v>
      </c>
      <c r="BZ108" s="14">
        <f>BY108*VLOOKUP('Données projet'!$B$12,Paramètres!$A$1:$I$89,3,0)*VLOOKUP('Données projet'!$B$12,Paramètres!$A$1:$I$89,5,0)</f>
        <v>415.27200000000011</v>
      </c>
      <c r="CA108" s="14">
        <f t="shared" si="93"/>
        <v>94.866044759468508</v>
      </c>
      <c r="CB108" s="22">
        <f t="shared" si="64"/>
        <v>888.49042795607431</v>
      </c>
      <c r="CC108" s="62">
        <f t="shared" si="65"/>
        <v>1167.2290560369461</v>
      </c>
      <c r="CD108" s="62">
        <f ca="1">AVERAGE(OFFSET($CC$3,0,0,'Données projet'!$E$12+1,1))-AVERAGE(OFFSET($H$3,0,0,'Données projet'!$E$12+1,1))</f>
        <v>590.18141384962507</v>
      </c>
      <c r="CE108" s="62">
        <f t="shared" si="94"/>
        <v>331.25104323342907</v>
      </c>
      <c r="CF108" s="16">
        <f>IF(ISNA(VLOOKUP(A108,'Données projet'!$A$113:$I$133,3,0)),0,VLOOKUP(A108,'Données projet'!$A$113:$I$133,3,0))</f>
        <v>18</v>
      </c>
      <c r="CG108" s="16">
        <f>IF(ISNA(VLOOKUP(A108,'Données projet'!$A$113:$I$133,4,0)),0,VLOOKUP(A108,'Données projet'!$A$113:$I$133,4,0))</f>
        <v>28</v>
      </c>
      <c r="CH108" s="17">
        <f>IF(ISNA(VLOOKUP(A108,'Données projet'!$A$113:$I$133,5,0)),0%,VLOOKUP(A108,'Données projet'!$A$113:$I$133,5,0)*VLOOKUP('Données projet'!$B$12,Paramètres!$A$1:$I$89,7,0))</f>
        <v>0.53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90.677950944754571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90.677950944754571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4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5.7</v>
      </c>
      <c r="N109" s="14">
        <f>IF('Données projet'!$A$36&gt;35,N108+M109-V108,IF(A109&lt;'Données projet'!$A$36,$K$205^A109,IF(A109='Données projet'!$A$36,'Données projet'!$B$36,N108+M109-V108)))</f>
        <v>252.5999999999998</v>
      </c>
      <c r="O109" s="14">
        <f>N109*VLOOKUP('Données projet'!$B$9,Paramètres!$A$1:$I$89,3,0)*VLOOKUP('Données projet'!$B$9,Paramètres!$A$1:$I$89,5,0)</f>
        <v>228.5524799999998</v>
      </c>
      <c r="P109" s="14">
        <f t="shared" si="87"/>
        <v>55.969578951878503</v>
      </c>
      <c r="Q109" s="22">
        <f t="shared" si="107"/>
        <v>495.54258600785471</v>
      </c>
      <c r="R109" s="62">
        <f t="shared" si="55"/>
        <v>774.53439959598381</v>
      </c>
      <c r="S109" s="62">
        <f ca="1">AVERAGE(OFFSET($R$3,0,0,'Données projet'!$E$9+1,1))-AVERAGE(OFFSET($H$3,0,0,'Données projet'!$E$9+1,1))</f>
        <v>432.80275651765203</v>
      </c>
      <c r="T109" s="62">
        <f t="shared" si="88"/>
        <v>203.89279893419919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18.603552559382138</v>
      </c>
      <c r="AA109" s="23">
        <f>EXP(-LN(2)/25)*AA108+(1-EXP(-LN(2)/25))/(LN(2)/25)*Calculateur!V109*Calculateur!X109*VLOOKUP('Données projet'!$B$9,Paramètres!$A$1:$I$89,3,0)*0.475*44/12</f>
        <v>12.683717939544097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31.287270498926233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1.9895196601282805E-13</v>
      </c>
      <c r="AJ109" s="14">
        <f>AI109*VLOOKUP('Données projet'!$B$10,Paramètres!$A$1:$I$89,3,0)*VLOOKUP('Données projet'!$B$10,Paramètres!$A$1:$I$89,5,0)</f>
        <v>1.738044375088066E-13</v>
      </c>
      <c r="AK109" s="14">
        <f t="shared" si="89"/>
        <v>2.4483293633950478E-12</v>
      </c>
      <c r="AL109" s="22">
        <f t="shared" si="58"/>
        <v>4.566883036574213E-12</v>
      </c>
      <c r="AM109" s="62">
        <f t="shared" si="59"/>
        <v>278.99181358813365</v>
      </c>
      <c r="AN109" s="62">
        <f ca="1">AVERAGE(OFFSET($AM$3,0,0,'Données projet'!$E$10+1,1))-AVERAGE(OFFSET($H$3,0,0,'Données projet'!$E$10+1,1))</f>
        <v>341.62910675299065</v>
      </c>
      <c r="AO109" s="62">
        <f t="shared" si="90"/>
        <v>407.15938341104709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50.687011466699026</v>
      </c>
      <c r="AV109" s="23">
        <f>EXP(-LN(2)/25)*AV108+(1-EXP(-LN(2)/25))/(LN(2)/25)*Calculateur!AQ109*Calculateur!AS109*VLOOKUP('Données projet'!$B$10,Paramètres!$A$1:$I$89,3,0)*0.475*44/12</f>
        <v>20.547996804775636</v>
      </c>
      <c r="AW109" s="23">
        <f>EXP(-LN(2)/2)*AW108+(1-EXP(-LN(2)/2))/(LN(2)/2)*AQ109*AT109*VLOOKUP('Données projet'!$B$10,Paramètres!$A$1:$I$89,3,0)*0.475*44/12</f>
        <v>1.5968205965412615E-6</v>
      </c>
      <c r="AX109" s="23">
        <f t="shared" si="60"/>
        <v>71.235009868295265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3.4106051316484809E-13</v>
      </c>
      <c r="BE109" s="14">
        <f>BD109*VLOOKUP('Données projet'!$B$11,Paramètres!$A$1:$I$89,3,0)*VLOOKUP('Données projet'!$B$11,Paramètres!$A$1:$I$89,5,0)</f>
        <v>1.6405010683229191E-13</v>
      </c>
      <c r="BF109" s="14">
        <f t="shared" si="91"/>
        <v>2.3265121008813928E-12</v>
      </c>
      <c r="BG109" s="22">
        <f t="shared" si="61"/>
        <v>4.337729178434667E-12</v>
      </c>
      <c r="BH109" s="62">
        <f t="shared" si="62"/>
        <v>278.99181358813343</v>
      </c>
      <c r="BI109" s="62">
        <f ca="1">AVERAGE(OFFSET($BH$3,0,0,'Données projet'!$E$11+1,1))-AVERAGE(OFFSET($H$3,0,0,'Données projet'!$E$11+1,1))</f>
        <v>405.94837980869011</v>
      </c>
      <c r="BJ109" s="62">
        <f t="shared" si="92"/>
        <v>511.37583835090879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120.23408519746167</v>
      </c>
      <c r="BQ109" s="23">
        <f>EXP(-LN(2)/25)*BQ108+(1-EXP(-LN(2)/25))/(LN(2)/25)*Calculateur!BL109*Calculateur!BN109*VLOOKUP('Données projet'!$B$11,Paramètres!$A$1:$I$89,3,0)*0.475*44/12</f>
        <v>6.1335125928884056</v>
      </c>
      <c r="BR109" s="23">
        <f>EXP(-LN(2)/2)*BR108+(1-EXP(-LN(2)/2))/(LN(2)/2)*BL109*BO109*VLOOKUP('Données projet'!$B$11,Paramètres!$A$1:$I$89,3,0)*0.475*44/12</f>
        <v>2.8867574356992049E-9</v>
      </c>
      <c r="BS109" s="24">
        <f t="shared" si="63"/>
        <v>126.36759779323683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7.4</v>
      </c>
      <c r="BY109" s="13">
        <f>IF('Données projet'!$A$114&gt;35,BY108+BX109-CG108,IF(A109&lt;'Données projet'!$A$114,$BV$205^A109,IF(A109='Données projet'!$A$114,'Données projet'!$B$114,BY108+BX109-CG108)))</f>
        <v>463.40000000000003</v>
      </c>
      <c r="BZ109" s="14">
        <f>BY109*VLOOKUP('Données projet'!$B$12,Paramètres!$A$1:$I$89,3,0)*VLOOKUP('Données projet'!$B$12,Paramètres!$A$1:$I$89,5,0)</f>
        <v>397.59720000000004</v>
      </c>
      <c r="CA109" s="14">
        <f t="shared" si="93"/>
        <v>91.289363709423512</v>
      </c>
      <c r="CB109" s="22">
        <f t="shared" si="64"/>
        <v>851.47743179391273</v>
      </c>
      <c r="CC109" s="62">
        <f t="shared" si="65"/>
        <v>1130.4692453820419</v>
      </c>
      <c r="CD109" s="62">
        <f ca="1">AVERAGE(OFFSET($CC$3,0,0,'Données projet'!$E$12+1,1))-AVERAGE(OFFSET($H$3,0,0,'Données projet'!$E$12+1,1))</f>
        <v>590.18141384962507</v>
      </c>
      <c r="CE109" s="62">
        <f t="shared" si="94"/>
        <v>331.25104323342907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88.899811634816785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88.899811634816785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4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5.7</v>
      </c>
      <c r="N110" s="14">
        <f>IF('Données projet'!$A$36&gt;35,N109+M110-V109,IF(A110&lt;'Données projet'!$A$36,$K$205^A110,IF(A110='Données projet'!$A$36,'Données projet'!$B$36,N109+M110-V109)))</f>
        <v>258.29999999999978</v>
      </c>
      <c r="O110" s="14">
        <f>N110*VLOOKUP('Données projet'!$B$9,Paramètres!$A$1:$I$89,3,0)*VLOOKUP('Données projet'!$B$9,Paramètres!$A$1:$I$89,5,0)</f>
        <v>233.70983999999979</v>
      </c>
      <c r="P110" s="14">
        <f t="shared" si="87"/>
        <v>57.08408713412031</v>
      </c>
      <c r="Q110" s="22">
        <f t="shared" si="107"/>
        <v>506.46608975859249</v>
      </c>
      <c r="R110" s="62">
        <f t="shared" si="55"/>
        <v>785.70669665146613</v>
      </c>
      <c r="S110" s="62">
        <f ca="1">AVERAGE(OFFSET($R$3,0,0,'Données projet'!$E$9+1,1))-AVERAGE(OFFSET($H$3,0,0,'Données projet'!$E$9+1,1))</f>
        <v>432.80275651765203</v>
      </c>
      <c r="T110" s="62">
        <f t="shared" si="88"/>
        <v>203.89279893419919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18.238748240739287</v>
      </c>
      <c r="AA110" s="23">
        <f>EXP(-LN(2)/25)*AA109+(1-EXP(-LN(2)/25))/(LN(2)/25)*Calculateur!V110*Calculateur!X110*VLOOKUP('Données projet'!$B$9,Paramètres!$A$1:$I$89,3,0)*0.475*44/12</f>
        <v>12.336881005479526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30.575629246218814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1.9895196601282805E-13</v>
      </c>
      <c r="AJ110" s="14">
        <f>AI110*VLOOKUP('Données projet'!$B$10,Paramètres!$A$1:$I$89,3,0)*VLOOKUP('Données projet'!$B$10,Paramètres!$A$1:$I$89,5,0)</f>
        <v>1.738044375088066E-13</v>
      </c>
      <c r="AK110" s="14">
        <f t="shared" si="89"/>
        <v>2.4483293633950478E-12</v>
      </c>
      <c r="AL110" s="22">
        <f t="shared" si="58"/>
        <v>4.566883036574213E-12</v>
      </c>
      <c r="AM110" s="62">
        <f t="shared" si="59"/>
        <v>279.24060689287819</v>
      </c>
      <c r="AN110" s="62">
        <f ca="1">AVERAGE(OFFSET($AM$3,0,0,'Données projet'!$E$10+1,1))-AVERAGE(OFFSET($H$3,0,0,'Données projet'!$E$10+1,1))</f>
        <v>341.62910675299065</v>
      </c>
      <c r="AO110" s="62">
        <f t="shared" si="90"/>
        <v>407.15938341104709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49.693070087861351</v>
      </c>
      <c r="AV110" s="23">
        <f>EXP(-LN(2)/25)*AV109+(1-EXP(-LN(2)/25))/(LN(2)/25)*Calculateur!AQ110*Calculateur!AS110*VLOOKUP('Données projet'!$B$10,Paramètres!$A$1:$I$89,3,0)*0.475*44/12</f>
        <v>19.986110751576856</v>
      </c>
      <c r="AW110" s="23">
        <f>EXP(-LN(2)/2)*AW109+(1-EXP(-LN(2)/2))/(LN(2)/2)*AQ110*AT110*VLOOKUP('Données projet'!$B$10,Paramètres!$A$1:$I$89,3,0)*0.475*44/12</f>
        <v>1.1291226721526741E-6</v>
      </c>
      <c r="AX110" s="23">
        <f t="shared" si="60"/>
        <v>69.679181968560869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3.4106051316484809E-13</v>
      </c>
      <c r="BE110" s="14">
        <f>BD110*VLOOKUP('Données projet'!$B$11,Paramètres!$A$1:$I$89,3,0)*VLOOKUP('Données projet'!$B$11,Paramètres!$A$1:$I$89,5,0)</f>
        <v>1.6405010683229191E-13</v>
      </c>
      <c r="BF110" s="14">
        <f t="shared" si="91"/>
        <v>2.3265121008813928E-12</v>
      </c>
      <c r="BG110" s="22">
        <f t="shared" si="61"/>
        <v>4.337729178434667E-12</v>
      </c>
      <c r="BH110" s="62">
        <f t="shared" si="62"/>
        <v>279.24060689287796</v>
      </c>
      <c r="BI110" s="62">
        <f ca="1">AVERAGE(OFFSET($BH$3,0,0,'Données projet'!$E$11+1,1))-AVERAGE(OFFSET($H$3,0,0,'Données projet'!$E$11+1,1))</f>
        <v>405.94837980869011</v>
      </c>
      <c r="BJ110" s="62">
        <f t="shared" si="92"/>
        <v>511.37583835090879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117.87636812229013</v>
      </c>
      <c r="BQ110" s="23">
        <f>EXP(-LN(2)/25)*BQ109+(1-EXP(-LN(2)/25))/(LN(2)/25)*Calculateur!BL110*Calculateur!BN110*VLOOKUP('Données projet'!$B$11,Paramètres!$A$1:$I$89,3,0)*0.475*44/12</f>
        <v>5.9657913684884631</v>
      </c>
      <c r="BR110" s="23">
        <f>EXP(-LN(2)/2)*BR109+(1-EXP(-LN(2)/2))/(LN(2)/2)*BL110*BO110*VLOOKUP('Données projet'!$B$11,Paramètres!$A$1:$I$89,3,0)*0.475*44/12</f>
        <v>2.0412457584235967E-9</v>
      </c>
      <c r="BS110" s="24">
        <f t="shared" si="63"/>
        <v>123.84215949281985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7.4</v>
      </c>
      <c r="BY110" s="13">
        <f>IF('Données projet'!$A$114&gt;35,BY109+BX110-CG109,IF(A110&lt;'Données projet'!$A$114,$BV$205^A110,IF(A110='Données projet'!$A$114,'Données projet'!$B$114,BY109+BX110-CG109)))</f>
        <v>470.8</v>
      </c>
      <c r="BZ110" s="14">
        <f>BY110*VLOOKUP('Données projet'!$B$12,Paramètres!$A$1:$I$89,3,0)*VLOOKUP('Données projet'!$B$12,Paramètres!$A$1:$I$89,5,0)</f>
        <v>403.9464000000001</v>
      </c>
      <c r="CA110" s="14">
        <f t="shared" si="93"/>
        <v>92.576279533320715</v>
      </c>
      <c r="CB110" s="22">
        <f t="shared" si="64"/>
        <v>864.77700018720031</v>
      </c>
      <c r="CC110" s="62">
        <f t="shared" si="65"/>
        <v>1144.017607080074</v>
      </c>
      <c r="CD110" s="62">
        <f ca="1">AVERAGE(OFFSET($CC$3,0,0,'Données projet'!$E$12+1,1))-AVERAGE(OFFSET($H$3,0,0,'Données projet'!$E$12+1,1))</f>
        <v>590.18141384962507</v>
      </c>
      <c r="CE110" s="62">
        <f t="shared" si="94"/>
        <v>331.25104323342907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87.156540552189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87.156540552189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4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>
        <f>VLOOKUP(A111,'Données projet'!$A$35:$I$55,2,0)</f>
        <v>264</v>
      </c>
      <c r="L111" s="13">
        <f>VLOOKUP(A111,'Données projet'!$A$35:$I$55,9,0)</f>
        <v>5.7</v>
      </c>
      <c r="M111" s="13">
        <f t="array" ref="M111">INDEX(L:L,MIN(IF(ISNUMBER(L111:L307),ROW(L111:L307),"")))</f>
        <v>5.7</v>
      </c>
      <c r="N111" s="14">
        <f>IF('Données projet'!$A$36&gt;35,N110+M111-V110,IF(A111&lt;'Données projet'!$A$36,$K$205^A111,IF(A111='Données projet'!$A$36,'Données projet'!$B$36,N110+M111-V110)))</f>
        <v>263.99999999999977</v>
      </c>
      <c r="O111" s="14">
        <f>N111*VLOOKUP('Données projet'!$B$9,Paramètres!$A$1:$I$89,3,0)*VLOOKUP('Données projet'!$B$9,Paramètres!$A$1:$I$89,5,0)</f>
        <v>238.8671999999998</v>
      </c>
      <c r="P111" s="14">
        <f t="shared" si="87"/>
        <v>58.195735973104107</v>
      </c>
      <c r="Q111" s="22">
        <f t="shared" si="107"/>
        <v>517.38461348648923</v>
      </c>
      <c r="R111" s="62">
        <f t="shared" si="55"/>
        <v>796.86969767648861</v>
      </c>
      <c r="S111" s="62">
        <f ca="1">AVERAGE(OFFSET($R$3,0,0,'Données projet'!$E$9+1,1))-AVERAGE(OFFSET($H$3,0,0,'Données projet'!$E$9+1,1))</f>
        <v>432.80275651765203</v>
      </c>
      <c r="T111" s="62">
        <f t="shared" si="88"/>
        <v>203.89279893419919</v>
      </c>
      <c r="U111" s="16">
        <f>IF(ISNA(VLOOKUP(A111,'Données projet'!$A$35:$I$55,3,0)),0,VLOOKUP(A111,'Données projet'!$A$35:$I$55,3,0))</f>
        <v>7</v>
      </c>
      <c r="V111" s="16">
        <f>IF(ISNA(VLOOKUP(A111,'Données projet'!$A$35:$I$55,4,0)),0,VLOOKUP(A111,'Données projet'!$A$35:$I$55,4,0))</f>
        <v>39</v>
      </c>
      <c r="W111" s="17">
        <f>IF(ISNA(VLOOKUP(A111,'Données projet'!$A$35:$I$55,5,0)),0%,VLOOKUP(A111,'Données projet'!$A$35:$I$55,5,0)*VLOOKUP('Données projet'!$B$9,Paramètres!$A$1:$I$89,7,0))</f>
        <v>0.215</v>
      </c>
      <c r="X111" s="17">
        <f>IF(ISNA(VLOOKUP(A111,'Données projet'!$A$35:$I$55,6,0)),0%,VLOOKUP(A111,'Données projet'!$A$35:$I$55,6,0)*VLOOKUP('Données projet'!$B$9,Paramètres!$A$1:$I$89,7,0))</f>
        <v>0.17200000000000001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26.268022703257209</v>
      </c>
      <c r="AA111" s="23">
        <f>EXP(-LN(2)/25)*AA110+(1-EXP(-LN(2)/25))/(LN(2)/25)*Calculateur!V111*Calculateur!X111*VLOOKUP('Données projet'!$B$9,Paramètres!$A$1:$I$89,3,0)*0.475*44/12</f>
        <v>18.682650482284252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44.950673185541461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1.9895196601282805E-13</v>
      </c>
      <c r="AJ111" s="14">
        <f>AI111*VLOOKUP('Données projet'!$B$10,Paramètres!$A$1:$I$89,3,0)*VLOOKUP('Données projet'!$B$10,Paramètres!$A$1:$I$89,5,0)</f>
        <v>1.738044375088066E-13</v>
      </c>
      <c r="AK111" s="14">
        <f t="shared" si="89"/>
        <v>2.4483293633950478E-12</v>
      </c>
      <c r="AL111" s="22">
        <f t="shared" si="58"/>
        <v>4.566883036574213E-12</v>
      </c>
      <c r="AM111" s="62">
        <f t="shared" si="59"/>
        <v>279.48508419000387</v>
      </c>
      <c r="AN111" s="62">
        <f ca="1">AVERAGE(OFFSET($AM$3,0,0,'Données projet'!$E$10+1,1))-AVERAGE(OFFSET($H$3,0,0,'Données projet'!$E$10+1,1))</f>
        <v>341.62910675299065</v>
      </c>
      <c r="AO111" s="62">
        <f t="shared" si="90"/>
        <v>407.15938341104709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48.718619293218303</v>
      </c>
      <c r="AV111" s="23">
        <f>EXP(-LN(2)/25)*AV110+(1-EXP(-LN(2)/25))/(LN(2)/25)*Calculateur!AQ111*Calculateur!AS111*VLOOKUP('Données projet'!$B$10,Paramètres!$A$1:$I$89,3,0)*0.475*44/12</f>
        <v>19.439589502051103</v>
      </c>
      <c r="AW111" s="23">
        <f>EXP(-LN(2)/2)*AW110+(1-EXP(-LN(2)/2))/(LN(2)/2)*AQ111*AT111*VLOOKUP('Données projet'!$B$10,Paramètres!$A$1:$I$89,3,0)*0.475*44/12</f>
        <v>7.9841029827063077E-7</v>
      </c>
      <c r="AX111" s="23">
        <f t="shared" si="60"/>
        <v>68.1582095936797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3.4106051316484809E-13</v>
      </c>
      <c r="BE111" s="14">
        <f>BD111*VLOOKUP('Données projet'!$B$11,Paramètres!$A$1:$I$89,3,0)*VLOOKUP('Données projet'!$B$11,Paramètres!$A$1:$I$89,5,0)</f>
        <v>1.6405010683229191E-13</v>
      </c>
      <c r="BF111" s="14">
        <f t="shared" si="91"/>
        <v>2.3265121008813928E-12</v>
      </c>
      <c r="BG111" s="22">
        <f t="shared" si="61"/>
        <v>4.337729178434667E-12</v>
      </c>
      <c r="BH111" s="62">
        <f t="shared" si="62"/>
        <v>279.48508419000365</v>
      </c>
      <c r="BI111" s="62">
        <f ca="1">AVERAGE(OFFSET($BH$3,0,0,'Données projet'!$E$11+1,1))-AVERAGE(OFFSET($H$3,0,0,'Données projet'!$E$11+1,1))</f>
        <v>405.94837980869011</v>
      </c>
      <c r="BJ111" s="62">
        <f t="shared" si="92"/>
        <v>511.37583835090879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115.56488444089729</v>
      </c>
      <c r="BQ111" s="23">
        <f>EXP(-LN(2)/25)*BQ110+(1-EXP(-LN(2)/25))/(LN(2)/25)*Calculateur!BL111*Calculateur!BN111*VLOOKUP('Données projet'!$B$11,Paramètres!$A$1:$I$89,3,0)*0.475*44/12</f>
        <v>5.802656489789813</v>
      </c>
      <c r="BR111" s="23">
        <f>EXP(-LN(2)/2)*BR110+(1-EXP(-LN(2)/2))/(LN(2)/2)*BL111*BO111*VLOOKUP('Données projet'!$B$11,Paramètres!$A$1:$I$89,3,0)*0.475*44/12</f>
        <v>1.4433787178496025E-9</v>
      </c>
      <c r="BS111" s="24">
        <f t="shared" si="63"/>
        <v>121.36754093213048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7.4</v>
      </c>
      <c r="BY111" s="13">
        <f>IF('Données projet'!$A$114&gt;35,BY110+BX111-CG110,IF(A111&lt;'Données projet'!$A$114,$BV$205^A111,IF(A111='Données projet'!$A$114,'Données projet'!$B$114,BY110+BX111-CG110)))</f>
        <v>478.2</v>
      </c>
      <c r="BZ111" s="14">
        <f>BY111*VLOOKUP('Données projet'!$B$12,Paramètres!$A$1:$I$89,3,0)*VLOOKUP('Données projet'!$B$12,Paramètres!$A$1:$I$89,5,0)</f>
        <v>410.29559999999998</v>
      </c>
      <c r="CA111" s="14">
        <f t="shared" si="93"/>
        <v>93.860842909017109</v>
      </c>
      <c r="CB111" s="22">
        <f t="shared" si="64"/>
        <v>878.07247139987146</v>
      </c>
      <c r="CC111" s="62">
        <f t="shared" si="65"/>
        <v>1157.5575555898708</v>
      </c>
      <c r="CD111" s="62">
        <f ca="1">AVERAGE(OFFSET($CC$3,0,0,'Données projet'!$E$12+1,1))-AVERAGE(OFFSET($H$3,0,0,'Données projet'!$E$12+1,1))</f>
        <v>590.18141384962507</v>
      </c>
      <c r="CE111" s="62">
        <f t="shared" si="94"/>
        <v>331.25104323342907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85.447453952201172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85.447453952201172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4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5.6</v>
      </c>
      <c r="N112" s="14">
        <f>IF('Données projet'!$A$36&gt;35,N111+M112-V111,IF(A112&lt;'Données projet'!$A$36,$K$205^A112,IF(A112='Données projet'!$A$36,'Données projet'!$B$36,N111+M112-V111)))</f>
        <v>230.5999999999998</v>
      </c>
      <c r="O112" s="14">
        <f>N112*VLOOKUP('Données projet'!$B$9,Paramètres!$A$1:$I$89,3,0)*VLOOKUP('Données projet'!$B$9,Paramètres!$A$1:$I$89,5,0)</f>
        <v>208.64687999999981</v>
      </c>
      <c r="P112" s="14">
        <f t="shared" si="87"/>
        <v>51.639783781236048</v>
      </c>
      <c r="Q112" s="22">
        <f t="shared" si="107"/>
        <v>453.33260608565246</v>
      </c>
      <c r="R112" s="62">
        <f t="shared" si="55"/>
        <v>733.05792643824179</v>
      </c>
      <c r="S112" s="62">
        <f ca="1">AVERAGE(OFFSET($R$3,0,0,'Données projet'!$E$9+1,1))-AVERAGE(OFFSET($H$3,0,0,'Données projet'!$E$9+1,1))</f>
        <v>432.80275651765203</v>
      </c>
      <c r="T112" s="62">
        <f t="shared" si="88"/>
        <v>203.89279893419919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25.752922799958153</v>
      </c>
      <c r="AA112" s="23">
        <f>EXP(-LN(2)/25)*AA111+(1-EXP(-LN(2)/25))/(LN(2)/25)*Calculateur!V112*Calculateur!X112*VLOOKUP('Données projet'!$B$9,Paramètres!$A$1:$I$89,3,0)*0.475*44/12</f>
        <v>18.171772422368299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43.924695222326449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1.9895196601282805E-13</v>
      </c>
      <c r="AJ112" s="14">
        <f>AI112*VLOOKUP('Données projet'!$B$10,Paramètres!$A$1:$I$89,3,0)*VLOOKUP('Données projet'!$B$10,Paramètres!$A$1:$I$89,5,0)</f>
        <v>1.738044375088066E-13</v>
      </c>
      <c r="AK112" s="14">
        <f t="shared" si="89"/>
        <v>2.4483293633950478E-12</v>
      </c>
      <c r="AL112" s="22">
        <f t="shared" si="58"/>
        <v>4.566883036574213E-12</v>
      </c>
      <c r="AM112" s="62">
        <f t="shared" si="59"/>
        <v>279.72532035259383</v>
      </c>
      <c r="AN112" s="62">
        <f ca="1">AVERAGE(OFFSET($AM$3,0,0,'Données projet'!$E$10+1,1))-AVERAGE(OFFSET($H$3,0,0,'Données projet'!$E$10+1,1))</f>
        <v>341.62910675299065</v>
      </c>
      <c r="AO112" s="62">
        <f t="shared" si="90"/>
        <v>407.15938341104709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47.763276884301909</v>
      </c>
      <c r="AV112" s="23">
        <f>EXP(-LN(2)/25)*AV111+(1-EXP(-LN(2)/25))/(LN(2)/25)*Calculateur!AQ112*Calculateur!AS112*VLOOKUP('Données projet'!$B$10,Paramètres!$A$1:$I$89,3,0)*0.475*44/12</f>
        <v>18.908012904833932</v>
      </c>
      <c r="AW112" s="23">
        <f>EXP(-LN(2)/2)*AW111+(1-EXP(-LN(2)/2))/(LN(2)/2)*AQ112*AT112*VLOOKUP('Données projet'!$B$10,Paramètres!$A$1:$I$89,3,0)*0.475*44/12</f>
        <v>5.6456133607633704E-7</v>
      </c>
      <c r="AX112" s="23">
        <f t="shared" si="60"/>
        <v>66.671290353697174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3.4106051316484809E-13</v>
      </c>
      <c r="BE112" s="14">
        <f>BD112*VLOOKUP('Données projet'!$B$11,Paramètres!$A$1:$I$89,3,0)*VLOOKUP('Données projet'!$B$11,Paramètres!$A$1:$I$89,5,0)</f>
        <v>1.6405010683229191E-13</v>
      </c>
      <c r="BF112" s="14">
        <f t="shared" si="91"/>
        <v>2.3265121008813928E-12</v>
      </c>
      <c r="BG112" s="22">
        <f t="shared" si="61"/>
        <v>4.337729178434667E-12</v>
      </c>
      <c r="BH112" s="62">
        <f t="shared" si="62"/>
        <v>279.7253203525936</v>
      </c>
      <c r="BI112" s="62">
        <f ca="1">AVERAGE(OFFSET($BH$3,0,0,'Données projet'!$E$11+1,1))-AVERAGE(OFFSET($H$3,0,0,'Données projet'!$E$11+1,1))</f>
        <v>405.94837980869011</v>
      </c>
      <c r="BJ112" s="62">
        <f t="shared" si="92"/>
        <v>511.37583835090879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113.29872754463072</v>
      </c>
      <c r="BQ112" s="23">
        <f>EXP(-LN(2)/25)*BQ111+(1-EXP(-LN(2)/25))/(LN(2)/25)*Calculateur!BL112*Calculateur!BN112*VLOOKUP('Données projet'!$B$11,Paramètres!$A$1:$I$89,3,0)*0.475*44/12</f>
        <v>5.6439825429280681</v>
      </c>
      <c r="BR112" s="23">
        <f>EXP(-LN(2)/2)*BR111+(1-EXP(-LN(2)/2))/(LN(2)/2)*BL112*BO112*VLOOKUP('Données projet'!$B$11,Paramètres!$A$1:$I$89,3,0)*0.475*44/12</f>
        <v>1.0206228792117984E-9</v>
      </c>
      <c r="BS112" s="24">
        <f t="shared" si="63"/>
        <v>118.94271008857942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7.4</v>
      </c>
      <c r="BY112" s="13">
        <f>IF('Données projet'!$A$114&gt;35,BY111+BX112-CG111,IF(A112&lt;'Données projet'!$A$114,$BV$205^A112,IF(A112='Données projet'!$A$114,'Données projet'!$B$114,BY111+BX112-CG111)))</f>
        <v>485.59999999999997</v>
      </c>
      <c r="BZ112" s="14">
        <f>BY112*VLOOKUP('Données projet'!$B$12,Paramètres!$A$1:$I$89,3,0)*VLOOKUP('Données projet'!$B$12,Paramètres!$A$1:$I$89,5,0)</f>
        <v>416.64479999999998</v>
      </c>
      <c r="CA112" s="14">
        <f t="shared" si="93"/>
        <v>95.143094443977361</v>
      </c>
      <c r="CB112" s="22">
        <f t="shared" si="64"/>
        <v>891.36391615659386</v>
      </c>
      <c r="CC112" s="62">
        <f t="shared" si="65"/>
        <v>1171.0892365091831</v>
      </c>
      <c r="CD112" s="62">
        <f ca="1">AVERAGE(OFFSET($CC$3,0,0,'Données projet'!$E$12+1,1))-AVERAGE(OFFSET($H$3,0,0,'Données projet'!$E$12+1,1))</f>
        <v>590.18141384962507</v>
      </c>
      <c r="CE112" s="62">
        <f t="shared" si="94"/>
        <v>331.25104323342907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83.771881497999217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83.771881497999217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4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5.6</v>
      </c>
      <c r="N113" s="14">
        <f>IF('Données projet'!$A$36&gt;35,N112+M113-V112,IF(A113&lt;'Données projet'!$A$36,$K$205^A113,IF(A113='Données projet'!$A$36,'Données projet'!$B$36,N112+M113-V112)))</f>
        <v>236.19999999999979</v>
      </c>
      <c r="O113" s="14">
        <f>N113*VLOOKUP('Données projet'!$B$9,Paramètres!$A$1:$I$89,3,0)*VLOOKUP('Données projet'!$B$9,Paramètres!$A$1:$I$89,5,0)</f>
        <v>213.71375999999981</v>
      </c>
      <c r="P113" s="14">
        <f t="shared" si="87"/>
        <v>52.746305859880394</v>
      </c>
      <c r="Q113" s="22">
        <f t="shared" si="107"/>
        <v>464.08461470595802</v>
      </c>
      <c r="R113" s="62">
        <f t="shared" si="55"/>
        <v>744.04600366080388</v>
      </c>
      <c r="S113" s="62">
        <f ca="1">AVERAGE(OFFSET($R$3,0,0,'Données projet'!$E$9+1,1))-AVERAGE(OFFSET($H$3,0,0,'Données projet'!$E$9+1,1))</f>
        <v>432.80275651765203</v>
      </c>
      <c r="T113" s="62">
        <f t="shared" si="88"/>
        <v>203.89279893419919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25.247923691582873</v>
      </c>
      <c r="AA113" s="23">
        <f>EXP(-LN(2)/25)*AA112+(1-EXP(-LN(2)/25))/(LN(2)/25)*Calculateur!V113*Calculateur!X113*VLOOKUP('Données projet'!$B$9,Paramètres!$A$1:$I$89,3,0)*0.475*44/12</f>
        <v>17.67486434986666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42.922788041449536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1.9895196601282805E-13</v>
      </c>
      <c r="AJ113" s="14">
        <f>AI113*VLOOKUP('Données projet'!$B$10,Paramètres!$A$1:$I$89,3,0)*VLOOKUP('Données projet'!$B$10,Paramètres!$A$1:$I$89,5,0)</f>
        <v>1.738044375088066E-13</v>
      </c>
      <c r="AK113" s="14">
        <f t="shared" si="89"/>
        <v>2.4483293633950478E-12</v>
      </c>
      <c r="AL113" s="22">
        <f t="shared" si="58"/>
        <v>4.566883036574213E-12</v>
      </c>
      <c r="AM113" s="62">
        <f t="shared" si="59"/>
        <v>279.96138895485041</v>
      </c>
      <c r="AN113" s="62">
        <f ca="1">AVERAGE(OFFSET($AM$3,0,0,'Données projet'!$E$10+1,1))-AVERAGE(OFFSET($H$3,0,0,'Données projet'!$E$10+1,1))</f>
        <v>341.62910675299065</v>
      </c>
      <c r="AO113" s="62">
        <f t="shared" si="90"/>
        <v>407.15938341104709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46.826668157323034</v>
      </c>
      <c r="AV113" s="23">
        <f>EXP(-LN(2)/25)*AV112+(1-EXP(-LN(2)/25))/(LN(2)/25)*Calculateur!AQ113*Calculateur!AS113*VLOOKUP('Données projet'!$B$10,Paramètres!$A$1:$I$89,3,0)*0.475*44/12</f>
        <v>18.390972297622064</v>
      </c>
      <c r="AW113" s="23">
        <f>EXP(-LN(2)/2)*AW112+(1-EXP(-LN(2)/2))/(LN(2)/2)*AQ113*AT113*VLOOKUP('Données projet'!$B$10,Paramètres!$A$1:$I$89,3,0)*0.475*44/12</f>
        <v>3.9920514913531538E-7</v>
      </c>
      <c r="AX113" s="23">
        <f t="shared" si="60"/>
        <v>65.217640854150247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3.4106051316484809E-13</v>
      </c>
      <c r="BE113" s="14">
        <f>BD113*VLOOKUP('Données projet'!$B$11,Paramètres!$A$1:$I$89,3,0)*VLOOKUP('Données projet'!$B$11,Paramètres!$A$1:$I$89,5,0)</f>
        <v>1.6405010683229191E-13</v>
      </c>
      <c r="BF113" s="14">
        <f t="shared" si="91"/>
        <v>2.3265121008813928E-12</v>
      </c>
      <c r="BG113" s="22">
        <f t="shared" si="61"/>
        <v>4.337729178434667E-12</v>
      </c>
      <c r="BH113" s="62">
        <f t="shared" si="62"/>
        <v>279.96138895485018</v>
      </c>
      <c r="BI113" s="62">
        <f ca="1">AVERAGE(OFFSET($BH$3,0,0,'Données projet'!$E$11+1,1))-AVERAGE(OFFSET($H$3,0,0,'Données projet'!$E$11+1,1))</f>
        <v>405.94837980869011</v>
      </c>
      <c r="BJ113" s="62">
        <f t="shared" si="92"/>
        <v>511.37583835090879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111.07700860288072</v>
      </c>
      <c r="BQ113" s="23">
        <f>EXP(-LN(2)/25)*BQ112+(1-EXP(-LN(2)/25))/(LN(2)/25)*Calculateur!BL113*Calculateur!BN113*VLOOKUP('Données projet'!$B$11,Paramètres!$A$1:$I$89,3,0)*0.475*44/12</f>
        <v>5.4896475434875578</v>
      </c>
      <c r="BR113" s="23">
        <f>EXP(-LN(2)/2)*BR112+(1-EXP(-LN(2)/2))/(LN(2)/2)*BL113*BO113*VLOOKUP('Données projet'!$B$11,Paramètres!$A$1:$I$89,3,0)*0.475*44/12</f>
        <v>7.2168935892480123E-10</v>
      </c>
      <c r="BS113" s="24">
        <f t="shared" si="63"/>
        <v>116.56665614708997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493</v>
      </c>
      <c r="BW113" s="13">
        <f>VLOOKUP(A113,'Données projet'!$A$113:$I$133,9,0)</f>
        <v>7.4</v>
      </c>
      <c r="BX113" s="13">
        <f t="array" ref="BX113">INDEX(BW:BW,MIN(IF(ISNUMBER(BW113:BW309),ROW(BW113:BW309),"")))</f>
        <v>7.4</v>
      </c>
      <c r="BY113" s="13">
        <f>IF('Données projet'!$A$114&gt;35,BY112+BX113-CG112,IF(A113&lt;'Données projet'!$A$114,$BV$205^A113,IF(A113='Données projet'!$A$114,'Données projet'!$B$114,BY112+BX113-CG112)))</f>
        <v>492.99999999999994</v>
      </c>
      <c r="BZ113" s="14">
        <f>BY113*VLOOKUP('Données projet'!$B$12,Paramètres!$A$1:$I$89,3,0)*VLOOKUP('Données projet'!$B$12,Paramètres!$A$1:$I$89,5,0)</f>
        <v>422.99399999999997</v>
      </c>
      <c r="CA113" s="14">
        <f t="shared" si="93"/>
        <v>96.423073437021841</v>
      </c>
      <c r="CB113" s="22">
        <f t="shared" si="64"/>
        <v>904.65140290281306</v>
      </c>
      <c r="CC113" s="62">
        <f t="shared" si="65"/>
        <v>1184.612791857659</v>
      </c>
      <c r="CD113" s="62">
        <f ca="1">AVERAGE(OFFSET($CC$3,0,0,'Données projet'!$E$12+1,1))-AVERAGE(OFFSET($H$3,0,0,'Données projet'!$E$12+1,1))</f>
        <v>590.18141384962507</v>
      </c>
      <c r="CE113" s="62">
        <f t="shared" si="94"/>
        <v>331.25104323342907</v>
      </c>
      <c r="CF113" s="16">
        <f>IF(ISNA(VLOOKUP(A113,'Données projet'!$A$113:$I$133,3,0)),0,VLOOKUP(A113,'Données projet'!$A$113:$I$133,3,0))</f>
        <v>19</v>
      </c>
      <c r="CG113" s="16">
        <f>IF(ISNA(VLOOKUP(A113,'Données projet'!$A$113:$I$133,4,0)),0,VLOOKUP(A113,'Données projet'!$A$113:$I$133,4,0))</f>
        <v>27</v>
      </c>
      <c r="CH113" s="17">
        <f>IF(ISNA(VLOOKUP(A113,'Données projet'!$A$113:$I$133,5,0)),0%,VLOOKUP(A113,'Données projet'!$A$113:$I$133,5,0)*VLOOKUP('Données projet'!$B$12,Paramètres!$A$1:$I$89,7,0))</f>
        <v>0.53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95.702109208123844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95.702109208123844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4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5.6</v>
      </c>
      <c r="N114" s="14">
        <f>IF('Données projet'!$A$36&gt;35,N113+M114-V113,IF(A114&lt;'Données projet'!$A$36,$K$205^A114,IF(A114='Données projet'!$A$36,'Données projet'!$B$36,N113+M114-V113)))</f>
        <v>241.79999999999978</v>
      </c>
      <c r="O114" s="14">
        <f>N114*VLOOKUP('Données projet'!$B$9,Paramètres!$A$1:$I$89,3,0)*VLOOKUP('Données projet'!$B$9,Paramètres!$A$1:$I$89,5,0)</f>
        <v>218.78063999999978</v>
      </c>
      <c r="P114" s="14">
        <f t="shared" si="87"/>
        <v>53.849778182636094</v>
      </c>
      <c r="Q114" s="22">
        <f t="shared" si="107"/>
        <v>474.83131166809085</v>
      </c>
      <c r="R114" s="62">
        <f t="shared" si="55"/>
        <v>755.02467396271436</v>
      </c>
      <c r="S114" s="62">
        <f ca="1">AVERAGE(OFFSET($R$3,0,0,'Données projet'!$E$9+1,1))-AVERAGE(OFFSET($H$3,0,0,'Données projet'!$E$9+1,1))</f>
        <v>432.80275651765203</v>
      </c>
      <c r="T114" s="62">
        <f t="shared" si="88"/>
        <v>203.89279893419919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24.752827307703789</v>
      </c>
      <c r="AA114" s="23">
        <f>EXP(-LN(2)/25)*AA113+(1-EXP(-LN(2)/25))/(LN(2)/25)*Calculateur!V114*Calculateur!X114*VLOOKUP('Données projet'!$B$9,Paramètres!$A$1:$I$89,3,0)*0.475*44/12</f>
        <v>17.191544254738837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41.944371562442626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1.9895196601282805E-13</v>
      </c>
      <c r="AJ114" s="14">
        <f>AI114*VLOOKUP('Données projet'!$B$10,Paramètres!$A$1:$I$89,3,0)*VLOOKUP('Données projet'!$B$10,Paramètres!$A$1:$I$89,5,0)</f>
        <v>1.738044375088066E-13</v>
      </c>
      <c r="AK114" s="14">
        <f t="shared" si="89"/>
        <v>2.4483293633950478E-12</v>
      </c>
      <c r="AL114" s="22">
        <f t="shared" si="58"/>
        <v>4.566883036574213E-12</v>
      </c>
      <c r="AM114" s="62">
        <f t="shared" si="59"/>
        <v>280.19336229462812</v>
      </c>
      <c r="AN114" s="62">
        <f ca="1">AVERAGE(OFFSET($AM$3,0,0,'Données projet'!$E$10+1,1))-AVERAGE(OFFSET($H$3,0,0,'Données projet'!$E$10+1,1))</f>
        <v>341.62910675299065</v>
      </c>
      <c r="AO114" s="62">
        <f t="shared" si="90"/>
        <v>407.15938341104709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45.908425756205297</v>
      </c>
      <c r="AV114" s="23">
        <f>EXP(-LN(2)/25)*AV113+(1-EXP(-LN(2)/25))/(LN(2)/25)*Calculateur!AQ114*Calculateur!AS114*VLOOKUP('Données projet'!$B$10,Paramètres!$A$1:$I$89,3,0)*0.475*44/12</f>
        <v>17.888070193004388</v>
      </c>
      <c r="AW114" s="23">
        <f>EXP(-LN(2)/2)*AW113+(1-EXP(-LN(2)/2))/(LN(2)/2)*AQ114*AT114*VLOOKUP('Données projet'!$B$10,Paramètres!$A$1:$I$89,3,0)*0.475*44/12</f>
        <v>2.8228066803816852E-7</v>
      </c>
      <c r="AX114" s="23">
        <f t="shared" si="60"/>
        <v>63.796496231490352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3.4106051316484809E-13</v>
      </c>
      <c r="BE114" s="14">
        <f>BD114*VLOOKUP('Données projet'!$B$11,Paramètres!$A$1:$I$89,3,0)*VLOOKUP('Données projet'!$B$11,Paramètres!$A$1:$I$89,5,0)</f>
        <v>1.6405010683229191E-13</v>
      </c>
      <c r="BF114" s="14">
        <f t="shared" si="91"/>
        <v>2.3265121008813928E-12</v>
      </c>
      <c r="BG114" s="22">
        <f t="shared" si="61"/>
        <v>4.337729178434667E-12</v>
      </c>
      <c r="BH114" s="62">
        <f t="shared" si="62"/>
        <v>280.19336229462789</v>
      </c>
      <c r="BI114" s="62">
        <f ca="1">AVERAGE(OFFSET($BH$3,0,0,'Données projet'!$E$11+1,1))-AVERAGE(OFFSET($H$3,0,0,'Données projet'!$E$11+1,1))</f>
        <v>405.94837980869011</v>
      </c>
      <c r="BJ114" s="62">
        <f t="shared" si="92"/>
        <v>511.37583835090879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108.89885621446369</v>
      </c>
      <c r="BQ114" s="23">
        <f>EXP(-LN(2)/25)*BQ113+(1-EXP(-LN(2)/25))/(LN(2)/25)*Calculateur!BL114*Calculateur!BN114*VLOOKUP('Données projet'!$B$11,Paramètres!$A$1:$I$89,3,0)*0.475*44/12</f>
        <v>5.339532842722873</v>
      </c>
      <c r="BR114" s="23">
        <f>EXP(-LN(2)/2)*BR113+(1-EXP(-LN(2)/2))/(LN(2)/2)*BL114*BO114*VLOOKUP('Données projet'!$B$11,Paramètres!$A$1:$I$89,3,0)*0.475*44/12</f>
        <v>5.1031143960589918E-10</v>
      </c>
      <c r="BS114" s="24">
        <f t="shared" si="63"/>
        <v>114.23838905769688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102</v>
      </c>
      <c r="BY114" s="13">
        <f>IF('Données projet'!$A$114&gt;35,BY113+BX114-CG113,IF(A114&lt;'Données projet'!$A$114,$BV$205^A114,IF(A114='Données projet'!$A$114,'Données projet'!$B$114,BY113+BX114-CG113)))</f>
        <v>568</v>
      </c>
      <c r="BZ114" s="14">
        <f>BY114*VLOOKUP('Données projet'!$B$12,Paramètres!$A$1:$I$89,3,0)*VLOOKUP('Données projet'!$B$12,Paramètres!$A$1:$I$89,5,0)</f>
        <v>487.34400000000005</v>
      </c>
      <c r="CA114" s="14">
        <f t="shared" si="93"/>
        <v>109.27570620634768</v>
      </c>
      <c r="CB114" s="22">
        <f t="shared" si="64"/>
        <v>1039.1126549760556</v>
      </c>
      <c r="CC114" s="62">
        <f t="shared" si="65"/>
        <v>1319.3060172706791</v>
      </c>
      <c r="CD114" s="62">
        <f ca="1">AVERAGE(OFFSET($CC$3,0,0,'Données projet'!$E$12+1,1))-AVERAGE(OFFSET($H$3,0,0,'Données projet'!$E$12+1,1))</f>
        <v>590.18141384962507</v>
      </c>
      <c r="CE114" s="62">
        <f t="shared" si="94"/>
        <v>331.25104323342907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93.825449219075338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93.825449219075338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4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5.6</v>
      </c>
      <c r="N115" s="14">
        <f>IF('Données projet'!$A$36&gt;35,N114+M115-V114,IF(A115&lt;'Données projet'!$A$36,$K$205^A115,IF(A115='Données projet'!$A$36,'Données projet'!$B$36,N114+M115-V114)))</f>
        <v>247.39999999999978</v>
      </c>
      <c r="O115" s="14">
        <f>N115*VLOOKUP('Données projet'!$B$9,Paramètres!$A$1:$I$89,3,0)*VLOOKUP('Données projet'!$B$9,Paramètres!$A$1:$I$89,5,0)</f>
        <v>223.84751999999978</v>
      </c>
      <c r="P115" s="14">
        <f t="shared" si="87"/>
        <v>54.950279510257438</v>
      </c>
      <c r="Q115" s="22">
        <f t="shared" si="107"/>
        <v>485.5728341470313</v>
      </c>
      <c r="R115" s="62">
        <f t="shared" si="55"/>
        <v>765.99414556260217</v>
      </c>
      <c r="S115" s="62">
        <f ca="1">AVERAGE(OFFSET($R$3,0,0,'Données projet'!$E$9+1,1))-AVERAGE(OFFSET($H$3,0,0,'Données projet'!$E$9+1,1))</f>
        <v>432.80275651765203</v>
      </c>
      <c r="T115" s="62">
        <f t="shared" si="88"/>
        <v>203.89279893419919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24.267439461933598</v>
      </c>
      <c r="AA115" s="23">
        <f>EXP(-LN(2)/25)*AA114+(1-EXP(-LN(2)/25))/(LN(2)/25)*Calculateur!V115*Calculateur!X115*VLOOKUP('Données projet'!$B$9,Paramètres!$A$1:$I$89,3,0)*0.475*44/12</f>
        <v>16.721440573028982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40.988880034962577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1.9895196601282805E-13</v>
      </c>
      <c r="AJ115" s="14">
        <f>AI115*VLOOKUP('Données projet'!$B$10,Paramètres!$A$1:$I$89,3,0)*VLOOKUP('Données projet'!$B$10,Paramètres!$A$1:$I$89,5,0)</f>
        <v>1.738044375088066E-13</v>
      </c>
      <c r="AK115" s="14">
        <f t="shared" si="89"/>
        <v>2.4483293633950478E-12</v>
      </c>
      <c r="AL115" s="22">
        <f t="shared" si="58"/>
        <v>4.566883036574213E-12</v>
      </c>
      <c r="AM115" s="62">
        <f t="shared" si="59"/>
        <v>280.42131141557542</v>
      </c>
      <c r="AN115" s="62">
        <f ca="1">AVERAGE(OFFSET($AM$3,0,0,'Données projet'!$E$10+1,1))-AVERAGE(OFFSET($H$3,0,0,'Données projet'!$E$10+1,1))</f>
        <v>341.62910675299065</v>
      </c>
      <c r="AO115" s="62">
        <f t="shared" si="90"/>
        <v>407.15938341104709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45.008189528500914</v>
      </c>
      <c r="AV115" s="23">
        <f>EXP(-LN(2)/25)*AV114+(1-EXP(-LN(2)/25))/(LN(2)/25)*Calculateur!AQ115*Calculateur!AS115*VLOOKUP('Données projet'!$B$10,Paramètres!$A$1:$I$89,3,0)*0.475*44/12</f>
        <v>17.398919972883956</v>
      </c>
      <c r="AW115" s="23">
        <f>EXP(-LN(2)/2)*AW114+(1-EXP(-LN(2)/2))/(LN(2)/2)*AQ115*AT115*VLOOKUP('Données projet'!$B$10,Paramètres!$A$1:$I$89,3,0)*0.475*44/12</f>
        <v>1.9960257456765769E-7</v>
      </c>
      <c r="AX115" s="23">
        <f t="shared" si="60"/>
        <v>62.407109700987441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3.4106051316484809E-13</v>
      </c>
      <c r="BE115" s="14">
        <f>BD115*VLOOKUP('Données projet'!$B$11,Paramètres!$A$1:$I$89,3,0)*VLOOKUP('Données projet'!$B$11,Paramètres!$A$1:$I$89,5,0)</f>
        <v>1.6405010683229191E-13</v>
      </c>
      <c r="BF115" s="14">
        <f t="shared" si="91"/>
        <v>2.3265121008813928E-12</v>
      </c>
      <c r="BG115" s="22">
        <f t="shared" si="61"/>
        <v>4.337729178434667E-12</v>
      </c>
      <c r="BH115" s="62">
        <f t="shared" si="62"/>
        <v>280.42131141557519</v>
      </c>
      <c r="BI115" s="62">
        <f ca="1">AVERAGE(OFFSET($BH$3,0,0,'Données projet'!$E$11+1,1))-AVERAGE(OFFSET($H$3,0,0,'Données projet'!$E$11+1,1))</f>
        <v>405.94837980869011</v>
      </c>
      <c r="BJ115" s="62">
        <f t="shared" si="92"/>
        <v>511.37583835090879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106.76341606584175</v>
      </c>
      <c r="BQ115" s="23">
        <f>EXP(-LN(2)/25)*BQ114+(1-EXP(-LN(2)/25))/(LN(2)/25)*Calculateur!BL115*Calculateur!BN115*VLOOKUP('Données projet'!$B$11,Paramètres!$A$1:$I$89,3,0)*0.475*44/12</f>
        <v>5.1935230363447875</v>
      </c>
      <c r="BR115" s="23">
        <f>EXP(-LN(2)/2)*BR114+(1-EXP(-LN(2)/2))/(LN(2)/2)*BL115*BO115*VLOOKUP('Données projet'!$B$11,Paramètres!$A$1:$I$89,3,0)*0.475*44/12</f>
        <v>3.6084467946240062E-10</v>
      </c>
      <c r="BS115" s="24">
        <f t="shared" si="63"/>
        <v>111.95693910254738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102</v>
      </c>
      <c r="BY115" s="13">
        <f>IF('Données projet'!$A$114&gt;35,BY114+BX115-CG114,IF(A115&lt;'Données projet'!$A$114,$BV$205^A115,IF(A115='Données projet'!$A$114,'Données projet'!$B$114,BY114+BX115-CG114)))</f>
        <v>670</v>
      </c>
      <c r="BZ115" s="14">
        <f>BY115*VLOOKUP('Données projet'!$B$12,Paramètres!$A$1:$I$89,3,0)*VLOOKUP('Données projet'!$B$12,Paramètres!$A$1:$I$89,5,0)</f>
        <v>574.86000000000013</v>
      </c>
      <c r="CA115" s="14">
        <f t="shared" si="93"/>
        <v>126.44484490883227</v>
      </c>
      <c r="CB115" s="22">
        <f t="shared" si="64"/>
        <v>1221.4392715495499</v>
      </c>
      <c r="CC115" s="62">
        <f t="shared" si="65"/>
        <v>1501.8605829651208</v>
      </c>
      <c r="CD115" s="62">
        <f ca="1">AVERAGE(OFFSET($CC$3,0,0,'Données projet'!$E$12+1,1))-AVERAGE(OFFSET($H$3,0,0,'Données projet'!$E$12+1,1))</f>
        <v>590.18141384962507</v>
      </c>
      <c r="CE115" s="62">
        <f t="shared" si="94"/>
        <v>331.25104323342907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91.985589387762516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91.985589387762516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4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5.6</v>
      </c>
      <c r="N116" s="14">
        <f>IF('Données projet'!$A$36&gt;35,N115+M116-V115,IF(A116&lt;'Données projet'!$A$36,$K$205^A116,IF(A116='Données projet'!$A$36,'Données projet'!$B$36,N115+M116-V115)))</f>
        <v>252.99999999999977</v>
      </c>
      <c r="O116" s="14">
        <f>N116*VLOOKUP('Données projet'!$B$9,Paramètres!$A$1:$I$89,3,0)*VLOOKUP('Données projet'!$B$9,Paramètres!$A$1:$I$89,5,0)</f>
        <v>228.9143999999998</v>
      </c>
      <c r="P116" s="14">
        <f t="shared" si="87"/>
        <v>56.047884834417424</v>
      </c>
      <c r="Q116" s="22">
        <f t="shared" si="107"/>
        <v>496.30931275327663</v>
      </c>
      <c r="R116" s="62">
        <f t="shared" si="55"/>
        <v>776.95461888216425</v>
      </c>
      <c r="S116" s="62">
        <f ca="1">AVERAGE(OFFSET($R$3,0,0,'Données projet'!$E$9+1,1))-AVERAGE(OFFSET($H$3,0,0,'Données projet'!$E$9+1,1))</f>
        <v>432.80275651765203</v>
      </c>
      <c r="T116" s="62">
        <f t="shared" si="88"/>
        <v>203.89279893419919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23.791569775761609</v>
      </c>
      <c r="AA116" s="23">
        <f>EXP(-LN(2)/25)*AA115+(1-EXP(-LN(2)/25))/(LN(2)/25)*Calculateur!V116*Calculateur!X116*VLOOKUP('Données projet'!$B$9,Paramètres!$A$1:$I$89,3,0)*0.475*44/12</f>
        <v>16.264191901217163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40.055761676978776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1.9895196601282805E-13</v>
      </c>
      <c r="AJ116" s="14">
        <f>AI116*VLOOKUP('Données projet'!$B$10,Paramètres!$A$1:$I$89,3,0)*VLOOKUP('Données projet'!$B$10,Paramètres!$A$1:$I$89,5,0)</f>
        <v>1.738044375088066E-13</v>
      </c>
      <c r="AK116" s="14">
        <f t="shared" si="89"/>
        <v>2.4483293633950478E-12</v>
      </c>
      <c r="AL116" s="22">
        <f t="shared" si="58"/>
        <v>4.566883036574213E-12</v>
      </c>
      <c r="AM116" s="62">
        <f t="shared" si="59"/>
        <v>280.64530612889217</v>
      </c>
      <c r="AN116" s="62">
        <f ca="1">AVERAGE(OFFSET($AM$3,0,0,'Données projet'!$E$10+1,1))-AVERAGE(OFFSET($H$3,0,0,'Données projet'!$E$10+1,1))</f>
        <v>341.62910675299065</v>
      </c>
      <c r="AO116" s="62">
        <f t="shared" si="90"/>
        <v>407.15938341104709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44.125606384131935</v>
      </c>
      <c r="AV116" s="23">
        <f>EXP(-LN(2)/25)*AV115+(1-EXP(-LN(2)/25))/(LN(2)/25)*Calculateur!AQ116*Calculateur!AS116*VLOOKUP('Données projet'!$B$10,Paramètres!$A$1:$I$89,3,0)*0.475*44/12</f>
        <v>16.923145591256009</v>
      </c>
      <c r="AW116" s="23">
        <f>EXP(-LN(2)/2)*AW115+(1-EXP(-LN(2)/2))/(LN(2)/2)*AQ116*AT116*VLOOKUP('Données projet'!$B$10,Paramètres!$A$1:$I$89,3,0)*0.475*44/12</f>
        <v>1.4114033401908426E-7</v>
      </c>
      <c r="AX116" s="23">
        <f t="shared" si="60"/>
        <v>61.048752116528277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3.4106051316484809E-13</v>
      </c>
      <c r="BE116" s="14">
        <f>BD116*VLOOKUP('Données projet'!$B$11,Paramètres!$A$1:$I$89,3,0)*VLOOKUP('Données projet'!$B$11,Paramètres!$A$1:$I$89,5,0)</f>
        <v>1.6405010683229191E-13</v>
      </c>
      <c r="BF116" s="14">
        <f t="shared" si="91"/>
        <v>2.3265121008813928E-12</v>
      </c>
      <c r="BG116" s="22">
        <f t="shared" si="61"/>
        <v>4.337729178434667E-12</v>
      </c>
      <c r="BH116" s="62">
        <f t="shared" si="62"/>
        <v>280.64530612889195</v>
      </c>
      <c r="BI116" s="62">
        <f ca="1">AVERAGE(OFFSET($BH$3,0,0,'Données projet'!$E$11+1,1))-AVERAGE(OFFSET($H$3,0,0,'Données projet'!$E$11+1,1))</f>
        <v>405.94837980869011</v>
      </c>
      <c r="BJ116" s="62">
        <f t="shared" si="92"/>
        <v>511.37583835090879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104.6698505960444</v>
      </c>
      <c r="BQ116" s="23">
        <f>EXP(-LN(2)/25)*BQ115+(1-EXP(-LN(2)/25))/(LN(2)/25)*Calculateur!BL116*Calculateur!BN116*VLOOKUP('Données projet'!$B$11,Paramètres!$A$1:$I$89,3,0)*0.475*44/12</f>
        <v>5.0515058758004328</v>
      </c>
      <c r="BR116" s="23">
        <f>EXP(-LN(2)/2)*BR115+(1-EXP(-LN(2)/2))/(LN(2)/2)*BL116*BO116*VLOOKUP('Données projet'!$B$11,Paramètres!$A$1:$I$89,3,0)*0.475*44/12</f>
        <v>2.5515571980294959E-10</v>
      </c>
      <c r="BS116" s="24">
        <f t="shared" si="63"/>
        <v>109.72135647209998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102</v>
      </c>
      <c r="BY116" s="13">
        <f>IF('Données projet'!$A$114&gt;35,BY115+BX116-CG115,IF(A116&lt;'Données projet'!$A$114,$BV$205^A116,IF(A116='Données projet'!$A$114,'Données projet'!$B$114,BY115+BX116-CG115)))</f>
        <v>772</v>
      </c>
      <c r="BZ116" s="14">
        <f>BY116*VLOOKUP('Données projet'!$B$12,Paramètres!$A$1:$I$89,3,0)*VLOOKUP('Données projet'!$B$12,Paramètres!$A$1:$I$89,5,0)</f>
        <v>662.37600000000009</v>
      </c>
      <c r="CA116" s="14">
        <f t="shared" si="93"/>
        <v>143.31118233113071</v>
      </c>
      <c r="CB116" s="22">
        <f t="shared" si="64"/>
        <v>1403.2385092267193</v>
      </c>
      <c r="CC116" s="62">
        <f t="shared" si="65"/>
        <v>1683.8838153556069</v>
      </c>
      <c r="CD116" s="62">
        <f ca="1">AVERAGE(OFFSET($CC$3,0,0,'Données projet'!$E$12+1,1))-AVERAGE(OFFSET($H$3,0,0,'Données projet'!$E$12+1,1))</f>
        <v>590.18141384962507</v>
      </c>
      <c r="CE116" s="62">
        <f t="shared" si="94"/>
        <v>331.25104323342907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90.181808085538052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90.181808085538052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4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5.6</v>
      </c>
      <c r="N117" s="14">
        <f>IF('Données projet'!$A$36&gt;35,N116+M117-V116,IF(A117&lt;'Données projet'!$A$36,$K$205^A117,IF(A117='Données projet'!$A$36,'Données projet'!$B$36,N116+M117-V116)))</f>
        <v>258.5999999999998</v>
      </c>
      <c r="O117" s="14">
        <f>N117*VLOOKUP('Données projet'!$B$9,Paramètres!$A$1:$I$89,3,0)*VLOOKUP('Données projet'!$B$9,Paramètres!$A$1:$I$89,5,0)</f>
        <v>233.9812799999998</v>
      </c>
      <c r="P117" s="14">
        <f t="shared" si="87"/>
        <v>57.14266563744799</v>
      </c>
      <c r="Q117" s="22">
        <f t="shared" si="107"/>
        <v>507.04087198522149</v>
      </c>
      <c r="R117" s="62">
        <f t="shared" si="55"/>
        <v>787.90628701992694</v>
      </c>
      <c r="S117" s="62">
        <f ca="1">AVERAGE(OFFSET($R$3,0,0,'Données projet'!$E$9+1,1))-AVERAGE(OFFSET($H$3,0,0,'Données projet'!$E$9+1,1))</f>
        <v>432.80275651765203</v>
      </c>
      <c r="T117" s="62">
        <f t="shared" si="88"/>
        <v>203.89279893419919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23.325031603883602</v>
      </c>
      <c r="AA117" s="23">
        <f>EXP(-LN(2)/25)*AA116+(1-EXP(-LN(2)/25))/(LN(2)/25)*Calculateur!V117*Calculateur!X117*VLOOKUP('Données projet'!$B$9,Paramètres!$A$1:$I$89,3,0)*0.475*44/12</f>
        <v>15.8194467183817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39.1444783222653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1.9895196601282805E-13</v>
      </c>
      <c r="AJ117" s="14">
        <f>AI117*VLOOKUP('Données projet'!$B$10,Paramètres!$A$1:$I$89,3,0)*VLOOKUP('Données projet'!$B$10,Paramètres!$A$1:$I$89,5,0)</f>
        <v>1.738044375088066E-13</v>
      </c>
      <c r="AK117" s="14">
        <f t="shared" si="89"/>
        <v>2.4483293633950478E-12</v>
      </c>
      <c r="AL117" s="22">
        <f t="shared" si="58"/>
        <v>4.566883036574213E-12</v>
      </c>
      <c r="AM117" s="62">
        <f t="shared" si="59"/>
        <v>280.86541503471</v>
      </c>
      <c r="AN117" s="62">
        <f ca="1">AVERAGE(OFFSET($AM$3,0,0,'Données projet'!$E$10+1,1))-AVERAGE(OFFSET($H$3,0,0,'Données projet'!$E$10+1,1))</f>
        <v>341.62910675299065</v>
      </c>
      <c r="AO117" s="62">
        <f t="shared" si="90"/>
        <v>407.15938341104709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43.260330156901468</v>
      </c>
      <c r="AV117" s="23">
        <f>EXP(-LN(2)/25)*AV116+(1-EXP(-LN(2)/25))/(LN(2)/25)*Calculateur!AQ117*Calculateur!AS117*VLOOKUP('Données projet'!$B$10,Paramètres!$A$1:$I$89,3,0)*0.475*44/12</f>
        <v>16.460381285113566</v>
      </c>
      <c r="AW117" s="23">
        <f>EXP(-LN(2)/2)*AW116+(1-EXP(-LN(2)/2))/(LN(2)/2)*AQ117*AT117*VLOOKUP('Données projet'!$B$10,Paramètres!$A$1:$I$89,3,0)*0.475*44/12</f>
        <v>9.9801287283828846E-8</v>
      </c>
      <c r="AX117" s="23">
        <f t="shared" si="60"/>
        <v>59.720711541816321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3.4106051316484809E-13</v>
      </c>
      <c r="BE117" s="14">
        <f>BD117*VLOOKUP('Données projet'!$B$11,Paramètres!$A$1:$I$89,3,0)*VLOOKUP('Données projet'!$B$11,Paramètres!$A$1:$I$89,5,0)</f>
        <v>1.6405010683229191E-13</v>
      </c>
      <c r="BF117" s="14">
        <f t="shared" si="91"/>
        <v>2.3265121008813928E-12</v>
      </c>
      <c r="BG117" s="22">
        <f t="shared" si="61"/>
        <v>4.337729178434667E-12</v>
      </c>
      <c r="BH117" s="62">
        <f t="shared" si="62"/>
        <v>280.86541503470977</v>
      </c>
      <c r="BI117" s="62">
        <f ca="1">AVERAGE(OFFSET($BH$3,0,0,'Données projet'!$E$11+1,1))-AVERAGE(OFFSET($H$3,0,0,'Données projet'!$E$11+1,1))</f>
        <v>405.94837980869011</v>
      </c>
      <c r="BJ117" s="62">
        <f t="shared" si="92"/>
        <v>511.37583835090879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102.61733866816093</v>
      </c>
      <c r="BQ117" s="23">
        <f>EXP(-LN(2)/25)*BQ116+(1-EXP(-LN(2)/25))/(LN(2)/25)*Calculateur!BL117*Calculateur!BN117*VLOOKUP('Données projet'!$B$11,Paramètres!$A$1:$I$89,3,0)*0.475*44/12</f>
        <v>4.9133721819795211</v>
      </c>
      <c r="BR117" s="23">
        <f>EXP(-LN(2)/2)*BR116+(1-EXP(-LN(2)/2))/(LN(2)/2)*BL117*BO117*VLOOKUP('Données projet'!$B$11,Paramètres!$A$1:$I$89,3,0)*0.475*44/12</f>
        <v>1.8042233973120031E-10</v>
      </c>
      <c r="BS117" s="24">
        <f t="shared" si="63"/>
        <v>107.53071085032087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102</v>
      </c>
      <c r="BY117" s="13">
        <f>IF('Données projet'!$A$114&gt;35,BY116+BX117-CG116,IF(A117&lt;'Données projet'!$A$114,$BV$205^A117,IF(A117='Données projet'!$A$114,'Données projet'!$B$114,BY116+BX117-CG116)))</f>
        <v>874</v>
      </c>
      <c r="BZ117" s="14">
        <f>BY117*VLOOKUP('Données projet'!$B$12,Paramètres!$A$1:$I$89,3,0)*VLOOKUP('Données projet'!$B$12,Paramètres!$A$1:$I$89,5,0)</f>
        <v>749.89200000000005</v>
      </c>
      <c r="CA117" s="14">
        <f t="shared" si="93"/>
        <v>159.91931994740844</v>
      </c>
      <c r="CB117" s="22">
        <f t="shared" si="64"/>
        <v>1584.5880489084029</v>
      </c>
      <c r="CC117" s="62">
        <f t="shared" si="65"/>
        <v>1865.4534639431083</v>
      </c>
      <c r="CD117" s="62">
        <f ca="1">AVERAGE(OFFSET($CC$3,0,0,'Données projet'!$E$12+1,1))-AVERAGE(OFFSET($H$3,0,0,'Données projet'!$E$12+1,1))</f>
        <v>590.18141384962507</v>
      </c>
      <c r="CE117" s="62">
        <f t="shared" si="94"/>
        <v>331.25104323342907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88.41339783445224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88.41339783445224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4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5.6</v>
      </c>
      <c r="N118" s="14">
        <f>IF('Données projet'!$A$36&gt;35,N117+M118-V117,IF(A118&lt;'Données projet'!$A$36,$K$205^A118,IF(A118='Données projet'!$A$36,'Données projet'!$B$36,N117+M118-V117)))</f>
        <v>264.19999999999982</v>
      </c>
      <c r="O118" s="14">
        <f>N118*VLOOKUP('Données projet'!$B$9,Paramètres!$A$1:$I$89,3,0)*VLOOKUP('Données projet'!$B$9,Paramètres!$A$1:$I$89,5,0)</f>
        <v>239.04815999999983</v>
      </c>
      <c r="P118" s="14">
        <f t="shared" si="87"/>
        <v>58.234690128947292</v>
      </c>
      <c r="Q118" s="22">
        <f t="shared" si="107"/>
        <v>517.76763064124964</v>
      </c>
      <c r="R118" s="62">
        <f t="shared" si="55"/>
        <v>798.84933618434684</v>
      </c>
      <c r="S118" s="62">
        <f ca="1">AVERAGE(OFFSET($R$3,0,0,'Données projet'!$E$9+1,1))-AVERAGE(OFFSET($H$3,0,0,'Données projet'!$E$9+1,1))</f>
        <v>432.80275651765203</v>
      </c>
      <c r="T118" s="62">
        <f t="shared" si="88"/>
        <v>203.89279893419919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22.867641960995936</v>
      </c>
      <c r="AA118" s="23">
        <f>EXP(-LN(2)/25)*AA117+(1-EXP(-LN(2)/25))/(LN(2)/25)*Calculateur!V118*Calculateur!X118*VLOOKUP('Données projet'!$B$9,Paramètres!$A$1:$I$89,3,0)*0.475*44/12</f>
        <v>15.386863115959006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38.254505076954942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1.9895196601282805E-13</v>
      </c>
      <c r="AJ118" s="14">
        <f>AI118*VLOOKUP('Données projet'!$B$10,Paramètres!$A$1:$I$89,3,0)*VLOOKUP('Données projet'!$B$10,Paramètres!$A$1:$I$89,5,0)</f>
        <v>1.738044375088066E-13</v>
      </c>
      <c r="AK118" s="14">
        <f t="shared" si="89"/>
        <v>2.4483293633950478E-12</v>
      </c>
      <c r="AL118" s="22">
        <f t="shared" si="58"/>
        <v>4.566883036574213E-12</v>
      </c>
      <c r="AM118" s="62">
        <f t="shared" si="59"/>
        <v>281.0817055431018</v>
      </c>
      <c r="AN118" s="62">
        <f ca="1">AVERAGE(OFFSET($AM$3,0,0,'Données projet'!$E$10+1,1))-AVERAGE(OFFSET($H$3,0,0,'Données projet'!$E$10+1,1))</f>
        <v>341.62910675299065</v>
      </c>
      <c r="AO118" s="62">
        <f t="shared" si="90"/>
        <v>407.15938341104709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42.412021468720603</v>
      </c>
      <c r="AV118" s="23">
        <f>EXP(-LN(2)/25)*AV117+(1-EXP(-LN(2)/25))/(LN(2)/25)*Calculateur!AQ118*Calculateur!AS118*VLOOKUP('Données projet'!$B$10,Paramètres!$A$1:$I$89,3,0)*0.475*44/12</f>
        <v>16.010271293258306</v>
      </c>
      <c r="AW118" s="23">
        <f>EXP(-LN(2)/2)*AW117+(1-EXP(-LN(2)/2))/(LN(2)/2)*AQ118*AT118*VLOOKUP('Données projet'!$B$10,Paramètres!$A$1:$I$89,3,0)*0.475*44/12</f>
        <v>7.057016700954213E-8</v>
      </c>
      <c r="AX118" s="23">
        <f t="shared" si="60"/>
        <v>58.422292832549076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3.4106051316484809E-13</v>
      </c>
      <c r="BE118" s="14">
        <f>BD118*VLOOKUP('Données projet'!$B$11,Paramètres!$A$1:$I$89,3,0)*VLOOKUP('Données projet'!$B$11,Paramètres!$A$1:$I$89,5,0)</f>
        <v>1.6405010683229191E-13</v>
      </c>
      <c r="BF118" s="14">
        <f t="shared" si="91"/>
        <v>2.3265121008813928E-12</v>
      </c>
      <c r="BG118" s="22">
        <f t="shared" si="61"/>
        <v>4.337729178434667E-12</v>
      </c>
      <c r="BH118" s="62">
        <f t="shared" si="62"/>
        <v>281.08170554310158</v>
      </c>
      <c r="BI118" s="62">
        <f ca="1">AVERAGE(OFFSET($BH$3,0,0,'Données projet'!$E$11+1,1))-AVERAGE(OFFSET($H$3,0,0,'Données projet'!$E$11+1,1))</f>
        <v>405.94837980869011</v>
      </c>
      <c r="BJ118" s="62">
        <f t="shared" si="92"/>
        <v>511.37583835090879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100.60507524727458</v>
      </c>
      <c r="BQ118" s="23">
        <f>EXP(-LN(2)/25)*BQ117+(1-EXP(-LN(2)/25))/(LN(2)/25)*Calculateur!BL118*Calculateur!BN118*VLOOKUP('Données projet'!$B$11,Paramètres!$A$1:$I$89,3,0)*0.475*44/12</f>
        <v>4.7790157612802773</v>
      </c>
      <c r="BR118" s="23">
        <f>EXP(-LN(2)/2)*BR117+(1-EXP(-LN(2)/2))/(LN(2)/2)*BL118*BO118*VLOOKUP('Données projet'!$B$11,Paramètres!$A$1:$I$89,3,0)*0.475*44/12</f>
        <v>1.2757785990147479E-10</v>
      </c>
      <c r="BS118" s="24">
        <f t="shared" si="63"/>
        <v>105.38409100868243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976</v>
      </c>
      <c r="BW118" s="13">
        <f>VLOOKUP(A118,'Données projet'!$A$113:$I$133,9,0)</f>
        <v>102</v>
      </c>
      <c r="BX118" s="13">
        <f t="array" ref="BX118">INDEX(BW:BW,MIN(IF(ISNUMBER(BW118:BW314),ROW(BW118:BW314),"")))</f>
        <v>102</v>
      </c>
      <c r="BY118" s="13">
        <f>IF('Données projet'!$A$114&gt;35,BY117+BX118-CG117,IF(A118&lt;'Données projet'!$A$114,$BV$205^A118,IF(A118='Données projet'!$A$114,'Données projet'!$B$114,BY117+BX118-CG117)))</f>
        <v>976</v>
      </c>
      <c r="BZ118" s="14">
        <f>BY118*VLOOKUP('Données projet'!$B$12,Paramètres!$A$1:$I$89,3,0)*VLOOKUP('Données projet'!$B$12,Paramètres!$A$1:$I$89,5,0)</f>
        <v>837.40800000000013</v>
      </c>
      <c r="CA118" s="14">
        <f t="shared" si="93"/>
        <v>176.30283311964132</v>
      </c>
      <c r="CB118" s="22">
        <f t="shared" si="64"/>
        <v>1765.5463676833754</v>
      </c>
      <c r="CC118" s="62">
        <f t="shared" si="65"/>
        <v>2046.6280732264727</v>
      </c>
      <c r="CD118" s="62">
        <f ca="1">AVERAGE(OFFSET($CC$3,0,0,'Données projet'!$E$12+1,1))-AVERAGE(OFFSET($H$3,0,0,'Données projet'!$E$12+1,1))</f>
        <v>590.18141384962507</v>
      </c>
      <c r="CE118" s="62">
        <f t="shared" si="94"/>
        <v>331.25104323342907</v>
      </c>
      <c r="CF118" s="16" t="str">
        <f>IF(ISNA(VLOOKUP(A118,'Données projet'!$A$113:$I$133,3,0)),0,VLOOKUP(A118,'Données projet'!$A$113:$I$133,3,0))</f>
        <v>CR</v>
      </c>
      <c r="CG118" s="16">
        <f>IF(ISNA(VLOOKUP(A118,'Données projet'!$A$113:$I$133,4,0)),0,VLOOKUP(A118,'Données projet'!$A$113:$I$133,4,0))</f>
        <v>501</v>
      </c>
      <c r="CH118" s="17">
        <f>IF(ISNA(VLOOKUP(A118,'Données projet'!$A$113:$I$133,5,0)),0%,VLOOKUP(A118,'Données projet'!$A$113:$I$133,5,0)*VLOOKUP('Données projet'!$B$12,Paramètres!$A$1:$I$89,7,0))</f>
        <v>0.53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338.53316682456227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338.53316682456227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4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5.6</v>
      </c>
      <c r="N119" s="14">
        <f>IF('Données projet'!$A$36&gt;35,N118+M119-V118,IF(A119&lt;'Données projet'!$A$36,$K$205^A119,IF(A119='Données projet'!$A$36,'Données projet'!$B$36,N118+M119-V118)))</f>
        <v>269.79999999999984</v>
      </c>
      <c r="O119" s="14">
        <f>N119*VLOOKUP('Données projet'!$B$9,Paramètres!$A$1:$I$89,3,0)*VLOOKUP('Données projet'!$B$9,Paramètres!$A$1:$I$89,5,0)</f>
        <v>244.11503999999985</v>
      </c>
      <c r="P119" s="14">
        <f t="shared" si="87"/>
        <v>59.324023461759012</v>
      </c>
      <c r="Q119" s="22">
        <f t="shared" si="107"/>
        <v>528.48970219589671</v>
      </c>
      <c r="R119" s="62">
        <f t="shared" si="55"/>
        <v>809.7839460906182</v>
      </c>
      <c r="S119" s="62">
        <f ca="1">AVERAGE(OFFSET($R$3,0,0,'Données projet'!$E$9+1,1))-AVERAGE(OFFSET($H$3,0,0,'Données projet'!$E$9+1,1))</f>
        <v>432.80275651765203</v>
      </c>
      <c r="T119" s="62">
        <f t="shared" si="88"/>
        <v>203.89279893419919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22.419221450025162</v>
      </c>
      <c r="AA119" s="23">
        <f>EXP(-LN(2)/25)*AA118+(1-EXP(-LN(2)/25))/(LN(2)/25)*Calculateur!V119*Calculateur!X119*VLOOKUP('Données projet'!$B$9,Paramètres!$A$1:$I$89,3,0)*0.475*44/12</f>
        <v>14.966108534893143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37.385329984918307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1.9895196601282805E-13</v>
      </c>
      <c r="AJ119" s="14">
        <f>AI119*VLOOKUP('Données projet'!$B$10,Paramètres!$A$1:$I$89,3,0)*VLOOKUP('Données projet'!$B$10,Paramètres!$A$1:$I$89,5,0)</f>
        <v>1.738044375088066E-13</v>
      </c>
      <c r="AK119" s="14">
        <f t="shared" si="89"/>
        <v>2.4483293633950478E-12</v>
      </c>
      <c r="AL119" s="22">
        <f t="shared" si="58"/>
        <v>4.566883036574213E-12</v>
      </c>
      <c r="AM119" s="62">
        <f t="shared" si="59"/>
        <v>281.29424389472604</v>
      </c>
      <c r="AN119" s="62">
        <f ca="1">AVERAGE(OFFSET($AM$3,0,0,'Données projet'!$E$10+1,1))-AVERAGE(OFFSET($H$3,0,0,'Données projet'!$E$10+1,1))</f>
        <v>341.62910675299065</v>
      </c>
      <c r="AO119" s="62">
        <f t="shared" si="90"/>
        <v>407.15938341104709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41.580347596497759</v>
      </c>
      <c r="AV119" s="23">
        <f>EXP(-LN(2)/25)*AV118+(1-EXP(-LN(2)/25))/(LN(2)/25)*Calculateur!AQ119*Calculateur!AS119*VLOOKUP('Données projet'!$B$10,Paramètres!$A$1:$I$89,3,0)*0.475*44/12</f>
        <v>15.572469582800583</v>
      </c>
      <c r="AW119" s="23">
        <f>EXP(-LN(2)/2)*AW118+(1-EXP(-LN(2)/2))/(LN(2)/2)*AQ119*AT119*VLOOKUP('Données projet'!$B$10,Paramètres!$A$1:$I$89,3,0)*0.475*44/12</f>
        <v>4.9900643641914423E-8</v>
      </c>
      <c r="AX119" s="23">
        <f t="shared" si="60"/>
        <v>57.15281722919898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3.4106051316484809E-13</v>
      </c>
      <c r="BE119" s="14">
        <f>BD119*VLOOKUP('Données projet'!$B$11,Paramètres!$A$1:$I$89,3,0)*VLOOKUP('Données projet'!$B$11,Paramètres!$A$1:$I$89,5,0)</f>
        <v>1.6405010683229191E-13</v>
      </c>
      <c r="BF119" s="14">
        <f t="shared" si="91"/>
        <v>2.3265121008813928E-12</v>
      </c>
      <c r="BG119" s="22">
        <f t="shared" si="61"/>
        <v>4.337729178434667E-12</v>
      </c>
      <c r="BH119" s="62">
        <f t="shared" si="62"/>
        <v>281.29424389472581</v>
      </c>
      <c r="BI119" s="62">
        <f ca="1">AVERAGE(OFFSET($BH$3,0,0,'Données projet'!$E$11+1,1))-AVERAGE(OFFSET($H$3,0,0,'Données projet'!$E$11+1,1))</f>
        <v>405.94837980869011</v>
      </c>
      <c r="BJ119" s="62">
        <f t="shared" si="92"/>
        <v>511.37583835090879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98.632271084712329</v>
      </c>
      <c r="BQ119" s="23">
        <f>EXP(-LN(2)/25)*BQ118+(1-EXP(-LN(2)/25))/(LN(2)/25)*Calculateur!BL119*Calculateur!BN119*VLOOKUP('Données projet'!$B$11,Paramètres!$A$1:$I$89,3,0)*0.475*44/12</f>
        <v>4.6483333239705518</v>
      </c>
      <c r="BR119" s="23">
        <f>EXP(-LN(2)/2)*BR118+(1-EXP(-LN(2)/2))/(LN(2)/2)*BL119*BO119*VLOOKUP('Données projet'!$B$11,Paramètres!$A$1:$I$89,3,0)*0.475*44/12</f>
        <v>9.0211169865600154E-11</v>
      </c>
      <c r="BS119" s="24">
        <f t="shared" si="63"/>
        <v>103.28060440877309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475</v>
      </c>
      <c r="BZ119" s="14">
        <f>BY119*VLOOKUP('Données projet'!$B$12,Paramètres!$A$1:$I$89,3,0)*VLOOKUP('Données projet'!$B$12,Paramètres!$A$1:$I$89,5,0)</f>
        <v>407.55</v>
      </c>
      <c r="CA119" s="14">
        <f t="shared" si="93"/>
        <v>93.305642095357683</v>
      </c>
      <c r="CB119" s="22">
        <f t="shared" si="64"/>
        <v>872.32357664941446</v>
      </c>
      <c r="CC119" s="62">
        <f t="shared" si="65"/>
        <v>1153.6178205441361</v>
      </c>
      <c r="CD119" s="62">
        <f ca="1">AVERAGE(OFFSET($CC$3,0,0,'Données projet'!$E$12+1,1))-AVERAGE(OFFSET($H$3,0,0,'Données projet'!$E$12+1,1))</f>
        <v>590.18141384962507</v>
      </c>
      <c r="CE119" s="62">
        <f t="shared" si="94"/>
        <v>331.25104323342907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331.8947379079757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331.8947379079757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4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5.6</v>
      </c>
      <c r="N120" s="14">
        <f>IF('Données projet'!$A$36&gt;35,N119+M120-V119,IF(A120&lt;'Données projet'!$A$36,$K$205^A120,IF(A120='Données projet'!$A$36,'Données projet'!$B$36,N119+M120-V119)))</f>
        <v>275.39999999999986</v>
      </c>
      <c r="O120" s="14">
        <f>N120*VLOOKUP('Données projet'!$B$9,Paramètres!$A$1:$I$89,3,0)*VLOOKUP('Données projet'!$B$9,Paramètres!$A$1:$I$89,5,0)</f>
        <v>249.18191999999988</v>
      </c>
      <c r="P120" s="14">
        <f t="shared" si="87"/>
        <v>60.410727929515545</v>
      </c>
      <c r="Q120" s="22">
        <f t="shared" si="107"/>
        <v>539.20719514390601</v>
      </c>
      <c r="R120" s="62">
        <f t="shared" si="55"/>
        <v>820.71029032501565</v>
      </c>
      <c r="S120" s="62">
        <f ca="1">AVERAGE(OFFSET($R$3,0,0,'Données projet'!$E$9+1,1))-AVERAGE(OFFSET($H$3,0,0,'Données projet'!$E$9+1,1))</f>
        <v>432.80275651765203</v>
      </c>
      <c r="T120" s="62">
        <f t="shared" si="88"/>
        <v>203.89279893419919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21.97959419176502</v>
      </c>
      <c r="AA120" s="23">
        <f>EXP(-LN(2)/25)*AA119+(1-EXP(-LN(2)/25))/(LN(2)/25)*Calculateur!V120*Calculateur!X120*VLOOKUP('Données projet'!$B$9,Paramètres!$A$1:$I$89,3,0)*0.475*44/12</f>
        <v>14.556859509973048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36.536453701738068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1.9895196601282805E-13</v>
      </c>
      <c r="AJ120" s="14">
        <f>AI120*VLOOKUP('Données projet'!$B$10,Paramètres!$A$1:$I$89,3,0)*VLOOKUP('Données projet'!$B$10,Paramètres!$A$1:$I$89,5,0)</f>
        <v>1.738044375088066E-13</v>
      </c>
      <c r="AK120" s="14">
        <f t="shared" si="89"/>
        <v>2.4483293633950478E-12</v>
      </c>
      <c r="AL120" s="22">
        <f t="shared" si="58"/>
        <v>4.566883036574213E-12</v>
      </c>
      <c r="AM120" s="62">
        <f t="shared" si="59"/>
        <v>281.50309518111419</v>
      </c>
      <c r="AN120" s="62">
        <f ca="1">AVERAGE(OFFSET($AM$3,0,0,'Données projet'!$E$10+1,1))-AVERAGE(OFFSET($H$3,0,0,'Données projet'!$E$10+1,1))</f>
        <v>341.62910675299065</v>
      </c>
      <c r="AO120" s="62">
        <f t="shared" si="90"/>
        <v>407.15938341104709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40.76498234163823</v>
      </c>
      <c r="AV120" s="23">
        <f>EXP(-LN(2)/25)*AV119+(1-EXP(-LN(2)/25))/(LN(2)/25)*Calculateur!AQ120*Calculateur!AS120*VLOOKUP('Données projet'!$B$10,Paramètres!$A$1:$I$89,3,0)*0.475*44/12</f>
        <v>15.146639583138317</v>
      </c>
      <c r="AW120" s="23">
        <f>EXP(-LN(2)/2)*AW119+(1-EXP(-LN(2)/2))/(LN(2)/2)*AQ120*AT120*VLOOKUP('Données projet'!$B$10,Paramètres!$A$1:$I$89,3,0)*0.475*44/12</f>
        <v>3.5285083504771065E-8</v>
      </c>
      <c r="AX120" s="23">
        <f t="shared" si="60"/>
        <v>55.91162196006163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3.4106051316484809E-13</v>
      </c>
      <c r="BE120" s="14">
        <f>BD120*VLOOKUP('Données projet'!$B$11,Paramètres!$A$1:$I$89,3,0)*VLOOKUP('Données projet'!$B$11,Paramètres!$A$1:$I$89,5,0)</f>
        <v>1.6405010683229191E-13</v>
      </c>
      <c r="BF120" s="14">
        <f t="shared" si="91"/>
        <v>2.3265121008813928E-12</v>
      </c>
      <c r="BG120" s="22">
        <f t="shared" si="61"/>
        <v>4.337729178434667E-12</v>
      </c>
      <c r="BH120" s="62">
        <f t="shared" si="62"/>
        <v>281.50309518111396</v>
      </c>
      <c r="BI120" s="62">
        <f ca="1">AVERAGE(OFFSET($BH$3,0,0,'Données projet'!$E$11+1,1))-AVERAGE(OFFSET($H$3,0,0,'Données projet'!$E$11+1,1))</f>
        <v>405.94837980869011</v>
      </c>
      <c r="BJ120" s="62">
        <f t="shared" si="92"/>
        <v>511.37583835090879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96.698152408486195</v>
      </c>
      <c r="BQ120" s="23">
        <f>EXP(-LN(2)/25)*BQ119+(1-EXP(-LN(2)/25))/(LN(2)/25)*Calculateur!BL120*Calculateur!BN120*VLOOKUP('Données projet'!$B$11,Paramètres!$A$1:$I$89,3,0)*0.475*44/12</f>
        <v>4.5212244047813517</v>
      </c>
      <c r="BR120" s="23">
        <f>EXP(-LN(2)/2)*BR119+(1-EXP(-LN(2)/2))/(LN(2)/2)*BL120*BO120*VLOOKUP('Données projet'!$B$11,Paramètres!$A$1:$I$89,3,0)*0.475*44/12</f>
        <v>6.3788929950737397E-11</v>
      </c>
      <c r="BS120" s="24">
        <f t="shared" si="63"/>
        <v>101.21937681333134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475</v>
      </c>
      <c r="BZ120" s="14">
        <f>BY120*VLOOKUP('Données projet'!$B$12,Paramètres!$A$1:$I$89,3,0)*VLOOKUP('Données projet'!$B$12,Paramètres!$A$1:$I$89,5,0)</f>
        <v>407.55</v>
      </c>
      <c r="CA120" s="14">
        <f t="shared" si="93"/>
        <v>93.305642095357683</v>
      </c>
      <c r="CB120" s="22">
        <f t="shared" si="64"/>
        <v>872.32357664941446</v>
      </c>
      <c r="CC120" s="62">
        <f t="shared" si="65"/>
        <v>1153.826671830524</v>
      </c>
      <c r="CD120" s="62">
        <f ca="1">AVERAGE(OFFSET($CC$3,0,0,'Données projet'!$E$12+1,1))-AVERAGE(OFFSET($H$3,0,0,'Données projet'!$E$12+1,1))</f>
        <v>590.18141384962507</v>
      </c>
      <c r="CE120" s="62">
        <f t="shared" si="94"/>
        <v>331.25104323342907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325.38648453340153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325.38648453340153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4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>
        <f>VLOOKUP(A121,'Données projet'!$A$35:$I$55,2,0)</f>
        <v>281</v>
      </c>
      <c r="L121" s="13">
        <f>VLOOKUP(A121,'Données projet'!$A$35:$I$55,9,0)</f>
        <v>5.6</v>
      </c>
      <c r="M121" s="13">
        <f t="array" ref="M121">INDEX(L:L,MIN(IF(ISNUMBER(L121:L317),ROW(L121:L317),"")))</f>
        <v>5.6</v>
      </c>
      <c r="N121" s="14">
        <f>IF('Données projet'!$A$36&gt;35,N120+M121-V120,IF(A121&lt;'Données projet'!$A$36,$K$205^A121,IF(A121='Données projet'!$A$36,'Données projet'!$B$36,N120+M121-V120)))</f>
        <v>280.99999999999989</v>
      </c>
      <c r="O121" s="14">
        <f>N121*VLOOKUP('Données projet'!$B$9,Paramètres!$A$1:$I$89,3,0)*VLOOKUP('Données projet'!$B$9,Paramètres!$A$1:$I$89,5,0)</f>
        <v>254.2487999999999</v>
      </c>
      <c r="P121" s="14">
        <f t="shared" si="87"/>
        <v>61.494863147658862</v>
      </c>
      <c r="Q121" s="22">
        <f t="shared" si="107"/>
        <v>549.92021331550563</v>
      </c>
      <c r="R121" s="62">
        <f t="shared" si="55"/>
        <v>831.62853668010598</v>
      </c>
      <c r="S121" s="62">
        <f ca="1">AVERAGE(OFFSET($R$3,0,0,'Données projet'!$E$9+1,1))-AVERAGE(OFFSET($H$3,0,0,'Données projet'!$E$9+1,1))</f>
        <v>432.80275651765203</v>
      </c>
      <c r="T121" s="62">
        <f t="shared" si="88"/>
        <v>203.89279893419919</v>
      </c>
      <c r="U121" s="16">
        <f>IF(ISNA(VLOOKUP(A121,'Données projet'!$A$35:$I$55,3,0)),0,VLOOKUP(A121,'Données projet'!$A$35:$I$55,3,0))</f>
        <v>8</v>
      </c>
      <c r="V121" s="16">
        <f>IF(ISNA(VLOOKUP(A121,'Données projet'!$A$35:$I$55,4,0)),0,VLOOKUP(A121,'Données projet'!$A$35:$I$55,4,0))</f>
        <v>40</v>
      </c>
      <c r="W121" s="17">
        <f>IF(ISNA(VLOOKUP(A121,'Données projet'!$A$35:$I$55,5,0)),0%,VLOOKUP(A121,'Données projet'!$A$35:$I$55,5,0)*VLOOKUP('Données projet'!$B$9,Paramètres!$A$1:$I$89,7,0))</f>
        <v>0.215</v>
      </c>
      <c r="X121" s="17">
        <f>IF(ISNA(VLOOKUP(A121,'Données projet'!$A$35:$I$55,6,0)),0%,VLOOKUP(A121,'Données projet'!$A$35:$I$55,6,0)*VLOOKUP('Données projet'!$B$9,Paramètres!$A$1:$I$89,7,0))</f>
        <v>0.17200000000000001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30.150562310745361</v>
      </c>
      <c r="AA121" s="23">
        <f>EXP(-LN(2)/25)*AA120+(1-EXP(-LN(2)/25))/(LN(2)/25)*Calculateur!V121*Calculateur!X121*VLOOKUP('Données projet'!$B$9,Paramètres!$A$1:$I$89,3,0)*0.475*44/12</f>
        <v>21.013285663897211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51.163847974642572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1.9895196601282805E-13</v>
      </c>
      <c r="AJ121" s="14">
        <f>AI121*VLOOKUP('Données projet'!$B$10,Paramètres!$A$1:$I$89,3,0)*VLOOKUP('Données projet'!$B$10,Paramètres!$A$1:$I$89,5,0)</f>
        <v>1.738044375088066E-13</v>
      </c>
      <c r="AK121" s="14">
        <f t="shared" si="89"/>
        <v>2.4483293633950478E-12</v>
      </c>
      <c r="AL121" s="22">
        <f t="shared" si="58"/>
        <v>4.566883036574213E-12</v>
      </c>
      <c r="AM121" s="62">
        <f t="shared" si="59"/>
        <v>281.70832336460495</v>
      </c>
      <c r="AN121" s="62">
        <f ca="1">AVERAGE(OFFSET($AM$3,0,0,'Données projet'!$E$10+1,1))-AVERAGE(OFFSET($H$3,0,0,'Données projet'!$E$10+1,1))</f>
        <v>341.62910675299065</v>
      </c>
      <c r="AO121" s="62">
        <f t="shared" si="90"/>
        <v>407.15938341104709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39.965605902102801</v>
      </c>
      <c r="AV121" s="23">
        <f>EXP(-LN(2)/25)*AV120+(1-EXP(-LN(2)/25))/(LN(2)/25)*Calculateur!AQ121*Calculateur!AS121*VLOOKUP('Données projet'!$B$10,Paramètres!$A$1:$I$89,3,0)*0.475*44/12</f>
        <v>14.732453927210242</v>
      </c>
      <c r="AW121" s="23">
        <f>EXP(-LN(2)/2)*AW120+(1-EXP(-LN(2)/2))/(LN(2)/2)*AQ121*AT121*VLOOKUP('Données projet'!$B$10,Paramètres!$A$1:$I$89,3,0)*0.475*44/12</f>
        <v>2.4950321820957212E-8</v>
      </c>
      <c r="AX121" s="23">
        <f t="shared" si="60"/>
        <v>54.69805985426337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3.4106051316484809E-13</v>
      </c>
      <c r="BE121" s="14">
        <f>BD121*VLOOKUP('Données projet'!$B$11,Paramètres!$A$1:$I$89,3,0)*VLOOKUP('Données projet'!$B$11,Paramètres!$A$1:$I$89,5,0)</f>
        <v>1.6405010683229191E-13</v>
      </c>
      <c r="BF121" s="14">
        <f t="shared" si="91"/>
        <v>2.3265121008813928E-12</v>
      </c>
      <c r="BG121" s="22">
        <f t="shared" si="61"/>
        <v>4.337729178434667E-12</v>
      </c>
      <c r="BH121" s="62">
        <f t="shared" si="62"/>
        <v>281.70832336460472</v>
      </c>
      <c r="BI121" s="62">
        <f ca="1">AVERAGE(OFFSET($BH$3,0,0,'Données projet'!$E$11+1,1))-AVERAGE(OFFSET($H$3,0,0,'Données projet'!$E$11+1,1))</f>
        <v>405.94837980869011</v>
      </c>
      <c r="BJ121" s="62">
        <f t="shared" si="92"/>
        <v>511.37583835090879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94.801960619804959</v>
      </c>
      <c r="BQ121" s="23">
        <f>EXP(-LN(2)/25)*BQ120+(1-EXP(-LN(2)/25))/(LN(2)/25)*Calculateur!BL121*Calculateur!BN121*VLOOKUP('Données projet'!$B$11,Paramètres!$A$1:$I$89,3,0)*0.475*44/12</f>
        <v>4.3975912856717478</v>
      </c>
      <c r="BR121" s="23">
        <f>EXP(-LN(2)/2)*BR120+(1-EXP(-LN(2)/2))/(LN(2)/2)*BL121*BO121*VLOOKUP('Données projet'!$B$11,Paramètres!$A$1:$I$89,3,0)*0.475*44/12</f>
        <v>4.5105584932800077E-11</v>
      </c>
      <c r="BS121" s="24">
        <f t="shared" si="63"/>
        <v>99.199551905521815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475</v>
      </c>
      <c r="BZ121" s="14">
        <f>BY121*VLOOKUP('Données projet'!$B$12,Paramètres!$A$1:$I$89,3,0)*VLOOKUP('Données projet'!$B$12,Paramètres!$A$1:$I$89,5,0)</f>
        <v>407.55</v>
      </c>
      <c r="CA121" s="14">
        <f t="shared" si="93"/>
        <v>93.305642095357683</v>
      </c>
      <c r="CB121" s="22">
        <f t="shared" si="64"/>
        <v>872.32357664941446</v>
      </c>
      <c r="CC121" s="62">
        <f t="shared" si="65"/>
        <v>1154.0319000140148</v>
      </c>
      <c r="CD121" s="62">
        <f ca="1">AVERAGE(OFFSET($CC$3,0,0,'Données projet'!$E$12+1,1))-AVERAGE(OFFSET($H$3,0,0,'Données projet'!$E$12+1,1))</f>
        <v>590.18141384962507</v>
      </c>
      <c r="CE121" s="62">
        <f t="shared" si="94"/>
        <v>331.25104323342907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319.00585403786016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319.00585403786016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4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5.6</v>
      </c>
      <c r="N122" s="14">
        <f>IF('Données projet'!$A$36&gt;35,N121+M122-V121,IF(A122&lt;'Données projet'!$A$36,$K$205^A122,IF(A122='Données projet'!$A$36,'Données projet'!$B$36,N121+M122-V121)))</f>
        <v>246.59999999999991</v>
      </c>
      <c r="O122" s="14">
        <f>N122*VLOOKUP('Données projet'!$B$9,Paramètres!$A$1:$I$89,3,0)*VLOOKUP('Données projet'!$B$9,Paramètres!$A$1:$I$89,5,0)</f>
        <v>223.12367999999989</v>
      </c>
      <c r="P122" s="14">
        <f t="shared" si="87"/>
        <v>54.793244051140597</v>
      </c>
      <c r="Q122" s="22">
        <f t="shared" si="107"/>
        <v>484.03864272240298</v>
      </c>
      <c r="R122" s="62">
        <f t="shared" si="55"/>
        <v>765.94863402033207</v>
      </c>
      <c r="S122" s="62">
        <f ca="1">AVERAGE(OFFSET($R$3,0,0,'Données projet'!$E$9+1,1))-AVERAGE(OFFSET($H$3,0,0,'Données projet'!$E$9+1,1))</f>
        <v>432.80275651765203</v>
      </c>
      <c r="T122" s="62">
        <f t="shared" si="88"/>
        <v>203.89279893419919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29.559328173858791</v>
      </c>
      <c r="AA122" s="23">
        <f>EXP(-LN(2)/25)*AA121+(1-EXP(-LN(2)/25))/(LN(2)/25)*Calculateur!V122*Calculateur!X122*VLOOKUP('Données projet'!$B$9,Paramètres!$A$1:$I$89,3,0)*0.475*44/12</f>
        <v>20.438676262377275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49.998004436236066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1.9895196601282805E-13</v>
      </c>
      <c r="AJ122" s="14">
        <f>AI122*VLOOKUP('Données projet'!$B$10,Paramètres!$A$1:$I$89,3,0)*VLOOKUP('Données projet'!$B$10,Paramètres!$A$1:$I$89,5,0)</f>
        <v>1.738044375088066E-13</v>
      </c>
      <c r="AK122" s="14">
        <f t="shared" si="89"/>
        <v>2.4483293633950478E-12</v>
      </c>
      <c r="AL122" s="22">
        <f t="shared" si="58"/>
        <v>4.566883036574213E-12</v>
      </c>
      <c r="AM122" s="62">
        <f t="shared" si="59"/>
        <v>281.90999129793369</v>
      </c>
      <c r="AN122" s="62">
        <f ca="1">AVERAGE(OFFSET($AM$3,0,0,'Données projet'!$E$10+1,1))-AVERAGE(OFFSET($H$3,0,0,'Données projet'!$E$10+1,1))</f>
        <v>341.62910675299065</v>
      </c>
      <c r="AO122" s="62">
        <f t="shared" si="90"/>
        <v>407.15938341104709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39.181904746975178</v>
      </c>
      <c r="AV122" s="23">
        <f>EXP(-LN(2)/25)*AV121+(1-EXP(-LN(2)/25))/(LN(2)/25)*Calculateur!AQ122*Calculateur!AS122*VLOOKUP('Données projet'!$B$10,Paramètres!$A$1:$I$89,3,0)*0.475*44/12</f>
        <v>14.329594199824598</v>
      </c>
      <c r="AW122" s="23">
        <f>EXP(-LN(2)/2)*AW121+(1-EXP(-LN(2)/2))/(LN(2)/2)*AQ122*AT122*VLOOKUP('Données projet'!$B$10,Paramètres!$A$1:$I$89,3,0)*0.475*44/12</f>
        <v>1.7642541752385533E-8</v>
      </c>
      <c r="AX122" s="23">
        <f t="shared" si="60"/>
        <v>53.511498964442318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3.4106051316484809E-13</v>
      </c>
      <c r="BE122" s="14">
        <f>BD122*VLOOKUP('Données projet'!$B$11,Paramètres!$A$1:$I$89,3,0)*VLOOKUP('Données projet'!$B$11,Paramètres!$A$1:$I$89,5,0)</f>
        <v>1.6405010683229191E-13</v>
      </c>
      <c r="BF122" s="14">
        <f t="shared" si="91"/>
        <v>2.3265121008813928E-12</v>
      </c>
      <c r="BG122" s="22">
        <f t="shared" si="61"/>
        <v>4.337729178434667E-12</v>
      </c>
      <c r="BH122" s="62">
        <f t="shared" si="62"/>
        <v>281.90999129793346</v>
      </c>
      <c r="BI122" s="62">
        <f ca="1">AVERAGE(OFFSET($BH$3,0,0,'Données projet'!$E$11+1,1))-AVERAGE(OFFSET($H$3,0,0,'Données projet'!$E$11+1,1))</f>
        <v>405.94837980869011</v>
      </c>
      <c r="BJ122" s="62">
        <f t="shared" si="92"/>
        <v>511.37583835090879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92.942951995536973</v>
      </c>
      <c r="BQ122" s="23">
        <f>EXP(-LN(2)/25)*BQ121+(1-EXP(-LN(2)/25))/(LN(2)/25)*Calculateur!BL122*Calculateur!BN122*VLOOKUP('Données projet'!$B$11,Paramètres!$A$1:$I$89,3,0)*0.475*44/12</f>
        <v>4.2773389207057786</v>
      </c>
      <c r="BR122" s="23">
        <f>EXP(-LN(2)/2)*BR121+(1-EXP(-LN(2)/2))/(LN(2)/2)*BL122*BO122*VLOOKUP('Données projet'!$B$11,Paramètres!$A$1:$I$89,3,0)*0.475*44/12</f>
        <v>3.1894464975368699E-11</v>
      </c>
      <c r="BS122" s="24">
        <f t="shared" si="63"/>
        <v>97.220290916274635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475</v>
      </c>
      <c r="BZ122" s="14">
        <f>BY122*VLOOKUP('Données projet'!$B$12,Paramètres!$A$1:$I$89,3,0)*VLOOKUP('Données projet'!$B$12,Paramètres!$A$1:$I$89,5,0)</f>
        <v>407.55</v>
      </c>
      <c r="CA122" s="14">
        <f t="shared" si="93"/>
        <v>93.305642095357683</v>
      </c>
      <c r="CB122" s="22">
        <f t="shared" si="64"/>
        <v>872.32357664941446</v>
      </c>
      <c r="CC122" s="62">
        <f t="shared" si="65"/>
        <v>1154.2335679473435</v>
      </c>
      <c r="CD122" s="62">
        <f ca="1">AVERAGE(OFFSET($CC$3,0,0,'Données projet'!$E$12+1,1))-AVERAGE(OFFSET($H$3,0,0,'Données projet'!$E$12+1,1))</f>
        <v>590.18141384962507</v>
      </c>
      <c r="CE122" s="62">
        <f t="shared" si="94"/>
        <v>331.25104323342907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312.75034381453605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312.75034381453605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4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5.6</v>
      </c>
      <c r="N123" s="14">
        <f>IF('Données projet'!$A$36&gt;35,N122+M123-V122,IF(A123&lt;'Données projet'!$A$36,$K$205^A123,IF(A123='Données projet'!$A$36,'Données projet'!$B$36,N122+M123-V122)))</f>
        <v>252.1999999999999</v>
      </c>
      <c r="O123" s="14">
        <f>N123*VLOOKUP('Données projet'!$B$9,Paramètres!$A$1:$I$89,3,0)*VLOOKUP('Données projet'!$B$9,Paramètres!$A$1:$I$89,5,0)</f>
        <v>228.19055999999989</v>
      </c>
      <c r="P123" s="14">
        <f t="shared" si="87"/>
        <v>55.89125863442456</v>
      </c>
      <c r="Q123" s="22">
        <f t="shared" si="107"/>
        <v>494.77583412162261</v>
      </c>
      <c r="R123" s="62">
        <f t="shared" si="55"/>
        <v>776.88399486509923</v>
      </c>
      <c r="S123" s="62">
        <f ca="1">AVERAGE(OFFSET($R$3,0,0,'Données projet'!$E$9+1,1))-AVERAGE(OFFSET($H$3,0,0,'Données projet'!$E$9+1,1))</f>
        <v>432.80275651765203</v>
      </c>
      <c r="T123" s="62">
        <f t="shared" si="88"/>
        <v>203.89279893419919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28.97968777777935</v>
      </c>
      <c r="AA123" s="23">
        <f>EXP(-LN(2)/25)*AA122+(1-EXP(-LN(2)/25))/(LN(2)/25)*Calculateur!V123*Calculateur!X123*VLOOKUP('Données projet'!$B$9,Paramètres!$A$1:$I$89,3,0)*0.475*44/12</f>
        <v>19.879779585159298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48.859467362938645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1.9895196601282805E-13</v>
      </c>
      <c r="AJ123" s="14">
        <f>AI123*VLOOKUP('Données projet'!$B$10,Paramètres!$A$1:$I$89,3,0)*VLOOKUP('Données projet'!$B$10,Paramètres!$A$1:$I$89,5,0)</f>
        <v>1.738044375088066E-13</v>
      </c>
      <c r="AK123" s="14">
        <f t="shared" si="89"/>
        <v>2.4483293633950478E-12</v>
      </c>
      <c r="AL123" s="22">
        <f t="shared" si="58"/>
        <v>4.566883036574213E-12</v>
      </c>
      <c r="AM123" s="62">
        <f t="shared" si="59"/>
        <v>282.10816074348116</v>
      </c>
      <c r="AN123" s="62">
        <f ca="1">AVERAGE(OFFSET($AM$3,0,0,'Données projet'!$E$10+1,1))-AVERAGE(OFFSET($H$3,0,0,'Données projet'!$E$10+1,1))</f>
        <v>341.62910675299065</v>
      </c>
      <c r="AO123" s="62">
        <f t="shared" si="90"/>
        <v>407.15938341104709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38.413571493489101</v>
      </c>
      <c r="AV123" s="23">
        <f>EXP(-LN(2)/25)*AV122+(1-EXP(-LN(2)/25))/(LN(2)/25)*Calculateur!AQ123*Calculateur!AS123*VLOOKUP('Données projet'!$B$10,Paramètres!$A$1:$I$89,3,0)*0.475*44/12</f>
        <v>13.937750692869786</v>
      </c>
      <c r="AW123" s="23">
        <f>EXP(-LN(2)/2)*AW122+(1-EXP(-LN(2)/2))/(LN(2)/2)*AQ123*AT123*VLOOKUP('Données projet'!$B$10,Paramètres!$A$1:$I$89,3,0)*0.475*44/12</f>
        <v>1.2475160910478606E-8</v>
      </c>
      <c r="AX123" s="23">
        <f t="shared" si="60"/>
        <v>52.351322198834048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3.4106051316484809E-13</v>
      </c>
      <c r="BE123" s="14">
        <f>BD123*VLOOKUP('Données projet'!$B$11,Paramètres!$A$1:$I$89,3,0)*VLOOKUP('Données projet'!$B$11,Paramètres!$A$1:$I$89,5,0)</f>
        <v>1.6405010683229191E-13</v>
      </c>
      <c r="BF123" s="14">
        <f t="shared" si="91"/>
        <v>2.3265121008813928E-12</v>
      </c>
      <c r="BG123" s="22">
        <f t="shared" si="61"/>
        <v>4.337729178434667E-12</v>
      </c>
      <c r="BH123" s="62">
        <f t="shared" si="62"/>
        <v>282.10816074348094</v>
      </c>
      <c r="BI123" s="62">
        <f ca="1">AVERAGE(OFFSET($BH$3,0,0,'Données projet'!$E$11+1,1))-AVERAGE(OFFSET($H$3,0,0,'Données projet'!$E$11+1,1))</f>
        <v>405.94837980869011</v>
      </c>
      <c r="BJ123" s="62">
        <f t="shared" si="92"/>
        <v>511.37583835090879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91.12039739650757</v>
      </c>
      <c r="BQ123" s="23">
        <f>EXP(-LN(2)/25)*BQ122+(1-EXP(-LN(2)/25))/(LN(2)/25)*Calculateur!BL123*Calculateur!BN123*VLOOKUP('Données projet'!$B$11,Paramètres!$A$1:$I$89,3,0)*0.475*44/12</f>
        <v>4.160374862983601</v>
      </c>
      <c r="BR123" s="23">
        <f>EXP(-LN(2)/2)*BR122+(1-EXP(-LN(2)/2))/(LN(2)/2)*BL123*BO123*VLOOKUP('Données projet'!$B$11,Paramètres!$A$1:$I$89,3,0)*0.475*44/12</f>
        <v>2.2552792466400039E-11</v>
      </c>
      <c r="BS123" s="24">
        <f t="shared" si="63"/>
        <v>95.280772259513725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475</v>
      </c>
      <c r="BZ123" s="14">
        <f>BY123*VLOOKUP('Données projet'!$B$12,Paramètres!$A$1:$I$89,3,0)*VLOOKUP('Données projet'!$B$12,Paramètres!$A$1:$I$89,5,0)</f>
        <v>407.55</v>
      </c>
      <c r="CA123" s="14">
        <f t="shared" si="93"/>
        <v>93.305642095357683</v>
      </c>
      <c r="CB123" s="22">
        <f t="shared" si="64"/>
        <v>872.32357664941446</v>
      </c>
      <c r="CC123" s="62">
        <f t="shared" si="65"/>
        <v>1154.4317373928911</v>
      </c>
      <c r="CD123" s="62">
        <f ca="1">AVERAGE(OFFSET($CC$3,0,0,'Données projet'!$E$12+1,1))-AVERAGE(OFFSET($H$3,0,0,'Données projet'!$E$12+1,1))</f>
        <v>590.18141384962507</v>
      </c>
      <c r="CE123" s="62">
        <f t="shared" si="94"/>
        <v>331.25104323342907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306.61750033120683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306.61750033120683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4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5.6</v>
      </c>
      <c r="N124" s="14">
        <f>IF('Données projet'!$A$36&gt;35,N123+M124-V123,IF(A124&lt;'Données projet'!$A$36,$K$205^A124,IF(A124='Données projet'!$A$36,'Données projet'!$B$36,N123+M124-V123)))</f>
        <v>257.7999999999999</v>
      </c>
      <c r="O124" s="14">
        <f>N124*VLOOKUP('Données projet'!$B$9,Paramètres!$A$1:$I$89,3,0)*VLOOKUP('Données projet'!$B$9,Paramètres!$A$1:$I$89,5,0)</f>
        <v>233.25743999999992</v>
      </c>
      <c r="P124" s="14">
        <f t="shared" si="87"/>
        <v>56.98643869047325</v>
      </c>
      <c r="Q124" s="22">
        <f t="shared" si="107"/>
        <v>505.50808871924067</v>
      </c>
      <c r="R124" s="62">
        <f t="shared" si="55"/>
        <v>787.81098111142501</v>
      </c>
      <c r="S124" s="62">
        <f ca="1">AVERAGE(OFFSET($R$3,0,0,'Données projet'!$E$9+1,1))-AVERAGE(OFFSET($H$3,0,0,'Données projet'!$E$9+1,1))</f>
        <v>432.80275651765203</v>
      </c>
      <c r="T124" s="62">
        <f t="shared" si="88"/>
        <v>203.89279893419919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28.411413776321297</v>
      </c>
      <c r="AA124" s="23">
        <f>EXP(-LN(2)/25)*AA123+(1-EXP(-LN(2)/25))/(LN(2)/25)*Calculateur!V124*Calculateur!X124*VLOOKUP('Données projet'!$B$9,Paramètres!$A$1:$I$89,3,0)*0.475*44/12</f>
        <v>19.336165966970945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47.747579743292242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1.9895196601282805E-13</v>
      </c>
      <c r="AJ124" s="14">
        <f>AI124*VLOOKUP('Données projet'!$B$10,Paramètres!$A$1:$I$89,3,0)*VLOOKUP('Données projet'!$B$10,Paramètres!$A$1:$I$89,5,0)</f>
        <v>1.738044375088066E-13</v>
      </c>
      <c r="AK124" s="14">
        <f t="shared" si="89"/>
        <v>2.4483293633950478E-12</v>
      </c>
      <c r="AL124" s="22">
        <f t="shared" si="58"/>
        <v>4.566883036574213E-12</v>
      </c>
      <c r="AM124" s="62">
        <f t="shared" si="59"/>
        <v>282.30289239218894</v>
      </c>
      <c r="AN124" s="62">
        <f ca="1">AVERAGE(OFFSET($AM$3,0,0,'Données projet'!$E$10+1,1))-AVERAGE(OFFSET($H$3,0,0,'Données projet'!$E$10+1,1))</f>
        <v>341.62910675299065</v>
      </c>
      <c r="AO124" s="62">
        <f t="shared" si="90"/>
        <v>407.15938341104709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37.660304786466874</v>
      </c>
      <c r="AV124" s="23">
        <f>EXP(-LN(2)/25)*AV123+(1-EXP(-LN(2)/25))/(LN(2)/25)*Calculateur!AQ124*Calculateur!AS124*VLOOKUP('Données projet'!$B$10,Paramètres!$A$1:$I$89,3,0)*0.475*44/12</f>
        <v>13.556622167218809</v>
      </c>
      <c r="AW124" s="23">
        <f>EXP(-LN(2)/2)*AW123+(1-EXP(-LN(2)/2))/(LN(2)/2)*AQ124*AT124*VLOOKUP('Données projet'!$B$10,Paramètres!$A$1:$I$89,3,0)*0.475*44/12</f>
        <v>8.8212708761927663E-9</v>
      </c>
      <c r="AX124" s="23">
        <f t="shared" si="60"/>
        <v>51.21692696250696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3.4106051316484809E-13</v>
      </c>
      <c r="BE124" s="14">
        <f>BD124*VLOOKUP('Données projet'!$B$11,Paramètres!$A$1:$I$89,3,0)*VLOOKUP('Données projet'!$B$11,Paramètres!$A$1:$I$89,5,0)</f>
        <v>1.6405010683229191E-13</v>
      </c>
      <c r="BF124" s="14">
        <f t="shared" si="91"/>
        <v>2.3265121008813928E-12</v>
      </c>
      <c r="BG124" s="22">
        <f t="shared" si="61"/>
        <v>4.337729178434667E-12</v>
      </c>
      <c r="BH124" s="62">
        <f t="shared" si="62"/>
        <v>282.30289239218871</v>
      </c>
      <c r="BI124" s="62">
        <f ca="1">AVERAGE(OFFSET($BH$3,0,0,'Données projet'!$E$11+1,1))-AVERAGE(OFFSET($H$3,0,0,'Données projet'!$E$11+1,1))</f>
        <v>405.94837980869011</v>
      </c>
      <c r="BJ124" s="62">
        <f t="shared" si="92"/>
        <v>511.37583835090879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89.333581981516602</v>
      </c>
      <c r="BQ124" s="23">
        <f>EXP(-LN(2)/25)*BQ123+(1-EXP(-LN(2)/25))/(LN(2)/25)*Calculateur!BL124*Calculateur!BN124*VLOOKUP('Données projet'!$B$11,Paramètres!$A$1:$I$89,3,0)*0.475*44/12</f>
        <v>4.0466091935707089</v>
      </c>
      <c r="BR124" s="23">
        <f>EXP(-LN(2)/2)*BR123+(1-EXP(-LN(2)/2))/(LN(2)/2)*BL124*BO124*VLOOKUP('Données projet'!$B$11,Paramètres!$A$1:$I$89,3,0)*0.475*44/12</f>
        <v>1.5947232487684349E-11</v>
      </c>
      <c r="BS124" s="24">
        <f t="shared" si="63"/>
        <v>93.380191175103249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475</v>
      </c>
      <c r="BZ124" s="14">
        <f>BY124*VLOOKUP('Données projet'!$B$12,Paramètres!$A$1:$I$89,3,0)*VLOOKUP('Données projet'!$B$12,Paramètres!$A$1:$I$89,5,0)</f>
        <v>407.55</v>
      </c>
      <c r="CA124" s="14">
        <f t="shared" si="93"/>
        <v>93.305642095357683</v>
      </c>
      <c r="CB124" s="22">
        <f t="shared" si="64"/>
        <v>872.32357664941446</v>
      </c>
      <c r="CC124" s="62">
        <f t="shared" si="65"/>
        <v>1154.6264690415987</v>
      </c>
      <c r="CD124" s="62">
        <f ca="1">AVERAGE(OFFSET($CC$3,0,0,'Données projet'!$E$12+1,1))-AVERAGE(OFFSET($H$3,0,0,'Données projet'!$E$12+1,1))</f>
        <v>590.18141384962507</v>
      </c>
      <c r="CE124" s="62">
        <f t="shared" si="94"/>
        <v>331.25104323342907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300.60491816792057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300.60491816792057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4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5.6</v>
      </c>
      <c r="N125" s="14">
        <f>IF('Données projet'!$A$36&gt;35,N124+M125-V124,IF(A125&lt;'Données projet'!$A$36,$K$205^A125,IF(A125='Données projet'!$A$36,'Données projet'!$B$36,N124+M125-V124)))</f>
        <v>263.39999999999992</v>
      </c>
      <c r="O125" s="14">
        <f>N125*VLOOKUP('Données projet'!$B$9,Paramètres!$A$1:$I$89,3,0)*VLOOKUP('Données projet'!$B$9,Paramètres!$A$1:$I$89,5,0)</f>
        <v>238.32431999999991</v>
      </c>
      <c r="P125" s="14">
        <f t="shared" si="87"/>
        <v>58.078852882738758</v>
      </c>
      <c r="Q125" s="22">
        <f t="shared" si="107"/>
        <v>516.23552610410309</v>
      </c>
      <c r="R125" s="62">
        <f t="shared" si="55"/>
        <v>798.72977198624494</v>
      </c>
      <c r="S125" s="62">
        <f ca="1">AVERAGE(OFFSET($R$3,0,0,'Données projet'!$E$9+1,1))-AVERAGE(OFFSET($H$3,0,0,'Données projet'!$E$9+1,1))</f>
        <v>432.80275651765203</v>
      </c>
      <c r="T125" s="62">
        <f t="shared" si="88"/>
        <v>203.89279893419919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27.854283281418919</v>
      </c>
      <c r="AA125" s="23">
        <f>EXP(-LN(2)/25)*AA124+(1-EXP(-LN(2)/25))/(LN(2)/25)*Calculateur!V125*Calculateur!X125*VLOOKUP('Données projet'!$B$9,Paramètres!$A$1:$I$89,3,0)*0.475*44/12</f>
        <v>18.807417491759349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46.661700773178268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1.9895196601282805E-13</v>
      </c>
      <c r="AJ125" s="14">
        <f>AI125*VLOOKUP('Données projet'!$B$10,Paramètres!$A$1:$I$89,3,0)*VLOOKUP('Données projet'!$B$10,Paramètres!$A$1:$I$89,5,0)</f>
        <v>1.738044375088066E-13</v>
      </c>
      <c r="AK125" s="14">
        <f t="shared" si="89"/>
        <v>2.4483293633950478E-12</v>
      </c>
      <c r="AL125" s="22">
        <f t="shared" si="58"/>
        <v>4.566883036574213E-12</v>
      </c>
      <c r="AM125" s="62">
        <f t="shared" si="59"/>
        <v>282.49424588214634</v>
      </c>
      <c r="AN125" s="62">
        <f ca="1">AVERAGE(OFFSET($AM$3,0,0,'Données projet'!$E$10+1,1))-AVERAGE(OFFSET($H$3,0,0,'Données projet'!$E$10+1,1))</f>
        <v>341.62910675299065</v>
      </c>
      <c r="AO125" s="62">
        <f t="shared" si="90"/>
        <v>407.15938341104709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36.921809180122025</v>
      </c>
      <c r="AV125" s="23">
        <f>EXP(-LN(2)/25)*AV124+(1-EXP(-LN(2)/25))/(LN(2)/25)*Calculateur!AQ125*Calculateur!AS125*VLOOKUP('Données projet'!$B$10,Paramètres!$A$1:$I$89,3,0)*0.475*44/12</f>
        <v>13.185915621144435</v>
      </c>
      <c r="AW125" s="23">
        <f>EXP(-LN(2)/2)*AW124+(1-EXP(-LN(2)/2))/(LN(2)/2)*AQ125*AT125*VLOOKUP('Données projet'!$B$10,Paramètres!$A$1:$I$89,3,0)*0.475*44/12</f>
        <v>6.2375804552393029E-9</v>
      </c>
      <c r="AX125" s="23">
        <f t="shared" si="60"/>
        <v>50.107724807504034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3.4106051316484809E-13</v>
      </c>
      <c r="BE125" s="14">
        <f>BD125*VLOOKUP('Données projet'!$B$11,Paramètres!$A$1:$I$89,3,0)*VLOOKUP('Données projet'!$B$11,Paramètres!$A$1:$I$89,5,0)</f>
        <v>1.6405010683229191E-13</v>
      </c>
      <c r="BF125" s="14">
        <f t="shared" si="91"/>
        <v>2.3265121008813928E-12</v>
      </c>
      <c r="BG125" s="22">
        <f t="shared" si="61"/>
        <v>4.337729178434667E-12</v>
      </c>
      <c r="BH125" s="62">
        <f t="shared" si="62"/>
        <v>282.49424588214612</v>
      </c>
      <c r="BI125" s="62">
        <f ca="1">AVERAGE(OFFSET($BH$3,0,0,'Données projet'!$E$11+1,1))-AVERAGE(OFFSET($H$3,0,0,'Données projet'!$E$11+1,1))</f>
        <v>405.94837980869011</v>
      </c>
      <c r="BJ125" s="62">
        <f t="shared" si="92"/>
        <v>511.37583835090879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87.581804926963812</v>
      </c>
      <c r="BQ125" s="23">
        <f>EXP(-LN(2)/25)*BQ124+(1-EXP(-LN(2)/25))/(LN(2)/25)*Calculateur!BL125*Calculateur!BN125*VLOOKUP('Données projet'!$B$11,Paramètres!$A$1:$I$89,3,0)*0.475*44/12</f>
        <v>3.9359544523705892</v>
      </c>
      <c r="BR125" s="23">
        <f>EXP(-LN(2)/2)*BR124+(1-EXP(-LN(2)/2))/(LN(2)/2)*BL125*BO125*VLOOKUP('Données projet'!$B$11,Paramètres!$A$1:$I$89,3,0)*0.475*44/12</f>
        <v>1.1276396233200019E-11</v>
      </c>
      <c r="BS125" s="24">
        <f t="shared" si="63"/>
        <v>91.517759379345691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475</v>
      </c>
      <c r="BZ125" s="14">
        <f>BY125*VLOOKUP('Données projet'!$B$12,Paramètres!$A$1:$I$89,3,0)*VLOOKUP('Données projet'!$B$12,Paramètres!$A$1:$I$89,5,0)</f>
        <v>407.55</v>
      </c>
      <c r="CA125" s="14">
        <f t="shared" si="93"/>
        <v>93.305642095357683</v>
      </c>
      <c r="CB125" s="22">
        <f t="shared" si="64"/>
        <v>872.32357664941446</v>
      </c>
      <c r="CC125" s="62">
        <f t="shared" si="65"/>
        <v>1154.8178225315562</v>
      </c>
      <c r="CD125" s="62">
        <f ca="1">AVERAGE(OFFSET($CC$3,0,0,'Données projet'!$E$12+1,1))-AVERAGE(OFFSET($H$3,0,0,'Données projet'!$E$12+1,1))</f>
        <v>590.18141384962507</v>
      </c>
      <c r="CE125" s="62">
        <f t="shared" si="94"/>
        <v>331.25104323342907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294.71023907354333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294.71023907354333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4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5.6</v>
      </c>
      <c r="N126" s="14">
        <f>IF('Données projet'!$A$36&gt;35,N125+M126-V125,IF(A126&lt;'Données projet'!$A$36,$K$205^A126,IF(A126='Données projet'!$A$36,'Données projet'!$B$36,N125+M126-V125)))</f>
        <v>268.99999999999994</v>
      </c>
      <c r="O126" s="14">
        <f>N126*VLOOKUP('Données projet'!$B$9,Paramètres!$A$1:$I$89,3,0)*VLOOKUP('Données projet'!$B$9,Paramètres!$A$1:$I$89,5,0)</f>
        <v>243.39119999999994</v>
      </c>
      <c r="P126" s="14">
        <f t="shared" si="87"/>
        <v>59.168566788241527</v>
      </c>
      <c r="Q126" s="22">
        <f t="shared" si="107"/>
        <v>526.95826048952051</v>
      </c>
      <c r="R126" s="62">
        <f t="shared" si="55"/>
        <v>809.64054030637112</v>
      </c>
      <c r="S126" s="62">
        <f ca="1">AVERAGE(OFFSET($R$3,0,0,'Données projet'!$E$9+1,1))-AVERAGE(OFFSET($H$3,0,0,'Données projet'!$E$9+1,1))</f>
        <v>432.80275651765203</v>
      </c>
      <c r="T126" s="62">
        <f t="shared" si="88"/>
        <v>203.89279893419919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27.308077775705527</v>
      </c>
      <c r="AA126" s="23">
        <f>EXP(-LN(2)/25)*AA125+(1-EXP(-LN(2)/25))/(LN(2)/25)*Calculateur!V126*Calculateur!X126*VLOOKUP('Données projet'!$B$9,Paramètres!$A$1:$I$89,3,0)*0.475*44/12</f>
        <v>18.29312767140809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45.601205447113614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1.9895196601282805E-13</v>
      </c>
      <c r="AJ126" s="14">
        <f>AI126*VLOOKUP('Données projet'!$B$10,Paramètres!$A$1:$I$89,3,0)*VLOOKUP('Données projet'!$B$10,Paramètres!$A$1:$I$89,5,0)</f>
        <v>1.738044375088066E-13</v>
      </c>
      <c r="AK126" s="14">
        <f t="shared" si="89"/>
        <v>2.4483293633950478E-12</v>
      </c>
      <c r="AL126" s="22">
        <f t="shared" si="58"/>
        <v>4.566883036574213E-12</v>
      </c>
      <c r="AM126" s="62">
        <f t="shared" si="59"/>
        <v>282.68227981685521</v>
      </c>
      <c r="AN126" s="62">
        <f ca="1">AVERAGE(OFFSET($AM$3,0,0,'Données projet'!$E$10+1,1))-AVERAGE(OFFSET($H$3,0,0,'Données projet'!$E$10+1,1))</f>
        <v>341.62910675299065</v>
      </c>
      <c r="AO126" s="62">
        <f t="shared" si="90"/>
        <v>407.15938341104709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36.197795022179761</v>
      </c>
      <c r="AV126" s="23">
        <f>EXP(-LN(2)/25)*AV125+(1-EXP(-LN(2)/25))/(LN(2)/25)*Calculateur!AQ126*Calculateur!AS126*VLOOKUP('Données projet'!$B$10,Paramètres!$A$1:$I$89,3,0)*0.475*44/12</f>
        <v>12.825346065067075</v>
      </c>
      <c r="AW126" s="23">
        <f>EXP(-LN(2)/2)*AW125+(1-EXP(-LN(2)/2))/(LN(2)/2)*AQ126*AT126*VLOOKUP('Données projet'!$B$10,Paramètres!$A$1:$I$89,3,0)*0.475*44/12</f>
        <v>4.4106354380963831E-9</v>
      </c>
      <c r="AX126" s="23">
        <f t="shared" si="60"/>
        <v>49.023141091657472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3.4106051316484809E-13</v>
      </c>
      <c r="BE126" s="14">
        <f>BD126*VLOOKUP('Données projet'!$B$11,Paramètres!$A$1:$I$89,3,0)*VLOOKUP('Données projet'!$B$11,Paramètres!$A$1:$I$89,5,0)</f>
        <v>1.6405010683229191E-13</v>
      </c>
      <c r="BF126" s="14">
        <f t="shared" si="91"/>
        <v>2.3265121008813928E-12</v>
      </c>
      <c r="BG126" s="22">
        <f t="shared" si="61"/>
        <v>4.337729178434667E-12</v>
      </c>
      <c r="BH126" s="62">
        <f t="shared" si="62"/>
        <v>282.68227981685499</v>
      </c>
      <c r="BI126" s="62">
        <f ca="1">AVERAGE(OFFSET($BH$3,0,0,'Données projet'!$E$11+1,1))-AVERAGE(OFFSET($H$3,0,0,'Données projet'!$E$11+1,1))</f>
        <v>405.94837980869011</v>
      </c>
      <c r="BJ126" s="62">
        <f t="shared" si="92"/>
        <v>511.37583835090879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85.864379151972301</v>
      </c>
      <c r="BQ126" s="23">
        <f>EXP(-LN(2)/25)*BQ125+(1-EXP(-LN(2)/25))/(LN(2)/25)*Calculateur!BL126*Calculateur!BN126*VLOOKUP('Données projet'!$B$11,Paramètres!$A$1:$I$89,3,0)*0.475*44/12</f>
        <v>3.8283255708876665</v>
      </c>
      <c r="BR126" s="23">
        <f>EXP(-LN(2)/2)*BR125+(1-EXP(-LN(2)/2))/(LN(2)/2)*BL126*BO126*VLOOKUP('Données projet'!$B$11,Paramètres!$A$1:$I$89,3,0)*0.475*44/12</f>
        <v>7.9736162438421747E-12</v>
      </c>
      <c r="BS126" s="24">
        <f t="shared" si="63"/>
        <v>89.692704722867944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475</v>
      </c>
      <c r="BZ126" s="14">
        <f>BY126*VLOOKUP('Données projet'!$B$12,Paramètres!$A$1:$I$89,3,0)*VLOOKUP('Données projet'!$B$12,Paramètres!$A$1:$I$89,5,0)</f>
        <v>407.55</v>
      </c>
      <c r="CA126" s="14">
        <f t="shared" si="93"/>
        <v>93.305642095357683</v>
      </c>
      <c r="CB126" s="22">
        <f t="shared" si="64"/>
        <v>872.32357664941446</v>
      </c>
      <c r="CC126" s="62">
        <f t="shared" si="65"/>
        <v>1155.0058564662652</v>
      </c>
      <c r="CD126" s="62">
        <f ca="1">AVERAGE(OFFSET($CC$3,0,0,'Données projet'!$E$12+1,1))-AVERAGE(OFFSET($H$3,0,0,'Données projet'!$E$12+1,1))</f>
        <v>590.18141384962507</v>
      </c>
      <c r="CE126" s="62">
        <f t="shared" si="94"/>
        <v>331.25104323342907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288.93115104080761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288.93115104080761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4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5.6</v>
      </c>
      <c r="N127" s="14">
        <f>IF('Données projet'!$A$36&gt;35,N126+M127-V126,IF(A127&lt;'Données projet'!$A$36,$K$205^A127,IF(A127='Données projet'!$A$36,'Données projet'!$B$36,N126+M127-V126)))</f>
        <v>274.59999999999997</v>
      </c>
      <c r="O127" s="14">
        <f>N127*VLOOKUP('Données projet'!$B$9,Paramètres!$A$1:$I$89,3,0)*VLOOKUP('Données projet'!$B$9,Paramètres!$A$1:$I$89,5,0)</f>
        <v>248.45807999999997</v>
      </c>
      <c r="P127" s="14">
        <f t="shared" si="87"/>
        <v>60.25564309762369</v>
      </c>
      <c r="Q127" s="22">
        <f t="shared" si="107"/>
        <v>537.67640106169449</v>
      </c>
      <c r="R127" s="62">
        <f t="shared" si="55"/>
        <v>820.54345284486783</v>
      </c>
      <c r="S127" s="62">
        <f ca="1">AVERAGE(OFFSET($R$3,0,0,'Données projet'!$E$9+1,1))-AVERAGE(OFFSET($H$3,0,0,'Données projet'!$E$9+1,1))</f>
        <v>432.80275651765203</v>
      </c>
      <c r="T127" s="62">
        <f t="shared" si="88"/>
        <v>203.89279893419919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26.772583026806714</v>
      </c>
      <c r="AA127" s="23">
        <f>EXP(-LN(2)/25)*AA126+(1-EXP(-LN(2)/25))/(LN(2)/25)*Calculateur!V127*Calculateur!X127*VLOOKUP('Données projet'!$B$9,Paramètres!$A$1:$I$89,3,0)*0.475*44/12</f>
        <v>17.79290113323966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44.565484160046374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1.9895196601282805E-13</v>
      </c>
      <c r="AJ127" s="14">
        <f>AI127*VLOOKUP('Données projet'!$B$10,Paramètres!$A$1:$I$89,3,0)*VLOOKUP('Données projet'!$B$10,Paramètres!$A$1:$I$89,5,0)</f>
        <v>1.738044375088066E-13</v>
      </c>
      <c r="AK127" s="14">
        <f t="shared" si="89"/>
        <v>2.4483293633950478E-12</v>
      </c>
      <c r="AL127" s="22">
        <f t="shared" si="58"/>
        <v>4.566883036574213E-12</v>
      </c>
      <c r="AM127" s="62">
        <f t="shared" si="59"/>
        <v>282.86705178317789</v>
      </c>
      <c r="AN127" s="62">
        <f ca="1">AVERAGE(OFFSET($AM$3,0,0,'Données projet'!$E$10+1,1))-AVERAGE(OFFSET($H$3,0,0,'Données projet'!$E$10+1,1))</f>
        <v>341.62910675299065</v>
      </c>
      <c r="AO127" s="62">
        <f t="shared" si="90"/>
        <v>407.15938341104709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35.487978340269713</v>
      </c>
      <c r="AV127" s="23">
        <f>EXP(-LN(2)/25)*AV126+(1-EXP(-LN(2)/25))/(LN(2)/25)*Calculateur!AQ127*Calculateur!AS127*VLOOKUP('Données projet'!$B$10,Paramètres!$A$1:$I$89,3,0)*0.475*44/12</f>
        <v>12.474636302462178</v>
      </c>
      <c r="AW127" s="23">
        <f>EXP(-LN(2)/2)*AW126+(1-EXP(-LN(2)/2))/(LN(2)/2)*AQ127*AT127*VLOOKUP('Données projet'!$B$10,Paramètres!$A$1:$I$89,3,0)*0.475*44/12</f>
        <v>3.1187902276196514E-9</v>
      </c>
      <c r="AX127" s="23">
        <f t="shared" si="60"/>
        <v>47.962614645850685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3.4106051316484809E-13</v>
      </c>
      <c r="BE127" s="14">
        <f>BD127*VLOOKUP('Données projet'!$B$11,Paramètres!$A$1:$I$89,3,0)*VLOOKUP('Données projet'!$B$11,Paramètres!$A$1:$I$89,5,0)</f>
        <v>1.6405010683229191E-13</v>
      </c>
      <c r="BF127" s="14">
        <f t="shared" si="91"/>
        <v>2.3265121008813928E-12</v>
      </c>
      <c r="BG127" s="22">
        <f t="shared" si="61"/>
        <v>4.337729178434667E-12</v>
      </c>
      <c r="BH127" s="62">
        <f t="shared" si="62"/>
        <v>282.86705178317766</v>
      </c>
      <c r="BI127" s="62">
        <f ca="1">AVERAGE(OFFSET($BH$3,0,0,'Données projet'!$E$11+1,1))-AVERAGE(OFFSET($H$3,0,0,'Données projet'!$E$11+1,1))</f>
        <v>405.94837980869011</v>
      </c>
      <c r="BJ127" s="62">
        <f t="shared" si="92"/>
        <v>511.37583835090879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84.180631048902086</v>
      </c>
      <c r="BQ127" s="23">
        <f>EXP(-LN(2)/25)*BQ126+(1-EXP(-LN(2)/25))/(LN(2)/25)*Calculateur!BL127*Calculateur!BN127*VLOOKUP('Données projet'!$B$11,Paramètres!$A$1:$I$89,3,0)*0.475*44/12</f>
        <v>3.7236398068288512</v>
      </c>
      <c r="BR127" s="23">
        <f>EXP(-LN(2)/2)*BR126+(1-EXP(-LN(2)/2))/(LN(2)/2)*BL127*BO127*VLOOKUP('Données projet'!$B$11,Paramètres!$A$1:$I$89,3,0)*0.475*44/12</f>
        <v>5.6381981166000096E-12</v>
      </c>
      <c r="BS127" s="24">
        <f t="shared" si="63"/>
        <v>87.904270855736584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475</v>
      </c>
      <c r="BZ127" s="14">
        <f>BY127*VLOOKUP('Données projet'!$B$12,Paramètres!$A$1:$I$89,3,0)*VLOOKUP('Données projet'!$B$12,Paramètres!$A$1:$I$89,5,0)</f>
        <v>407.55</v>
      </c>
      <c r="CA127" s="14">
        <f t="shared" si="93"/>
        <v>93.305642095357683</v>
      </c>
      <c r="CB127" s="22">
        <f t="shared" si="64"/>
        <v>872.32357664941446</v>
      </c>
      <c r="CC127" s="62">
        <f t="shared" si="65"/>
        <v>1155.1906284325878</v>
      </c>
      <c r="CD127" s="62">
        <f ca="1">AVERAGE(OFFSET($CC$3,0,0,'Données projet'!$E$12+1,1))-AVERAGE(OFFSET($H$3,0,0,'Données projet'!$E$12+1,1))</f>
        <v>590.18141384962507</v>
      </c>
      <c r="CE127" s="62">
        <f t="shared" si="94"/>
        <v>331.25104323342907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283.2653873994982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283.2653873994982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4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5.6</v>
      </c>
      <c r="N128" s="14">
        <f>IF('Données projet'!$A$36&gt;35,N127+M128-V127,IF(A128&lt;'Données projet'!$A$36,$K$205^A128,IF(A128='Données projet'!$A$36,'Données projet'!$B$36,N127+M128-V127)))</f>
        <v>280.2</v>
      </c>
      <c r="O128" s="14">
        <f>N128*VLOOKUP('Données projet'!$B$9,Paramètres!$A$1:$I$89,3,0)*VLOOKUP('Données projet'!$B$9,Paramètres!$A$1:$I$89,5,0)</f>
        <v>253.52495999999999</v>
      </c>
      <c r="P128" s="14">
        <f t="shared" si="87"/>
        <v>61.340141798422209</v>
      </c>
      <c r="Q128" s="22">
        <f t="shared" si="107"/>
        <v>548.39005229891859</v>
      </c>
      <c r="R128" s="62">
        <f t="shared" si="55"/>
        <v>831.4386706678871</v>
      </c>
      <c r="S128" s="62">
        <f ca="1">AVERAGE(OFFSET($R$3,0,0,'Données projet'!$E$9+1,1))-AVERAGE(OFFSET($H$3,0,0,'Données projet'!$E$9+1,1))</f>
        <v>432.80275651765203</v>
      </c>
      <c r="T128" s="62">
        <f t="shared" si="88"/>
        <v>203.89279893419919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26.24758900331426</v>
      </c>
      <c r="AA128" s="23">
        <f>EXP(-LN(2)/25)*AA127+(1-EXP(-LN(2)/25))/(LN(2)/25)*Calculateur!V128*Calculateur!X128*VLOOKUP('Données projet'!$B$9,Paramètres!$A$1:$I$89,3,0)*0.475*44/12</f>
        <v>17.306353316063216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43.553942319377477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1.9895196601282805E-13</v>
      </c>
      <c r="AJ128" s="14">
        <f>AI128*VLOOKUP('Données projet'!$B$10,Paramètres!$A$1:$I$89,3,0)*VLOOKUP('Données projet'!$B$10,Paramètres!$A$1:$I$89,5,0)</f>
        <v>1.738044375088066E-13</v>
      </c>
      <c r="AK128" s="14">
        <f t="shared" si="89"/>
        <v>2.4483293633950478E-12</v>
      </c>
      <c r="AL128" s="22">
        <f t="shared" si="58"/>
        <v>4.566883036574213E-12</v>
      </c>
      <c r="AM128" s="62">
        <f t="shared" si="59"/>
        <v>283.04861836897305</v>
      </c>
      <c r="AN128" s="62">
        <f ca="1">AVERAGE(OFFSET($AM$3,0,0,'Données projet'!$E$10+1,1))-AVERAGE(OFFSET($H$3,0,0,'Données projet'!$E$10+1,1))</f>
        <v>341.62910675299065</v>
      </c>
      <c r="AO128" s="62">
        <f t="shared" si="90"/>
        <v>407.15938341104709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34.792080730546495</v>
      </c>
      <c r="AV128" s="23">
        <f>EXP(-LN(2)/25)*AV127+(1-EXP(-LN(2)/25))/(LN(2)/25)*Calculateur!AQ128*Calculateur!AS128*VLOOKUP('Données projet'!$B$10,Paramètres!$A$1:$I$89,3,0)*0.475*44/12</f>
        <v>12.133516716758738</v>
      </c>
      <c r="AW128" s="23">
        <f>EXP(-LN(2)/2)*AW127+(1-EXP(-LN(2)/2))/(LN(2)/2)*AQ128*AT128*VLOOKUP('Données projet'!$B$10,Paramètres!$A$1:$I$89,3,0)*0.475*44/12</f>
        <v>2.2053177190481916E-9</v>
      </c>
      <c r="AX128" s="23">
        <f t="shared" si="60"/>
        <v>46.925597449510555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1.6405010683229191E-13</v>
      </c>
      <c r="BF128" s="14">
        <f t="shared" si="91"/>
        <v>2.3265121008813928E-12</v>
      </c>
      <c r="BG128" s="22">
        <f t="shared" si="61"/>
        <v>4.337729178434667E-12</v>
      </c>
      <c r="BH128" s="62">
        <f t="shared" si="62"/>
        <v>283.04861836897283</v>
      </c>
      <c r="BI128" s="62">
        <f ca="1">AVERAGE(OFFSET($BH$3,0,0,'Données projet'!$E$11+1,1))-AVERAGE(OFFSET($H$3,0,0,'Données projet'!$E$11+1,1))</f>
        <v>405.94837980869011</v>
      </c>
      <c r="BJ128" s="62">
        <f t="shared" si="92"/>
        <v>511.37583835090879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82.529900219148146</v>
      </c>
      <c r="BQ128" s="23">
        <f>EXP(-LN(2)/25)*BQ127+(1-EXP(-LN(2)/25))/(LN(2)/25)*Calculateur!BL128*Calculateur!BN128*VLOOKUP('Données projet'!$B$11,Paramètres!$A$1:$I$89,3,0)*0.475*44/12</f>
        <v>3.6218166804934091</v>
      </c>
      <c r="BR128" s="23">
        <f>EXP(-LN(2)/2)*BR127+(1-EXP(-LN(2)/2))/(LN(2)/2)*BL128*BO128*VLOOKUP('Données projet'!$B$11,Paramètres!$A$1:$I$89,3,0)*0.475*44/12</f>
        <v>3.9868081219210873E-12</v>
      </c>
      <c r="BS128" s="24">
        <f t="shared" si="63"/>
        <v>86.15171689964555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475</v>
      </c>
      <c r="BZ128" s="14">
        <f>BY128*VLOOKUP('Données projet'!$B$12,Paramètres!$A$1:$I$89,3,0)*VLOOKUP('Données projet'!$B$12,Paramètres!$A$1:$I$89,5,0)</f>
        <v>407.55</v>
      </c>
      <c r="CA128" s="14">
        <f t="shared" si="93"/>
        <v>93.305642095357683</v>
      </c>
      <c r="CB128" s="22">
        <f t="shared" si="64"/>
        <v>872.32357664941446</v>
      </c>
      <c r="CC128" s="62">
        <f t="shared" si="65"/>
        <v>1155.3721950183831</v>
      </c>
      <c r="CD128" s="62">
        <f ca="1">AVERAGE(OFFSET($CC$3,0,0,'Données projet'!$E$12+1,1))-AVERAGE(OFFSET($H$3,0,0,'Données projet'!$E$12+1,1))</f>
        <v>590.18141384962507</v>
      </c>
      <c r="CE128" s="62">
        <f t="shared" si="94"/>
        <v>331.25104323342907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277.71072592742024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277.71072592742024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4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5.6</v>
      </c>
      <c r="N129" s="14">
        <f>IF('Données projet'!$A$36&gt;35,N128+M129-V128,IF(A129&lt;'Données projet'!$A$36,$K$205^A129,IF(A129='Données projet'!$A$36,'Données projet'!$B$36,N128+M129-V128)))</f>
        <v>285.8</v>
      </c>
      <c r="O129" s="14">
        <f>N129*VLOOKUP('Données projet'!$B$9,Paramètres!$A$1:$I$89,3,0)*VLOOKUP('Données projet'!$B$9,Paramètres!$A$1:$I$89,5,0)</f>
        <v>258.59183999999999</v>
      </c>
      <c r="P129" s="14">
        <f t="shared" si="87"/>
        <v>62.422120343276589</v>
      </c>
      <c r="Q129" s="22">
        <f t="shared" si="107"/>
        <v>559.09931426454011</v>
      </c>
      <c r="R129" s="62">
        <f t="shared" si="55"/>
        <v>842.32634944496226</v>
      </c>
      <c r="S129" s="62">
        <f ca="1">AVERAGE(OFFSET($R$3,0,0,'Données projet'!$E$9+1,1))-AVERAGE(OFFSET($H$3,0,0,'Données projet'!$E$9+1,1))</f>
        <v>432.80275651765203</v>
      </c>
      <c r="T129" s="62">
        <f t="shared" si="88"/>
        <v>203.89279893419919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25.732889792407757</v>
      </c>
      <c r="AA129" s="23">
        <f>EXP(-LN(2)/25)*AA128+(1-EXP(-LN(2)/25))/(LN(2)/25)*Calculateur!V129*Calculateur!X129*VLOOKUP('Données projet'!$B$9,Paramètres!$A$1:$I$89,3,0)*0.475*44/12</f>
        <v>16.8331101745339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42.565999966941661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1.9895196601282805E-13</v>
      </c>
      <c r="AJ129" s="14">
        <f>AI129*VLOOKUP('Données projet'!$B$10,Paramètres!$A$1:$I$89,3,0)*VLOOKUP('Données projet'!$B$10,Paramètres!$A$1:$I$89,5,0)</f>
        <v>1.738044375088066E-13</v>
      </c>
      <c r="AK129" s="14">
        <f t="shared" si="89"/>
        <v>2.4483293633950478E-12</v>
      </c>
      <c r="AL129" s="22">
        <f t="shared" si="58"/>
        <v>4.566883036574213E-12</v>
      </c>
      <c r="AM129" s="62">
        <f t="shared" si="59"/>
        <v>283.22703518042675</v>
      </c>
      <c r="AN129" s="62">
        <f ca="1">AVERAGE(OFFSET($AM$3,0,0,'Données projet'!$E$10+1,1))-AVERAGE(OFFSET($H$3,0,0,'Données projet'!$E$10+1,1))</f>
        <v>341.62910675299065</v>
      </c>
      <c r="AO129" s="62">
        <f t="shared" si="90"/>
        <v>407.15938341104709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34.109829248494314</v>
      </c>
      <c r="AV129" s="23">
        <f>EXP(-LN(2)/25)*AV128+(1-EXP(-LN(2)/25))/(LN(2)/25)*Calculateur!AQ129*Calculateur!AS129*VLOOKUP('Données projet'!$B$10,Paramètres!$A$1:$I$89,3,0)*0.475*44/12</f>
        <v>11.801725064065058</v>
      </c>
      <c r="AW129" s="23">
        <f>EXP(-LN(2)/2)*AW128+(1-EXP(-LN(2)/2))/(LN(2)/2)*AQ129*AT129*VLOOKUP('Données projet'!$B$10,Paramètres!$A$1:$I$89,3,0)*0.475*44/12</f>
        <v>1.5593951138098257E-9</v>
      </c>
      <c r="AX129" s="23">
        <f t="shared" si="60"/>
        <v>45.911554314118767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1.6405010683229191E-13</v>
      </c>
      <c r="BF129" s="14">
        <f t="shared" si="91"/>
        <v>2.3265121008813928E-12</v>
      </c>
      <c r="BG129" s="22">
        <f t="shared" si="61"/>
        <v>4.337729178434667E-12</v>
      </c>
      <c r="BH129" s="62">
        <f t="shared" si="62"/>
        <v>283.22703518042653</v>
      </c>
      <c r="BI129" s="62">
        <f ca="1">AVERAGE(OFFSET($BH$3,0,0,'Données projet'!$E$11+1,1))-AVERAGE(OFFSET($H$3,0,0,'Données projet'!$E$11+1,1))</f>
        <v>405.94837980869011</v>
      </c>
      <c r="BJ129" s="62">
        <f t="shared" si="92"/>
        <v>511.37583835090879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80.911539214119287</v>
      </c>
      <c r="BQ129" s="23">
        <f>EXP(-LN(2)/25)*BQ128+(1-EXP(-LN(2)/25))/(LN(2)/25)*Calculateur!BL129*Calculateur!BN129*VLOOKUP('Données projet'!$B$11,Paramètres!$A$1:$I$89,3,0)*0.475*44/12</f>
        <v>3.5227779129022552</v>
      </c>
      <c r="BR129" s="23">
        <f>EXP(-LN(2)/2)*BR128+(1-EXP(-LN(2)/2))/(LN(2)/2)*BL129*BO129*VLOOKUP('Données projet'!$B$11,Paramètres!$A$1:$I$89,3,0)*0.475*44/12</f>
        <v>2.8190990583000048E-12</v>
      </c>
      <c r="BS129" s="24">
        <f t="shared" si="63"/>
        <v>84.434317127024357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475</v>
      </c>
      <c r="BZ129" s="14">
        <f>BY129*VLOOKUP('Données projet'!$B$12,Paramètres!$A$1:$I$89,3,0)*VLOOKUP('Données projet'!$B$12,Paramètres!$A$1:$I$89,5,0)</f>
        <v>407.55</v>
      </c>
      <c r="CA129" s="14">
        <f t="shared" si="93"/>
        <v>93.305642095357683</v>
      </c>
      <c r="CB129" s="22">
        <f t="shared" si="64"/>
        <v>872.32357664941446</v>
      </c>
      <c r="CC129" s="62">
        <f t="shared" si="65"/>
        <v>1155.5506118298367</v>
      </c>
      <c r="CD129" s="62">
        <f ca="1">AVERAGE(OFFSET($CC$3,0,0,'Données projet'!$E$12+1,1))-AVERAGE(OFFSET($H$3,0,0,'Données projet'!$E$12+1,1))</f>
        <v>590.18141384962507</v>
      </c>
      <c r="CE129" s="62">
        <f t="shared" si="94"/>
        <v>331.25104323342907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272.26498797880078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272.26498797880078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4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5.6</v>
      </c>
      <c r="N130" s="14">
        <f>IF('Données projet'!$A$36&gt;35,N129+M130-V129,IF(A130&lt;'Données projet'!$A$36,$K$205^A130,IF(A130='Données projet'!$A$36,'Données projet'!$B$36,N129+M130-V129)))</f>
        <v>291.40000000000003</v>
      </c>
      <c r="O130" s="14">
        <f>N130*VLOOKUP('Données projet'!$B$9,Paramètres!$A$1:$I$89,3,0)*VLOOKUP('Données projet'!$B$9,Paramètres!$A$1:$I$89,5,0)</f>
        <v>263.65872000000002</v>
      </c>
      <c r="P130" s="14">
        <f t="shared" si="87"/>
        <v>63.50163380458158</v>
      </c>
      <c r="Q130" s="22">
        <f t="shared" si="107"/>
        <v>569.80428287631287</v>
      </c>
      <c r="R130" s="62">
        <f t="shared" si="55"/>
        <v>853.20663973539035</v>
      </c>
      <c r="S130" s="62">
        <f ca="1">AVERAGE(OFFSET($R$3,0,0,'Données projet'!$E$9+1,1))-AVERAGE(OFFSET($H$3,0,0,'Données projet'!$E$9+1,1))</f>
        <v>432.80275651765203</v>
      </c>
      <c r="T130" s="62">
        <f t="shared" si="88"/>
        <v>203.89279893419919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25.228283519091612</v>
      </c>
      <c r="AA130" s="23">
        <f>EXP(-LN(2)/25)*AA129+(1-EXP(-LN(2)/25))/(LN(2)/25)*Calculateur!V130*Calculateur!X130*VLOOKUP('Données projet'!$B$9,Paramètres!$A$1:$I$89,3,0)*0.475*44/12</f>
        <v>16.37280789159648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41.601091410688092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1.9895196601282805E-13</v>
      </c>
      <c r="AJ130" s="14">
        <f>AI130*VLOOKUP('Données projet'!$B$10,Paramètres!$A$1:$I$89,3,0)*VLOOKUP('Données projet'!$B$10,Paramètres!$A$1:$I$89,5,0)</f>
        <v>1.738044375088066E-13</v>
      </c>
      <c r="AK130" s="14">
        <f t="shared" si="89"/>
        <v>2.4483293633950478E-12</v>
      </c>
      <c r="AL130" s="22">
        <f t="shared" si="58"/>
        <v>4.566883036574213E-12</v>
      </c>
      <c r="AM130" s="62">
        <f t="shared" si="59"/>
        <v>283.40235685908198</v>
      </c>
      <c r="AN130" s="62">
        <f ca="1">AVERAGE(OFFSET($AM$3,0,0,'Données projet'!$E$10+1,1))-AVERAGE(OFFSET($H$3,0,0,'Données projet'!$E$10+1,1))</f>
        <v>341.62910675299065</v>
      </c>
      <c r="AO130" s="62">
        <f t="shared" si="90"/>
        <v>407.15938341104709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33.440956301872866</v>
      </c>
      <c r="AV130" s="23">
        <f>EXP(-LN(2)/25)*AV129+(1-EXP(-LN(2)/25))/(LN(2)/25)*Calculateur!AQ130*Calculateur!AS130*VLOOKUP('Données projet'!$B$10,Paramètres!$A$1:$I$89,3,0)*0.475*44/12</f>
        <v>11.479006271562451</v>
      </c>
      <c r="AW130" s="23">
        <f>EXP(-LN(2)/2)*AW129+(1-EXP(-LN(2)/2))/(LN(2)/2)*AQ130*AT130*VLOOKUP('Données projet'!$B$10,Paramètres!$A$1:$I$89,3,0)*0.475*44/12</f>
        <v>1.1026588595240958E-9</v>
      </c>
      <c r="AX130" s="23">
        <f t="shared" si="60"/>
        <v>44.919962574537969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1.6405010683229191E-13</v>
      </c>
      <c r="BF130" s="14">
        <f t="shared" si="91"/>
        <v>2.3265121008813928E-12</v>
      </c>
      <c r="BG130" s="22">
        <f t="shared" si="61"/>
        <v>4.337729178434667E-12</v>
      </c>
      <c r="BH130" s="62">
        <f t="shared" si="62"/>
        <v>283.40235685908175</v>
      </c>
      <c r="BI130" s="62">
        <f ca="1">AVERAGE(OFFSET($BH$3,0,0,'Données projet'!$E$11+1,1))-AVERAGE(OFFSET($H$3,0,0,'Données projet'!$E$11+1,1))</f>
        <v>405.94837980869011</v>
      </c>
      <c r="BJ130" s="62">
        <f t="shared" si="92"/>
        <v>511.37583835090879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79.324913281296304</v>
      </c>
      <c r="BQ130" s="23">
        <f>EXP(-LN(2)/25)*BQ129+(1-EXP(-LN(2)/25))/(LN(2)/25)*Calculateur!BL130*Calculateur!BN130*VLOOKUP('Données projet'!$B$11,Paramètres!$A$1:$I$89,3,0)*0.475*44/12</f>
        <v>3.4264473656191039</v>
      </c>
      <c r="BR130" s="23">
        <f>EXP(-LN(2)/2)*BR129+(1-EXP(-LN(2)/2))/(LN(2)/2)*BL130*BO130*VLOOKUP('Données projet'!$B$11,Paramètres!$A$1:$I$89,3,0)*0.475*44/12</f>
        <v>1.9934040609605437E-12</v>
      </c>
      <c r="BS130" s="24">
        <f t="shared" si="63"/>
        <v>82.751360646917391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475</v>
      </c>
      <c r="BZ130" s="14">
        <f>BY130*VLOOKUP('Données projet'!$B$12,Paramètres!$A$1:$I$89,3,0)*VLOOKUP('Données projet'!$B$12,Paramètres!$A$1:$I$89,5,0)</f>
        <v>407.55</v>
      </c>
      <c r="CA130" s="14">
        <f t="shared" si="93"/>
        <v>93.305642095357683</v>
      </c>
      <c r="CB130" s="22">
        <f t="shared" si="64"/>
        <v>872.32357664941446</v>
      </c>
      <c r="CC130" s="62">
        <f t="shared" si="65"/>
        <v>1155.7259335084918</v>
      </c>
      <c r="CD130" s="62">
        <f ca="1">AVERAGE(OFFSET($CC$3,0,0,'Données projet'!$E$12+1,1))-AVERAGE(OFFSET($H$3,0,0,'Données projet'!$E$12+1,1))</f>
        <v>590.18141384962507</v>
      </c>
      <c r="CE130" s="62">
        <f t="shared" si="94"/>
        <v>331.25104323342907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266.9260376297816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266.9260376297816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4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>
        <f>VLOOKUP(A131,'Données projet'!$A$35:$I$55,2,0)</f>
        <v>297</v>
      </c>
      <c r="L131" s="13">
        <f>VLOOKUP(A131,'Données projet'!$A$35:$I$55,9,0)</f>
        <v>5.6</v>
      </c>
      <c r="M131" s="13">
        <f t="array" ref="M131">INDEX(L:L,MIN(IF(ISNUMBER(L131:L327),ROW(L131:L327),"")))</f>
        <v>5.6</v>
      </c>
      <c r="N131" s="14">
        <f>IF('Données projet'!$A$36&gt;35,N130+M131-V130,IF(A131&lt;'Données projet'!$A$36,$K$205^A131,IF(A131='Données projet'!$A$36,'Données projet'!$B$36,N130+M131-V130)))</f>
        <v>297.00000000000006</v>
      </c>
      <c r="O131" s="14">
        <f>N131*VLOOKUP('Données projet'!$B$9,Paramètres!$A$1:$I$89,3,0)*VLOOKUP('Données projet'!$B$9,Paramètres!$A$1:$I$89,5,0)</f>
        <v>268.72560000000004</v>
      </c>
      <c r="P131" s="14">
        <f t="shared" si="87"/>
        <v>64.578735016913868</v>
      </c>
      <c r="Q131" s="22">
        <f t="shared" ref="Q131:Q153" si="108">(O131+P131)*0.475*44/12</f>
        <v>580.50505015445833</v>
      </c>
      <c r="R131" s="62">
        <f t="shared" ref="R131:R194" si="109">Q131+(I131+J131)*44/12</f>
        <v>864.0796872530268</v>
      </c>
      <c r="S131" s="62">
        <f ca="1">AVERAGE(OFFSET($R$3,0,0,'Données projet'!$E$9+1,1))-AVERAGE(OFFSET($H$3,0,0,'Données projet'!$E$9+1,1))</f>
        <v>432.80275651765203</v>
      </c>
      <c r="T131" s="62">
        <f t="shared" si="88"/>
        <v>203.89279893419919</v>
      </c>
      <c r="U131" s="16">
        <f>IF(ISNA(VLOOKUP(A131,'Données projet'!$A$35:$I$55,3,0)),0,VLOOKUP(A131,'Données projet'!$A$35:$I$55,3,0))</f>
        <v>9</v>
      </c>
      <c r="V131" s="16">
        <f>IF(ISNA(VLOOKUP(A131,'Données projet'!$A$35:$I$55,4,0)),0,VLOOKUP(A131,'Données projet'!$A$35:$I$55,4,0))</f>
        <v>39</v>
      </c>
      <c r="W131" s="17">
        <f>IF(ISNA(VLOOKUP(A131,'Données projet'!$A$35:$I$55,5,0)),0%,VLOOKUP(A131,'Données projet'!$A$35:$I$55,5,0)*VLOOKUP('Données projet'!$B$9,Paramètres!$A$1:$I$89,7,0))</f>
        <v>0.215</v>
      </c>
      <c r="X131" s="17">
        <f>IF(ISNA(VLOOKUP(A131,'Données projet'!$A$35:$I$55,6,0)),0%,VLOOKUP(A131,'Données projet'!$A$35:$I$55,6,0)*VLOOKUP('Données projet'!$B$9,Paramètres!$A$1:$I$89,7,0))</f>
        <v>0.17200000000000001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33.120497457996606</v>
      </c>
      <c r="AA131" s="23">
        <f>EXP(-LN(2)/25)*AA130+(1-EXP(-LN(2)/25))/(LN(2)/25)*Calculateur!V131*Calculateur!X131*VLOOKUP('Données projet'!$B$9,Paramètres!$A$1:$I$89,3,0)*0.475*44/12</f>
        <v>22.608214735460166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55.728712193456772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1.9895196601282805E-13</v>
      </c>
      <c r="AJ131" s="14">
        <f>AI131*VLOOKUP('Données projet'!$B$10,Paramètres!$A$1:$I$89,3,0)*VLOOKUP('Données projet'!$B$10,Paramètres!$A$1:$I$89,5,0)</f>
        <v>1.738044375088066E-13</v>
      </c>
      <c r="AK131" s="14">
        <f t="shared" si="89"/>
        <v>2.4483293633950478E-12</v>
      </c>
      <c r="AL131" s="22">
        <f t="shared" si="58"/>
        <v>4.566883036574213E-12</v>
      </c>
      <c r="AM131" s="62">
        <f t="shared" si="59"/>
        <v>283.57463709857308</v>
      </c>
      <c r="AN131" s="62">
        <f ca="1">AVERAGE(OFFSET($AM$3,0,0,'Données projet'!$E$10+1,1))-AVERAGE(OFFSET($H$3,0,0,'Données projet'!$E$10+1,1))</f>
        <v>341.62910675299065</v>
      </c>
      <c r="AO131" s="62">
        <f t="shared" si="90"/>
        <v>407.15938341104709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32.785199545762453</v>
      </c>
      <c r="AV131" s="23">
        <f>EXP(-LN(2)/25)*AV130+(1-EXP(-LN(2)/25))/(LN(2)/25)*Calculateur!AQ131*Calculateur!AS131*VLOOKUP('Données projet'!$B$10,Paramètres!$A$1:$I$89,3,0)*0.475*44/12</f>
        <v>11.165112241411871</v>
      </c>
      <c r="AW131" s="23">
        <f>EXP(-LN(2)/2)*AW130+(1-EXP(-LN(2)/2))/(LN(2)/2)*AQ131*AT131*VLOOKUP('Données projet'!$B$10,Paramètres!$A$1:$I$89,3,0)*0.475*44/12</f>
        <v>7.7969755690491286E-10</v>
      </c>
      <c r="AX131" s="23">
        <f t="shared" si="60"/>
        <v>43.950311787954021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1.6405010683229191E-13</v>
      </c>
      <c r="BF131" s="14">
        <f t="shared" si="91"/>
        <v>2.3265121008813928E-12</v>
      </c>
      <c r="BG131" s="22">
        <f t="shared" si="61"/>
        <v>4.337729178434667E-12</v>
      </c>
      <c r="BH131" s="62">
        <f t="shared" si="62"/>
        <v>283.57463709857285</v>
      </c>
      <c r="BI131" s="62">
        <f ca="1">AVERAGE(OFFSET($BH$3,0,0,'Données projet'!$E$11+1,1))-AVERAGE(OFFSET($H$3,0,0,'Données projet'!$E$11+1,1))</f>
        <v>405.94837980869011</v>
      </c>
      <c r="BJ131" s="62">
        <f t="shared" si="92"/>
        <v>511.37583835090879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77.769400115269718</v>
      </c>
      <c r="BQ131" s="23">
        <f>EXP(-LN(2)/25)*BQ130+(1-EXP(-LN(2)/25))/(LN(2)/25)*Calculateur!BL131*Calculateur!BN131*VLOOKUP('Données projet'!$B$11,Paramètres!$A$1:$I$89,3,0)*0.475*44/12</f>
        <v>3.3327509822172137</v>
      </c>
      <c r="BR131" s="23">
        <f>EXP(-LN(2)/2)*BR130+(1-EXP(-LN(2)/2))/(LN(2)/2)*BL131*BO131*VLOOKUP('Données projet'!$B$11,Paramètres!$A$1:$I$89,3,0)*0.475*44/12</f>
        <v>1.4095495291500024E-12</v>
      </c>
      <c r="BS131" s="24">
        <f t="shared" si="63"/>
        <v>81.102151097488345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475</v>
      </c>
      <c r="BZ131" s="14">
        <f>BY131*VLOOKUP('Données projet'!$B$12,Paramètres!$A$1:$I$89,3,0)*VLOOKUP('Données projet'!$B$12,Paramètres!$A$1:$I$89,5,0)</f>
        <v>407.55</v>
      </c>
      <c r="CA131" s="14">
        <f t="shared" si="93"/>
        <v>93.305642095357683</v>
      </c>
      <c r="CB131" s="22">
        <f t="shared" si="64"/>
        <v>872.32357664941446</v>
      </c>
      <c r="CC131" s="62">
        <f t="shared" si="65"/>
        <v>1155.8982137479829</v>
      </c>
      <c r="CD131" s="62">
        <f ca="1">AVERAGE(OFFSET($CC$3,0,0,'Données projet'!$E$12+1,1))-AVERAGE(OFFSET($H$3,0,0,'Données projet'!$E$12+1,1))</f>
        <v>590.18141384962507</v>
      </c>
      <c r="CE131" s="62">
        <f t="shared" si="94"/>
        <v>331.25104323342907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261.69178084066851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261.69178084066851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4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5.7</v>
      </c>
      <c r="N132" s="14">
        <f>IF('Données projet'!$A$36&gt;35,N131+M132-V131,IF(A132&lt;'Données projet'!$A$36,$K$205^A132,IF(A132='Données projet'!$A$36,'Données projet'!$B$36,N131+M132-V131)))</f>
        <v>263.70000000000005</v>
      </c>
      <c r="O132" s="14">
        <f>N132*VLOOKUP('Données projet'!$B$9,Paramètres!$A$1:$I$89,3,0)*VLOOKUP('Données projet'!$B$9,Paramètres!$A$1:$I$89,5,0)</f>
        <v>238.59576000000004</v>
      </c>
      <c r="P132" s="14">
        <f t="shared" si="87"/>
        <v>58.137298297430824</v>
      </c>
      <c r="Q132" s="22">
        <f t="shared" si="108"/>
        <v>516.81007653469214</v>
      </c>
      <c r="R132" s="62">
        <f t="shared" si="109"/>
        <v>800.55400519575755</v>
      </c>
      <c r="S132" s="62">
        <f ca="1">AVERAGE(OFFSET($R$3,0,0,'Données projet'!$E$9+1,1))-AVERAGE(OFFSET($H$3,0,0,'Données projet'!$E$9+1,1))</f>
        <v>432.80275651765203</v>
      </c>
      <c r="T132" s="62">
        <f t="shared" si="88"/>
        <v>203.89279893419919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32.471024704354008</v>
      </c>
      <c r="AA132" s="23">
        <f>EXP(-LN(2)/25)*AA131+(1-EXP(-LN(2)/25))/(LN(2)/25)*Calculateur!V132*Calculateur!X132*VLOOKUP('Données projet'!$B$9,Paramètres!$A$1:$I$89,3,0)*0.475*44/12</f>
        <v>21.989991914604666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54.461016618958674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1.9895196601282805E-13</v>
      </c>
      <c r="AJ132" s="14">
        <f>AI132*VLOOKUP('Données projet'!$B$10,Paramètres!$A$1:$I$89,3,0)*VLOOKUP('Données projet'!$B$10,Paramètres!$A$1:$I$89,5,0)</f>
        <v>1.738044375088066E-13</v>
      </c>
      <c r="AK132" s="14">
        <f t="shared" si="89"/>
        <v>2.4483293633950478E-12</v>
      </c>
      <c r="AL132" s="22">
        <f t="shared" ref="AL132:AL153" si="112">(AJ132+AK132)*0.475*44/12</f>
        <v>4.566883036574213E-12</v>
      </c>
      <c r="AM132" s="62">
        <f t="shared" ref="AM132:AM195" si="113">AL132+(AD132+AE132)*44/12</f>
        <v>283.7439286610699</v>
      </c>
      <c r="AN132" s="62">
        <f ca="1">AVERAGE(OFFSET($AM$3,0,0,'Données projet'!$E$10+1,1))-AVERAGE(OFFSET($H$3,0,0,'Données projet'!$E$10+1,1))</f>
        <v>341.62910675299065</v>
      </c>
      <c r="AO132" s="62">
        <f t="shared" si="90"/>
        <v>407.15938341104709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32.142301779667235</v>
      </c>
      <c r="AV132" s="23">
        <f>EXP(-LN(2)/25)*AV131+(1-EXP(-LN(2)/25))/(LN(2)/25)*Calculateur!AQ132*Calculateur!AS132*VLOOKUP('Données projet'!$B$10,Paramètres!$A$1:$I$89,3,0)*0.475*44/12</f>
        <v>10.859801660022729</v>
      </c>
      <c r="AW132" s="23">
        <f>EXP(-LN(2)/2)*AW131+(1-EXP(-LN(2)/2))/(LN(2)/2)*AQ132*AT132*VLOOKUP('Données projet'!$B$10,Paramètres!$A$1:$I$89,3,0)*0.475*44/12</f>
        <v>5.5132942976204789E-10</v>
      </c>
      <c r="AX132" s="23">
        <f t="shared" ref="AX132:AX153" si="114">SUM(AU132:AW132)</f>
        <v>43.002103440241292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1.6405010683229191E-13</v>
      </c>
      <c r="BF132" s="14">
        <f t="shared" si="91"/>
        <v>2.3265121008813928E-12</v>
      </c>
      <c r="BG132" s="22">
        <f t="shared" ref="BG132:BG153" si="115">(BE132+BF132)*0.475*44/12</f>
        <v>4.337729178434667E-12</v>
      </c>
      <c r="BH132" s="62">
        <f t="shared" ref="BH132:BH195" si="116">BG132+(AY132+AZ132)*44/12</f>
        <v>283.74392866106967</v>
      </c>
      <c r="BI132" s="62">
        <f ca="1">AVERAGE(OFFSET($BH$3,0,0,'Données projet'!$E$11+1,1))-AVERAGE(OFFSET($H$3,0,0,'Données projet'!$E$11+1,1))</f>
        <v>405.94837980869011</v>
      </c>
      <c r="BJ132" s="62">
        <f t="shared" si="92"/>
        <v>511.37583835090879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76.244389613659564</v>
      </c>
      <c r="BQ132" s="23">
        <f>EXP(-LN(2)/25)*BQ131+(1-EXP(-LN(2)/25))/(LN(2)/25)*Calculateur!BL132*Calculateur!BN132*VLOOKUP('Données projet'!$B$11,Paramètres!$A$1:$I$89,3,0)*0.475*44/12</f>
        <v>3.2416167313467268</v>
      </c>
      <c r="BR132" s="23">
        <f>EXP(-LN(2)/2)*BR131+(1-EXP(-LN(2)/2))/(LN(2)/2)*BL132*BO132*VLOOKUP('Données projet'!$B$11,Paramètres!$A$1:$I$89,3,0)*0.475*44/12</f>
        <v>9.9670203048027183E-13</v>
      </c>
      <c r="BS132" s="24">
        <f t="shared" ref="BS132:BS153" si="117">SUM(BP132:BR132)</f>
        <v>79.486006345007283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475</v>
      </c>
      <c r="BZ132" s="14">
        <f>BY132*VLOOKUP('Données projet'!$B$12,Paramètres!$A$1:$I$89,3,0)*VLOOKUP('Données projet'!$B$12,Paramètres!$A$1:$I$89,5,0)</f>
        <v>407.55</v>
      </c>
      <c r="CA132" s="14">
        <f t="shared" si="93"/>
        <v>93.305642095357683</v>
      </c>
      <c r="CB132" s="22">
        <f t="shared" ref="CB132:CB153" si="118">(BZ132+CA132)*0.475*44/12</f>
        <v>872.32357664941446</v>
      </c>
      <c r="CC132" s="62">
        <f t="shared" ref="CC132:CC195" si="119">CB132+(BT132+BU132)*44/12</f>
        <v>1156.0675053104799</v>
      </c>
      <c r="CD132" s="62">
        <f ca="1">AVERAGE(OFFSET($CC$3,0,0,'Données projet'!$E$12+1,1))-AVERAGE(OFFSET($H$3,0,0,'Données projet'!$E$12+1,1))</f>
        <v>590.18141384962507</v>
      </c>
      <c r="CE132" s="62">
        <f t="shared" si="94"/>
        <v>331.25104323342907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256.5601646346085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256.5601646346085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4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5.7</v>
      </c>
      <c r="N133" s="14">
        <f>IF('Données projet'!$A$36&gt;35,N132+M133-V132,IF(A133&lt;'Données projet'!$A$36,$K$205^A133,IF(A133='Données projet'!$A$36,'Données projet'!$B$36,N132+M133-V132)))</f>
        <v>269.40000000000003</v>
      </c>
      <c r="O133" s="14">
        <f>N133*VLOOKUP('Données projet'!$B$9,Paramètres!$A$1:$I$89,3,0)*VLOOKUP('Données projet'!$B$9,Paramètres!$A$1:$I$89,5,0)</f>
        <v>243.75312000000002</v>
      </c>
      <c r="P133" s="14">
        <f t="shared" ref="P133:P196" si="141">EXP(-1.0587+0.8836*LN(O133)+0.284)</f>
        <v>59.246301841839156</v>
      </c>
      <c r="Q133" s="22">
        <f t="shared" si="108"/>
        <v>527.72399304120324</v>
      </c>
      <c r="R133" s="62">
        <f t="shared" si="109"/>
        <v>811.63427643463535</v>
      </c>
      <c r="S133" s="62">
        <f ca="1">AVERAGE(OFFSET($R$3,0,0,'Données projet'!$E$9+1,1))-AVERAGE(OFFSET($H$3,0,0,'Données projet'!$E$9+1,1))</f>
        <v>432.80275651765203</v>
      </c>
      <c r="T133" s="62">
        <f t="shared" ref="T133:T196" si="142">$T$3</f>
        <v>203.89279893419919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31.834287715271078</v>
      </c>
      <c r="AA133" s="23">
        <f>EXP(-LN(2)/25)*AA132+(1-EXP(-LN(2)/25))/(LN(2)/25)*Calculateur!V133*Calculateur!X133*VLOOKUP('Données projet'!$B$9,Paramètres!$A$1:$I$89,3,0)*0.475*44/12</f>
        <v>21.388674429296383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53.222962144567461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1.9895196601282805E-13</v>
      </c>
      <c r="AJ133" s="14">
        <f>AI133*VLOOKUP('Données projet'!$B$10,Paramètres!$A$1:$I$89,3,0)*VLOOKUP('Données projet'!$B$10,Paramètres!$A$1:$I$89,5,0)</f>
        <v>1.738044375088066E-13</v>
      </c>
      <c r="AK133" s="14">
        <f t="shared" ref="AK133:AK153" si="143">EXP(-1.0587+0.8836*LN(AJ133)+0.284)</f>
        <v>2.4483293633950478E-12</v>
      </c>
      <c r="AL133" s="22">
        <f t="shared" si="112"/>
        <v>4.566883036574213E-12</v>
      </c>
      <c r="AM133" s="62">
        <f t="shared" si="113"/>
        <v>283.91028339343666</v>
      </c>
      <c r="AN133" s="62">
        <f ca="1">AVERAGE(OFFSET($AM$3,0,0,'Données projet'!$E$10+1,1))-AVERAGE(OFFSET($H$3,0,0,'Données projet'!$E$10+1,1))</f>
        <v>341.62910675299065</v>
      </c>
      <c r="AO133" s="62">
        <f t="shared" ref="AO133:AO196" si="144">$AO$3</f>
        <v>407.15938341104709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31.512010846636226</v>
      </c>
      <c r="AV133" s="23">
        <f>EXP(-LN(2)/25)*AV132+(1-EXP(-LN(2)/25))/(LN(2)/25)*Calculateur!AQ133*Calculateur!AS133*VLOOKUP('Données projet'!$B$10,Paramètres!$A$1:$I$89,3,0)*0.475*44/12</f>
        <v>10.562839812537259</v>
      </c>
      <c r="AW133" s="23">
        <f>EXP(-LN(2)/2)*AW132+(1-EXP(-LN(2)/2))/(LN(2)/2)*AQ133*AT133*VLOOKUP('Données projet'!$B$10,Paramètres!$A$1:$I$89,3,0)*0.475*44/12</f>
        <v>3.8984877845245643E-10</v>
      </c>
      <c r="AX133" s="23">
        <f t="shared" si="114"/>
        <v>42.074850659563332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1.6405010683229191E-13</v>
      </c>
      <c r="BF133" s="14">
        <f t="shared" ref="BF133:BF153" si="145">EXP(-1.0587+0.8836*LN(BE133)+0.284)</f>
        <v>2.3265121008813928E-12</v>
      </c>
      <c r="BG133" s="22">
        <f t="shared" si="115"/>
        <v>4.337729178434667E-12</v>
      </c>
      <c r="BH133" s="62">
        <f t="shared" si="116"/>
        <v>283.91028339343643</v>
      </c>
      <c r="BI133" s="62">
        <f ca="1">AVERAGE(OFFSET($BH$3,0,0,'Données projet'!$E$11+1,1))-AVERAGE(OFFSET($H$3,0,0,'Données projet'!$E$11+1,1))</f>
        <v>405.94837980869011</v>
      </c>
      <c r="BJ133" s="62">
        <f t="shared" ref="BJ133:BJ196" si="146">$BJ$3</f>
        <v>511.37583835090879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74.749283637821421</v>
      </c>
      <c r="BQ133" s="23">
        <f>EXP(-LN(2)/25)*BQ132+(1-EXP(-LN(2)/25))/(LN(2)/25)*Calculateur!BL133*Calculateur!BN133*VLOOKUP('Données projet'!$B$11,Paramètres!$A$1:$I$89,3,0)*0.475*44/12</f>
        <v>3.1529745513588354</v>
      </c>
      <c r="BR133" s="23">
        <f>EXP(-LN(2)/2)*BR132+(1-EXP(-LN(2)/2))/(LN(2)/2)*BL133*BO133*VLOOKUP('Données projet'!$B$11,Paramètres!$A$1:$I$89,3,0)*0.475*44/12</f>
        <v>7.047747645750012E-13</v>
      </c>
      <c r="BS133" s="24">
        <f t="shared" si="117"/>
        <v>77.902258189180969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475</v>
      </c>
      <c r="BZ133" s="14">
        <f>BY133*VLOOKUP('Données projet'!$B$12,Paramètres!$A$1:$I$89,3,0)*VLOOKUP('Données projet'!$B$12,Paramètres!$A$1:$I$89,5,0)</f>
        <v>407.55</v>
      </c>
      <c r="CA133" s="14">
        <f t="shared" ref="CA133:CA153" si="147">EXP(-1.0587+0.8836*LN(BZ133)+0.284)</f>
        <v>93.305642095357683</v>
      </c>
      <c r="CB133" s="22">
        <f t="shared" si="118"/>
        <v>872.32357664941446</v>
      </c>
      <c r="CC133" s="62">
        <f t="shared" si="119"/>
        <v>1156.2338600428466</v>
      </c>
      <c r="CD133" s="62">
        <f ca="1">AVERAGE(OFFSET($CC$3,0,0,'Données projet'!$E$12+1,1))-AVERAGE(OFFSET($H$3,0,0,'Données projet'!$E$12+1,1))</f>
        <v>590.18141384962507</v>
      </c>
      <c r="CE133" s="62">
        <f t="shared" ref="CE133:CE196" si="148">$CE$3</f>
        <v>331.25104323342907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251.52917629237251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251.52917629237251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4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5.7</v>
      </c>
      <c r="N134" s="14">
        <f>IF('Données projet'!$A$36&gt;35,N133+M134-V133,IF(A134&lt;'Données projet'!$A$36,$K$205^A134,IF(A134='Données projet'!$A$36,'Données projet'!$B$36,N133+M134-V133)))</f>
        <v>275.10000000000002</v>
      </c>
      <c r="O134" s="14">
        <f>N134*VLOOKUP('Données projet'!$B$9,Paramètres!$A$1:$I$89,3,0)*VLOOKUP('Données projet'!$B$9,Paramètres!$A$1:$I$89,5,0)</f>
        <v>248.91048000000001</v>
      </c>
      <c r="P134" s="14">
        <f t="shared" si="141"/>
        <v>60.352577270773921</v>
      </c>
      <c r="Q134" s="22">
        <f t="shared" si="108"/>
        <v>538.63315807993115</v>
      </c>
      <c r="R134" s="62">
        <f t="shared" si="109"/>
        <v>822.70691032303694</v>
      </c>
      <c r="S134" s="62">
        <f ca="1">AVERAGE(OFFSET($R$3,0,0,'Données projet'!$E$9+1,1))-AVERAGE(OFFSET($H$3,0,0,'Données projet'!$E$9+1,1))</f>
        <v>432.80275651765203</v>
      </c>
      <c r="T134" s="62">
        <f t="shared" si="142"/>
        <v>203.89279893419919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31.210036750172851</v>
      </c>
      <c r="AA134" s="23">
        <f>EXP(-LN(2)/25)*AA133+(1-EXP(-LN(2)/25))/(LN(2)/25)*Calculateur!V134*Calculateur!X134*VLOOKUP('Données projet'!$B$9,Paramètres!$A$1:$I$89,3,0)*0.475*44/12</f>
        <v>20.803800002245769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52.013836752418619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1.9895196601282805E-13</v>
      </c>
      <c r="AJ134" s="14">
        <f>AI134*VLOOKUP('Données projet'!$B$10,Paramètres!$A$1:$I$89,3,0)*VLOOKUP('Données projet'!$B$10,Paramètres!$A$1:$I$89,5,0)</f>
        <v>1.738044375088066E-13</v>
      </c>
      <c r="AK134" s="14">
        <f t="shared" si="143"/>
        <v>2.4483293633950478E-12</v>
      </c>
      <c r="AL134" s="22">
        <f t="shared" si="112"/>
        <v>4.566883036574213E-12</v>
      </c>
      <c r="AM134" s="62">
        <f t="shared" si="113"/>
        <v>284.07375224311028</v>
      </c>
      <c r="AN134" s="62">
        <f ca="1">AVERAGE(OFFSET($AM$3,0,0,'Données projet'!$E$10+1,1))-AVERAGE(OFFSET($H$3,0,0,'Données projet'!$E$10+1,1))</f>
        <v>341.62910675299065</v>
      </c>
      <c r="AO134" s="62">
        <f t="shared" si="144"/>
        <v>407.15938341104709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30.894079534362447</v>
      </c>
      <c r="AV134" s="23">
        <f>EXP(-LN(2)/25)*AV133+(1-EXP(-LN(2)/25))/(LN(2)/25)*Calculateur!AQ134*Calculateur!AS134*VLOOKUP('Données projet'!$B$10,Paramètres!$A$1:$I$89,3,0)*0.475*44/12</f>
        <v>10.273998402387823</v>
      </c>
      <c r="AW134" s="23">
        <f>EXP(-LN(2)/2)*AW133+(1-EXP(-LN(2)/2))/(LN(2)/2)*AQ134*AT134*VLOOKUP('Données projet'!$B$10,Paramètres!$A$1:$I$89,3,0)*0.475*44/12</f>
        <v>2.7566471488102395E-10</v>
      </c>
      <c r="AX134" s="23">
        <f t="shared" si="114"/>
        <v>41.168077937025934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1.6405010683229191E-13</v>
      </c>
      <c r="BF134" s="14">
        <f t="shared" si="145"/>
        <v>2.3265121008813928E-12</v>
      </c>
      <c r="BG134" s="22">
        <f t="shared" si="115"/>
        <v>4.337729178434667E-12</v>
      </c>
      <c r="BH134" s="62">
        <f t="shared" si="116"/>
        <v>284.07375224311005</v>
      </c>
      <c r="BI134" s="62">
        <f ca="1">AVERAGE(OFFSET($BH$3,0,0,'Données projet'!$E$11+1,1))-AVERAGE(OFFSET($H$3,0,0,'Données projet'!$E$11+1,1))</f>
        <v>405.94837980869011</v>
      </c>
      <c r="BJ134" s="62">
        <f t="shared" si="146"/>
        <v>511.37583835090879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73.28349577824487</v>
      </c>
      <c r="BQ134" s="23">
        <f>EXP(-LN(2)/25)*BQ133+(1-EXP(-LN(2)/25))/(LN(2)/25)*Calculateur!BL134*Calculateur!BN134*VLOOKUP('Données projet'!$B$11,Paramètres!$A$1:$I$89,3,0)*0.475*44/12</f>
        <v>3.0667562964442028</v>
      </c>
      <c r="BR134" s="23">
        <f>EXP(-LN(2)/2)*BR133+(1-EXP(-LN(2)/2))/(LN(2)/2)*BL134*BO134*VLOOKUP('Données projet'!$B$11,Paramètres!$A$1:$I$89,3,0)*0.475*44/12</f>
        <v>4.9835101524013592E-13</v>
      </c>
      <c r="BS134" s="24">
        <f t="shared" si="117"/>
        <v>76.350252074689564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475</v>
      </c>
      <c r="BZ134" s="14">
        <f>BY134*VLOOKUP('Données projet'!$B$12,Paramètres!$A$1:$I$89,3,0)*VLOOKUP('Données projet'!$B$12,Paramètres!$A$1:$I$89,5,0)</f>
        <v>407.55</v>
      </c>
      <c r="CA134" s="14">
        <f t="shared" si="147"/>
        <v>93.305642095357683</v>
      </c>
      <c r="CB134" s="22">
        <f t="shared" si="118"/>
        <v>872.32357664941446</v>
      </c>
      <c r="CC134" s="62">
        <f t="shared" si="119"/>
        <v>1156.3973288925201</v>
      </c>
      <c r="CD134" s="62">
        <f ca="1">AVERAGE(OFFSET($CC$3,0,0,'Données projet'!$E$12+1,1))-AVERAGE(OFFSET($H$3,0,0,'Données projet'!$E$12+1,1))</f>
        <v>590.18141384962507</v>
      </c>
      <c r="CE134" s="62">
        <f t="shared" si="148"/>
        <v>331.25104323342907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246.59684256292789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246.59684256292789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4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5.7</v>
      </c>
      <c r="N135" s="14">
        <f>IF('Données projet'!$A$36&gt;35,N134+M135-V134,IF(A135&lt;'Données projet'!$A$36,$K$205^A135,IF(A135='Données projet'!$A$36,'Données projet'!$B$36,N134+M135-V134)))</f>
        <v>280.8</v>
      </c>
      <c r="O135" s="14">
        <f>N135*VLOOKUP('Données projet'!$B$9,Paramètres!$A$1:$I$89,3,0)*VLOOKUP('Données projet'!$B$9,Paramètres!$A$1:$I$89,5,0)</f>
        <v>254.06784000000002</v>
      </c>
      <c r="P135" s="14">
        <f t="shared" si="141"/>
        <v>61.456187622750775</v>
      </c>
      <c r="Q135" s="22">
        <f t="shared" si="108"/>
        <v>549.53768144295771</v>
      </c>
      <c r="R135" s="62">
        <f t="shared" si="109"/>
        <v>833.77206671665681</v>
      </c>
      <c r="S135" s="62">
        <f ca="1">AVERAGE(OFFSET($R$3,0,0,'Données projet'!$E$9+1,1))-AVERAGE(OFFSET($H$3,0,0,'Données projet'!$E$9+1,1))</f>
        <v>432.80275651765203</v>
      </c>
      <c r="T135" s="62">
        <f t="shared" si="142"/>
        <v>203.89279893419919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30.598026965744705</v>
      </c>
      <c r="AA135" s="23">
        <f>EXP(-LN(2)/25)*AA134+(1-EXP(-LN(2)/25))/(LN(2)/25)*Calculateur!V135*Calculateur!X135*VLOOKUP('Données projet'!$B$9,Paramètres!$A$1:$I$89,3,0)*0.475*44/12</f>
        <v>20.234918997160065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50.832945962904773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1.9895196601282805E-13</v>
      </c>
      <c r="AJ135" s="14">
        <f>AI135*VLOOKUP('Données projet'!$B$10,Paramètres!$A$1:$I$89,3,0)*VLOOKUP('Données projet'!$B$10,Paramètres!$A$1:$I$89,5,0)</f>
        <v>1.738044375088066E-13</v>
      </c>
      <c r="AK135" s="14">
        <f t="shared" si="143"/>
        <v>2.4483293633950478E-12</v>
      </c>
      <c r="AL135" s="22">
        <f t="shared" si="112"/>
        <v>4.566883036574213E-12</v>
      </c>
      <c r="AM135" s="62">
        <f t="shared" si="113"/>
        <v>284.23438527370371</v>
      </c>
      <c r="AN135" s="62">
        <f ca="1">AVERAGE(OFFSET($AM$3,0,0,'Données projet'!$E$10+1,1))-AVERAGE(OFFSET($H$3,0,0,'Données projet'!$E$10+1,1))</f>
        <v>341.62910675299065</v>
      </c>
      <c r="AO135" s="62">
        <f t="shared" si="144"/>
        <v>407.15938341104709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30.288265478221472</v>
      </c>
      <c r="AV135" s="23">
        <f>EXP(-LN(2)/25)*AV134+(1-EXP(-LN(2)/25))/(LN(2)/25)*Calculateur!AQ135*Calculateur!AS135*VLOOKUP('Données projet'!$B$10,Paramètres!$A$1:$I$89,3,0)*0.475*44/12</f>
        <v>9.9930553757884333</v>
      </c>
      <c r="AW135" s="23">
        <f>EXP(-LN(2)/2)*AW134+(1-EXP(-LN(2)/2))/(LN(2)/2)*AQ135*AT135*VLOOKUP('Données projet'!$B$10,Paramètres!$A$1:$I$89,3,0)*0.475*44/12</f>
        <v>1.9492438922622821E-10</v>
      </c>
      <c r="AX135" s="23">
        <f t="shared" si="114"/>
        <v>40.281320854204829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1.6405010683229191E-13</v>
      </c>
      <c r="BF135" s="14">
        <f t="shared" si="145"/>
        <v>2.3265121008813928E-12</v>
      </c>
      <c r="BG135" s="22">
        <f t="shared" si="115"/>
        <v>4.337729178434667E-12</v>
      </c>
      <c r="BH135" s="62">
        <f t="shared" si="116"/>
        <v>284.23438527370348</v>
      </c>
      <c r="BI135" s="62">
        <f ca="1">AVERAGE(OFFSET($BH$3,0,0,'Données projet'!$E$11+1,1))-AVERAGE(OFFSET($H$3,0,0,'Données projet'!$E$11+1,1))</f>
        <v>405.94837980869011</v>
      </c>
      <c r="BJ135" s="62">
        <f t="shared" si="146"/>
        <v>511.37583835090879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71.846451124552303</v>
      </c>
      <c r="BQ135" s="23">
        <f>EXP(-LN(2)/25)*BQ134+(1-EXP(-LN(2)/25))/(LN(2)/25)*Calculateur!BL135*Calculateur!BN135*VLOOKUP('Données projet'!$B$11,Paramètres!$A$1:$I$89,3,0)*0.475*44/12</f>
        <v>2.9828956842442316</v>
      </c>
      <c r="BR135" s="23">
        <f>EXP(-LN(2)/2)*BR134+(1-EXP(-LN(2)/2))/(LN(2)/2)*BL135*BO135*VLOOKUP('Données projet'!$B$11,Paramètres!$A$1:$I$89,3,0)*0.475*44/12</f>
        <v>3.523873822875006E-13</v>
      </c>
      <c r="BS135" s="24">
        <f t="shared" si="117"/>
        <v>74.829346808796885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475</v>
      </c>
      <c r="BZ135" s="14">
        <f>BY135*VLOOKUP('Données projet'!$B$12,Paramètres!$A$1:$I$89,3,0)*VLOOKUP('Données projet'!$B$12,Paramètres!$A$1:$I$89,5,0)</f>
        <v>407.55</v>
      </c>
      <c r="CA135" s="14">
        <f t="shared" si="147"/>
        <v>93.305642095357683</v>
      </c>
      <c r="CB135" s="22">
        <f t="shared" si="118"/>
        <v>872.32357664941446</v>
      </c>
      <c r="CC135" s="62">
        <f t="shared" si="119"/>
        <v>1156.5579619231137</v>
      </c>
      <c r="CD135" s="62">
        <f ca="1">AVERAGE(OFFSET($CC$3,0,0,'Données projet'!$E$12+1,1))-AVERAGE(OFFSET($H$3,0,0,'Données projet'!$E$12+1,1))</f>
        <v>590.18141384962507</v>
      </c>
      <c r="CE135" s="62">
        <f t="shared" si="148"/>
        <v>331.25104323342907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241.76122888949115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241.76122888949115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4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5.7</v>
      </c>
      <c r="N136" s="14">
        <f>IF('Données projet'!$A$36&gt;35,N135+M136-V135,IF(A136&lt;'Données projet'!$A$36,$K$205^A136,IF(A136='Données projet'!$A$36,'Données projet'!$B$36,N135+M136-V135)))</f>
        <v>286.5</v>
      </c>
      <c r="O136" s="14">
        <f>N136*VLOOKUP('Données projet'!$B$9,Paramètres!$A$1:$I$89,3,0)*VLOOKUP('Données projet'!$B$9,Paramètres!$A$1:$I$89,5,0)</f>
        <v>259.22519999999997</v>
      </c>
      <c r="P136" s="14">
        <f t="shared" si="141"/>
        <v>62.557193230719982</v>
      </c>
      <c r="Q136" s="22">
        <f t="shared" si="108"/>
        <v>560.4376682101705</v>
      </c>
      <c r="R136" s="62">
        <f t="shared" si="109"/>
        <v>844.82989989050384</v>
      </c>
      <c r="S136" s="62">
        <f ca="1">AVERAGE(OFFSET($R$3,0,0,'Données projet'!$E$9+1,1))-AVERAGE(OFFSET($H$3,0,0,'Données projet'!$E$9+1,1))</f>
        <v>432.80275651765203</v>
      </c>
      <c r="T136" s="62">
        <f t="shared" si="142"/>
        <v>203.89279893419919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29.998018319900087</v>
      </c>
      <c r="AA136" s="23">
        <f>EXP(-LN(2)/25)*AA135+(1-EXP(-LN(2)/25))/(LN(2)/25)*Calculateur!V136*Calculateur!X136*VLOOKUP('Données projet'!$B$9,Paramètres!$A$1:$I$89,3,0)*0.475*44/12</f>
        <v>19.681594073074582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49.679612392974668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1.9895196601282805E-13</v>
      </c>
      <c r="AJ136" s="14">
        <f>AI136*VLOOKUP('Données projet'!$B$10,Paramètres!$A$1:$I$89,3,0)*VLOOKUP('Données projet'!$B$10,Paramètres!$A$1:$I$89,5,0)</f>
        <v>1.738044375088066E-13</v>
      </c>
      <c r="AK136" s="14">
        <f t="shared" si="143"/>
        <v>2.4483293633950478E-12</v>
      </c>
      <c r="AL136" s="22">
        <f t="shared" si="112"/>
        <v>4.566883036574213E-12</v>
      </c>
      <c r="AM136" s="62">
        <f t="shared" si="113"/>
        <v>284.39223168033794</v>
      </c>
      <c r="AN136" s="62">
        <f ca="1">AVERAGE(OFFSET($AM$3,0,0,'Données projet'!$E$10+1,1))-AVERAGE(OFFSET($H$3,0,0,'Données projet'!$E$10+1,1))</f>
        <v>341.62910675299065</v>
      </c>
      <c r="AO136" s="62">
        <f t="shared" si="144"/>
        <v>407.15938341104709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29.694331066211333</v>
      </c>
      <c r="AV136" s="23">
        <f>EXP(-LN(2)/25)*AV135+(1-EXP(-LN(2)/25))/(LN(2)/25)*Calculateur!AQ136*Calculateur!AS136*VLOOKUP('Données projet'!$B$10,Paramètres!$A$1:$I$89,3,0)*0.475*44/12</f>
        <v>9.7197947510255567</v>
      </c>
      <c r="AW136" s="23">
        <f>EXP(-LN(2)/2)*AW135+(1-EXP(-LN(2)/2))/(LN(2)/2)*AQ136*AT136*VLOOKUP('Données projet'!$B$10,Paramètres!$A$1:$I$89,3,0)*0.475*44/12</f>
        <v>1.3783235744051197E-10</v>
      </c>
      <c r="AX136" s="23">
        <f t="shared" si="114"/>
        <v>39.414125817374725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1.6405010683229191E-13</v>
      </c>
      <c r="BF136" s="14">
        <f t="shared" si="145"/>
        <v>2.3265121008813928E-12</v>
      </c>
      <c r="BG136" s="22">
        <f t="shared" si="115"/>
        <v>4.337729178434667E-12</v>
      </c>
      <c r="BH136" s="62">
        <f t="shared" si="116"/>
        <v>284.39223168033772</v>
      </c>
      <c r="BI136" s="62">
        <f ca="1">AVERAGE(OFFSET($BH$3,0,0,'Données projet'!$E$11+1,1))-AVERAGE(OFFSET($H$3,0,0,'Données projet'!$E$11+1,1))</f>
        <v>405.94837980869011</v>
      </c>
      <c r="BJ136" s="62">
        <f t="shared" si="146"/>
        <v>511.37583835090879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70.437586040007957</v>
      </c>
      <c r="BQ136" s="23">
        <f>EXP(-LN(2)/25)*BQ135+(1-EXP(-LN(2)/25))/(LN(2)/25)*Calculateur!BL136*Calculateur!BN136*VLOOKUP('Données projet'!$B$11,Paramètres!$A$1:$I$89,3,0)*0.475*44/12</f>
        <v>2.9013282448949065</v>
      </c>
      <c r="BR136" s="23">
        <f>EXP(-LN(2)/2)*BR135+(1-EXP(-LN(2)/2))/(LN(2)/2)*BL136*BO136*VLOOKUP('Données projet'!$B$11,Paramètres!$A$1:$I$89,3,0)*0.475*44/12</f>
        <v>2.4917550762006796E-13</v>
      </c>
      <c r="BS136" s="24">
        <f t="shared" si="117"/>
        <v>73.338914284903126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475</v>
      </c>
      <c r="BZ136" s="14">
        <f>BY136*VLOOKUP('Données projet'!$B$12,Paramètres!$A$1:$I$89,3,0)*VLOOKUP('Données projet'!$B$12,Paramètres!$A$1:$I$89,5,0)</f>
        <v>407.55</v>
      </c>
      <c r="CA136" s="14">
        <f t="shared" si="147"/>
        <v>93.305642095357683</v>
      </c>
      <c r="CB136" s="22">
        <f t="shared" si="118"/>
        <v>872.32357664941446</v>
      </c>
      <c r="CC136" s="62">
        <f t="shared" si="119"/>
        <v>1156.7158083297479</v>
      </c>
      <c r="CD136" s="62">
        <f ca="1">AVERAGE(OFFSET($CC$3,0,0,'Données projet'!$E$12+1,1))-AVERAGE(OFFSET($H$3,0,0,'Données projet'!$E$12+1,1))</f>
        <v>590.18141384962507</v>
      </c>
      <c r="CE136" s="62">
        <f t="shared" si="148"/>
        <v>331.25104323342907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237.0204386507574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237.0204386507574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4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5.7</v>
      </c>
      <c r="N137" s="14">
        <f>IF('Données projet'!$A$36&gt;35,N136+M137-V136,IF(A137&lt;'Données projet'!$A$36,$K$205^A137,IF(A137='Données projet'!$A$36,'Données projet'!$B$36,N136+M137-V136)))</f>
        <v>292.2</v>
      </c>
      <c r="O137" s="14">
        <f>N137*VLOOKUP('Données projet'!$B$9,Paramètres!$A$1:$I$89,3,0)*VLOOKUP('Données projet'!$B$9,Paramètres!$A$1:$I$89,5,0)</f>
        <v>264.38255999999996</v>
      </c>
      <c r="P137" s="14">
        <f t="shared" si="141"/>
        <v>63.655651889666466</v>
      </c>
      <c r="Q137" s="22">
        <f t="shared" si="108"/>
        <v>571.33321904116895</v>
      </c>
      <c r="R137" s="62">
        <f t="shared" si="109"/>
        <v>855.88055884587322</v>
      </c>
      <c r="S137" s="62">
        <f ca="1">AVERAGE(OFFSET($R$3,0,0,'Données projet'!$E$9+1,1))-AVERAGE(OFFSET($H$3,0,0,'Données projet'!$E$9+1,1))</f>
        <v>432.80275651765203</v>
      </c>
      <c r="T137" s="62">
        <f t="shared" si="142"/>
        <v>203.89279893419919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29.409775477631346</v>
      </c>
      <c r="AA137" s="23">
        <f>EXP(-LN(2)/25)*AA136+(1-EXP(-LN(2)/25))/(LN(2)/25)*Calculateur!V137*Calculateur!X137*VLOOKUP('Données projet'!$B$9,Paramètres!$A$1:$I$89,3,0)*0.475*44/12</f>
        <v>19.143399848136308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48.553175325767654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1.9895196601282805E-13</v>
      </c>
      <c r="AJ137" s="14">
        <f>AI137*VLOOKUP('Données projet'!$B$10,Paramètres!$A$1:$I$89,3,0)*VLOOKUP('Données projet'!$B$10,Paramètres!$A$1:$I$89,5,0)</f>
        <v>1.738044375088066E-13</v>
      </c>
      <c r="AK137" s="14">
        <f t="shared" si="143"/>
        <v>2.4483293633950478E-12</v>
      </c>
      <c r="AL137" s="22">
        <f t="shared" si="112"/>
        <v>4.566883036574213E-12</v>
      </c>
      <c r="AM137" s="62">
        <f t="shared" si="113"/>
        <v>284.54733980470883</v>
      </c>
      <c r="AN137" s="62">
        <f ca="1">AVERAGE(OFFSET($AM$3,0,0,'Données projet'!$E$10+1,1))-AVERAGE(OFFSET($H$3,0,0,'Données projet'!$E$10+1,1))</f>
        <v>341.62910675299065</v>
      </c>
      <c r="AO137" s="62">
        <f t="shared" si="144"/>
        <v>407.15938341104709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29.112043345756494</v>
      </c>
      <c r="AV137" s="23">
        <f>EXP(-LN(2)/25)*AV136+(1-EXP(-LN(2)/25))/(LN(2)/25)*Calculateur!AQ137*Calculateur!AS137*VLOOKUP('Données projet'!$B$10,Paramètres!$A$1:$I$89,3,0)*0.475*44/12</f>
        <v>9.4540064524169711</v>
      </c>
      <c r="AW137" s="23">
        <f>EXP(-LN(2)/2)*AW136+(1-EXP(-LN(2)/2))/(LN(2)/2)*AQ137*AT137*VLOOKUP('Données projet'!$B$10,Paramètres!$A$1:$I$89,3,0)*0.475*44/12</f>
        <v>9.7462194613114107E-11</v>
      </c>
      <c r="AX137" s="23">
        <f t="shared" si="114"/>
        <v>38.566049798270932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1.6405010683229191E-13</v>
      </c>
      <c r="BF137" s="14">
        <f t="shared" si="145"/>
        <v>2.3265121008813928E-12</v>
      </c>
      <c r="BG137" s="22">
        <f t="shared" si="115"/>
        <v>4.337729178434667E-12</v>
      </c>
      <c r="BH137" s="62">
        <f t="shared" si="116"/>
        <v>284.5473398047086</v>
      </c>
      <c r="BI137" s="62">
        <f ca="1">AVERAGE(OFFSET($BH$3,0,0,'Données projet'!$E$11+1,1))-AVERAGE(OFFSET($H$3,0,0,'Données projet'!$E$11+1,1))</f>
        <v>405.94837980869011</v>
      </c>
      <c r="BJ137" s="62">
        <f t="shared" si="146"/>
        <v>511.37583835090879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69.056347940448674</v>
      </c>
      <c r="BQ137" s="23">
        <f>EXP(-LN(2)/25)*BQ136+(1-EXP(-LN(2)/25))/(LN(2)/25)*Calculateur!BL137*Calculateur!BN137*VLOOKUP('Données projet'!$B$11,Paramètres!$A$1:$I$89,3,0)*0.475*44/12</f>
        <v>2.8219912714640341</v>
      </c>
      <c r="BR137" s="23">
        <f>EXP(-LN(2)/2)*BR136+(1-EXP(-LN(2)/2))/(LN(2)/2)*BL137*BO137*VLOOKUP('Données projet'!$B$11,Paramètres!$A$1:$I$89,3,0)*0.475*44/12</f>
        <v>1.761936911437503E-13</v>
      </c>
      <c r="BS137" s="24">
        <f t="shared" si="117"/>
        <v>71.878339211912873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475</v>
      </c>
      <c r="BZ137" s="14">
        <f>BY137*VLOOKUP('Données projet'!$B$12,Paramètres!$A$1:$I$89,3,0)*VLOOKUP('Données projet'!$B$12,Paramètres!$A$1:$I$89,5,0)</f>
        <v>407.55</v>
      </c>
      <c r="CA137" s="14">
        <f t="shared" si="147"/>
        <v>93.305642095357683</v>
      </c>
      <c r="CB137" s="22">
        <f t="shared" si="118"/>
        <v>872.32357664941446</v>
      </c>
      <c r="CC137" s="62">
        <f t="shared" si="119"/>
        <v>1156.8709164541187</v>
      </c>
      <c r="CD137" s="62">
        <f ca="1">AVERAGE(OFFSET($CC$3,0,0,'Données projet'!$E$12+1,1))-AVERAGE(OFFSET($H$3,0,0,'Données projet'!$E$12+1,1))</f>
        <v>590.18141384962507</v>
      </c>
      <c r="CE137" s="62">
        <f t="shared" si="148"/>
        <v>331.25104323342907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232.3726124170087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232.3726124170087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4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5.7</v>
      </c>
      <c r="N138" s="14">
        <f>IF('Données projet'!$A$36&gt;35,N137+M138-V137,IF(A138&lt;'Données projet'!$A$36,$K$205^A138,IF(A138='Données projet'!$A$36,'Données projet'!$B$36,N137+M138-V137)))</f>
        <v>297.89999999999998</v>
      </c>
      <c r="O138" s="14">
        <f>N138*VLOOKUP('Données projet'!$B$9,Paramètres!$A$1:$I$89,3,0)*VLOOKUP('Données projet'!$B$9,Paramètres!$A$1:$I$89,5,0)</f>
        <v>269.53992</v>
      </c>
      <c r="P138" s="14">
        <f t="shared" si="141"/>
        <v>64.751619010762369</v>
      </c>
      <c r="Q138" s="22">
        <f t="shared" si="108"/>
        <v>582.22443044374438</v>
      </c>
      <c r="R138" s="62">
        <f t="shared" si="109"/>
        <v>866.92418759363159</v>
      </c>
      <c r="S138" s="62">
        <f ca="1">AVERAGE(OFFSET($R$3,0,0,'Données projet'!$E$9+1,1))-AVERAGE(OFFSET($H$3,0,0,'Données projet'!$E$9+1,1))</f>
        <v>432.80275651765203</v>
      </c>
      <c r="T138" s="62">
        <f t="shared" si="142"/>
        <v>203.89279893419919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28.833067718706786</v>
      </c>
      <c r="AA138" s="23">
        <f>EXP(-LN(2)/25)*AA137+(1-EXP(-LN(2)/25))/(LN(2)/25)*Calculateur!V138*Calculateur!X138*VLOOKUP('Données projet'!$B$9,Paramètres!$A$1:$I$89,3,0)*0.475*44/12</f>
        <v>18.619922572581377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47.45299029128816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1.9895196601282805E-13</v>
      </c>
      <c r="AJ138" s="14">
        <f>AI138*VLOOKUP('Données projet'!$B$10,Paramètres!$A$1:$I$89,3,0)*VLOOKUP('Données projet'!$B$10,Paramètres!$A$1:$I$89,5,0)</f>
        <v>1.738044375088066E-13</v>
      </c>
      <c r="AK138" s="14">
        <f t="shared" si="143"/>
        <v>2.4483293633950478E-12</v>
      </c>
      <c r="AL138" s="22">
        <f t="shared" si="112"/>
        <v>4.566883036574213E-12</v>
      </c>
      <c r="AM138" s="62">
        <f t="shared" si="113"/>
        <v>284.6997571498917</v>
      </c>
      <c r="AN138" s="62">
        <f ca="1">AVERAGE(OFFSET($AM$3,0,0,'Données projet'!$E$10+1,1))-AVERAGE(OFFSET($H$3,0,0,'Données projet'!$E$10+1,1))</f>
        <v>341.62910675299065</v>
      </c>
      <c r="AO138" s="62">
        <f t="shared" si="144"/>
        <v>407.15938341104709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28.541173932339333</v>
      </c>
      <c r="AV138" s="23">
        <f>EXP(-LN(2)/25)*AV137+(1-EXP(-LN(2)/25))/(LN(2)/25)*Calculateur!AQ138*Calculateur!AS138*VLOOKUP('Données projet'!$B$10,Paramètres!$A$1:$I$89,3,0)*0.475*44/12</f>
        <v>9.1954861488110371</v>
      </c>
      <c r="AW138" s="23">
        <f>EXP(-LN(2)/2)*AW137+(1-EXP(-LN(2)/2))/(LN(2)/2)*AQ138*AT138*VLOOKUP('Données projet'!$B$10,Paramètres!$A$1:$I$89,3,0)*0.475*44/12</f>
        <v>6.8916178720255986E-11</v>
      </c>
      <c r="AX138" s="23">
        <f t="shared" si="114"/>
        <v>37.736660081219284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1.6405010683229191E-13</v>
      </c>
      <c r="BF138" s="14">
        <f t="shared" si="145"/>
        <v>2.3265121008813928E-12</v>
      </c>
      <c r="BG138" s="22">
        <f t="shared" si="115"/>
        <v>4.337729178434667E-12</v>
      </c>
      <c r="BH138" s="62">
        <f t="shared" si="116"/>
        <v>284.69975714989147</v>
      </c>
      <c r="BI138" s="62">
        <f ca="1">AVERAGE(OFFSET($BH$3,0,0,'Données projet'!$E$11+1,1))-AVERAGE(OFFSET($H$3,0,0,'Données projet'!$E$11+1,1))</f>
        <v>405.94837980869011</v>
      </c>
      <c r="BJ138" s="62">
        <f t="shared" si="146"/>
        <v>511.37583835090879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67.702195077549689</v>
      </c>
      <c r="BQ138" s="23">
        <f>EXP(-LN(2)/25)*BQ137+(1-EXP(-LN(2)/25))/(LN(2)/25)*Calculateur!BL138*Calculateur!BN138*VLOOKUP('Données projet'!$B$11,Paramètres!$A$1:$I$89,3,0)*0.475*44/12</f>
        <v>2.7448237717437789</v>
      </c>
      <c r="BR138" s="23">
        <f>EXP(-LN(2)/2)*BR137+(1-EXP(-LN(2)/2))/(LN(2)/2)*BL138*BO138*VLOOKUP('Données projet'!$B$11,Paramètres!$A$1:$I$89,3,0)*0.475*44/12</f>
        <v>1.2458775381003398E-13</v>
      </c>
      <c r="BS138" s="24">
        <f t="shared" si="117"/>
        <v>70.447018849293599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475</v>
      </c>
      <c r="BZ138" s="14">
        <f>BY138*VLOOKUP('Données projet'!$B$12,Paramètres!$A$1:$I$89,3,0)*VLOOKUP('Données projet'!$B$12,Paramètres!$A$1:$I$89,5,0)</f>
        <v>407.55</v>
      </c>
      <c r="CA138" s="14">
        <f t="shared" si="147"/>
        <v>93.305642095357683</v>
      </c>
      <c r="CB138" s="22">
        <f t="shared" si="118"/>
        <v>872.32357664941446</v>
      </c>
      <c r="CC138" s="62">
        <f t="shared" si="119"/>
        <v>1157.0233337993016</v>
      </c>
      <c r="CD138" s="62">
        <f ca="1">AVERAGE(OFFSET($CC$3,0,0,'Données projet'!$E$12+1,1))-AVERAGE(OFFSET($H$3,0,0,'Données projet'!$E$12+1,1))</f>
        <v>590.18141384962507</v>
      </c>
      <c r="CE138" s="62">
        <f t="shared" si="148"/>
        <v>331.25104323342907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227.81592722080973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227.81592722080973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4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5.7</v>
      </c>
      <c r="N139" s="14">
        <f>IF('Données projet'!$A$36&gt;35,N138+M139-V138,IF(A139&lt;'Données projet'!$A$36,$K$205^A139,IF(A139='Données projet'!$A$36,'Données projet'!$B$36,N138+M139-V138)))</f>
        <v>303.59999999999997</v>
      </c>
      <c r="O139" s="14">
        <f>N139*VLOOKUP('Données projet'!$B$9,Paramètres!$A$1:$I$89,3,0)*VLOOKUP('Données projet'!$B$9,Paramètres!$A$1:$I$89,5,0)</f>
        <v>274.69727999999998</v>
      </c>
      <c r="P139" s="14">
        <f t="shared" si="141"/>
        <v>65.845147763387502</v>
      </c>
      <c r="Q139" s="22">
        <f t="shared" si="108"/>
        <v>593.11139502123308</v>
      </c>
      <c r="R139" s="62">
        <f t="shared" si="109"/>
        <v>877.96092541611824</v>
      </c>
      <c r="S139" s="62">
        <f ca="1">AVERAGE(OFFSET($R$3,0,0,'Données projet'!$E$9+1,1))-AVERAGE(OFFSET($H$3,0,0,'Données projet'!$E$9+1,1))</f>
        <v>432.80275651765203</v>
      </c>
      <c r="T139" s="62">
        <f t="shared" si="142"/>
        <v>203.89279893419919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28.267668847177738</v>
      </c>
      <c r="AA139" s="23">
        <f>EXP(-LN(2)/25)*AA138+(1-EXP(-LN(2)/25))/(LN(2)/25)*Calculateur!V139*Calculateur!X139*VLOOKUP('Données projet'!$B$9,Paramètres!$A$1:$I$89,3,0)*0.475*44/12</f>
        <v>18.110759810654969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46.378428657832707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1.9895196601282805E-13</v>
      </c>
      <c r="AJ139" s="14">
        <f>AI139*VLOOKUP('Données projet'!$B$10,Paramètres!$A$1:$I$89,3,0)*VLOOKUP('Données projet'!$B$10,Paramètres!$A$1:$I$89,5,0)</f>
        <v>1.738044375088066E-13</v>
      </c>
      <c r="AK139" s="14">
        <f t="shared" si="143"/>
        <v>2.4483293633950478E-12</v>
      </c>
      <c r="AL139" s="22">
        <f t="shared" si="112"/>
        <v>4.566883036574213E-12</v>
      </c>
      <c r="AM139" s="62">
        <f t="shared" si="113"/>
        <v>284.84953039488977</v>
      </c>
      <c r="AN139" s="62">
        <f ca="1">AVERAGE(OFFSET($AM$3,0,0,'Données projet'!$E$10+1,1))-AVERAGE(OFFSET($H$3,0,0,'Données projet'!$E$10+1,1))</f>
        <v>341.62910675299065</v>
      </c>
      <c r="AO139" s="62">
        <f t="shared" si="144"/>
        <v>407.15938341104709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27.981498919923322</v>
      </c>
      <c r="AV139" s="23">
        <f>EXP(-LN(2)/25)*AV138+(1-EXP(-LN(2)/25))/(LN(2)/25)*Calculateur!AQ139*Calculateur!AS139*VLOOKUP('Données projet'!$B$10,Paramètres!$A$1:$I$89,3,0)*0.475*44/12</f>
        <v>8.9440350965021995</v>
      </c>
      <c r="AW139" s="23">
        <f>EXP(-LN(2)/2)*AW138+(1-EXP(-LN(2)/2))/(LN(2)/2)*AQ139*AT139*VLOOKUP('Données projet'!$B$10,Paramètres!$A$1:$I$89,3,0)*0.475*44/12</f>
        <v>4.8731097306557054E-11</v>
      </c>
      <c r="AX139" s="23">
        <f t="shared" si="114"/>
        <v>36.925534016474252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1.6405010683229191E-13</v>
      </c>
      <c r="BF139" s="14">
        <f t="shared" si="145"/>
        <v>2.3265121008813928E-12</v>
      </c>
      <c r="BG139" s="22">
        <f t="shared" si="115"/>
        <v>4.337729178434667E-12</v>
      </c>
      <c r="BH139" s="62">
        <f t="shared" si="116"/>
        <v>284.84953039488954</v>
      </c>
      <c r="BI139" s="62">
        <f ca="1">AVERAGE(OFFSET($BH$3,0,0,'Données projet'!$E$11+1,1))-AVERAGE(OFFSET($H$3,0,0,'Données projet'!$E$11+1,1))</f>
        <v>405.94837980869011</v>
      </c>
      <c r="BJ139" s="62">
        <f t="shared" si="146"/>
        <v>511.37583835090879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66.374596326340466</v>
      </c>
      <c r="BQ139" s="23">
        <f>EXP(-LN(2)/25)*BQ138+(1-EXP(-LN(2)/25))/(LN(2)/25)*Calculateur!BL139*Calculateur!BN139*VLOOKUP('Données projet'!$B$11,Paramètres!$A$1:$I$89,3,0)*0.475*44/12</f>
        <v>2.6697664213614365</v>
      </c>
      <c r="BR139" s="23">
        <f>EXP(-LN(2)/2)*BR138+(1-EXP(-LN(2)/2))/(LN(2)/2)*BL139*BO139*VLOOKUP('Données projet'!$B$11,Paramètres!$A$1:$I$89,3,0)*0.475*44/12</f>
        <v>8.8096845571875151E-14</v>
      </c>
      <c r="BS139" s="24">
        <f t="shared" si="117"/>
        <v>69.044362747701982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475</v>
      </c>
      <c r="BZ139" s="14">
        <f>BY139*VLOOKUP('Données projet'!$B$12,Paramètres!$A$1:$I$89,3,0)*VLOOKUP('Données projet'!$B$12,Paramètres!$A$1:$I$89,5,0)</f>
        <v>407.55</v>
      </c>
      <c r="CA139" s="14">
        <f t="shared" si="147"/>
        <v>93.305642095357683</v>
      </c>
      <c r="CB139" s="22">
        <f t="shared" si="118"/>
        <v>872.32357664941446</v>
      </c>
      <c r="CC139" s="62">
        <f t="shared" si="119"/>
        <v>1157.1731070442997</v>
      </c>
      <c r="CD139" s="62">
        <f ca="1">AVERAGE(OFFSET($CC$3,0,0,'Données projet'!$E$12+1,1))-AVERAGE(OFFSET($H$3,0,0,'Données projet'!$E$12+1,1))</f>
        <v>590.18141384962507</v>
      </c>
      <c r="CE139" s="62">
        <f t="shared" si="148"/>
        <v>331.25104323342907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223.3485958420047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223.3485958420047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4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5.7</v>
      </c>
      <c r="N140" s="14">
        <f>IF('Données projet'!$A$36&gt;35,N139+M140-V139,IF(A140&lt;'Données projet'!$A$36,$K$205^A140,IF(A140='Données projet'!$A$36,'Données projet'!$B$36,N139+M140-V139)))</f>
        <v>309.29999999999995</v>
      </c>
      <c r="O140" s="14">
        <f>N140*VLOOKUP('Données projet'!$B$9,Paramètres!$A$1:$I$89,3,0)*VLOOKUP('Données projet'!$B$9,Paramètres!$A$1:$I$89,5,0)</f>
        <v>279.8546399999999</v>
      </c>
      <c r="P140" s="14">
        <f t="shared" si="141"/>
        <v>66.936289206183446</v>
      </c>
      <c r="Q140" s="22">
        <f t="shared" si="108"/>
        <v>603.99420170076939</v>
      </c>
      <c r="R140" s="62">
        <f t="shared" si="109"/>
        <v>888.99090710969472</v>
      </c>
      <c r="S140" s="62">
        <f ca="1">AVERAGE(OFFSET($R$3,0,0,'Données projet'!$E$9+1,1))-AVERAGE(OFFSET($H$3,0,0,'Données projet'!$E$9+1,1))</f>
        <v>432.80275651765203</v>
      </c>
      <c r="T140" s="62">
        <f t="shared" si="142"/>
        <v>203.89279893419919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27.713357102660115</v>
      </c>
      <c r="AA140" s="23">
        <f>EXP(-LN(2)/25)*AA139+(1-EXP(-LN(2)/25))/(LN(2)/25)*Calculateur!V140*Calculateur!X140*VLOOKUP('Données projet'!$B$9,Paramètres!$A$1:$I$89,3,0)*0.475*44/12</f>
        <v>17.615520131229143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45.328877233889258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1.9895196601282805E-13</v>
      </c>
      <c r="AJ140" s="14">
        <f>AI140*VLOOKUP('Données projet'!$B$10,Paramètres!$A$1:$I$89,3,0)*VLOOKUP('Données projet'!$B$10,Paramètres!$A$1:$I$89,5,0)</f>
        <v>1.738044375088066E-13</v>
      </c>
      <c r="AK140" s="14">
        <f t="shared" si="143"/>
        <v>2.4483293633950478E-12</v>
      </c>
      <c r="AL140" s="22">
        <f t="shared" si="112"/>
        <v>4.566883036574213E-12</v>
      </c>
      <c r="AM140" s="62">
        <f t="shared" si="113"/>
        <v>284.99670540892993</v>
      </c>
      <c r="AN140" s="62">
        <f ca="1">AVERAGE(OFFSET($AM$3,0,0,'Données projet'!$E$10+1,1))-AVERAGE(OFFSET($H$3,0,0,'Données projet'!$E$10+1,1))</f>
        <v>341.62910675299065</v>
      </c>
      <c r="AO140" s="62">
        <f t="shared" si="144"/>
        <v>407.15938341104709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27.432798793132736</v>
      </c>
      <c r="AV140" s="23">
        <f>EXP(-LN(2)/25)*AV139+(1-EXP(-LN(2)/25))/(LN(2)/25)*Calculateur!AQ140*Calculateur!AS140*VLOOKUP('Données projet'!$B$10,Paramètres!$A$1:$I$89,3,0)*0.475*44/12</f>
        <v>8.6994599864419833</v>
      </c>
      <c r="AW140" s="23">
        <f>EXP(-LN(2)/2)*AW139+(1-EXP(-LN(2)/2))/(LN(2)/2)*AQ140*AT140*VLOOKUP('Données projet'!$B$10,Paramètres!$A$1:$I$89,3,0)*0.475*44/12</f>
        <v>3.4458089360127993E-11</v>
      </c>
      <c r="AX140" s="23">
        <f t="shared" si="114"/>
        <v>36.132258779609181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1.6405010683229191E-13</v>
      </c>
      <c r="BF140" s="14">
        <f t="shared" si="145"/>
        <v>2.3265121008813928E-12</v>
      </c>
      <c r="BG140" s="22">
        <f t="shared" si="115"/>
        <v>4.337729178434667E-12</v>
      </c>
      <c r="BH140" s="62">
        <f t="shared" si="116"/>
        <v>284.9967054089297</v>
      </c>
      <c r="BI140" s="62">
        <f ca="1">AVERAGE(OFFSET($BH$3,0,0,'Données projet'!$E$11+1,1))-AVERAGE(OFFSET($H$3,0,0,'Données projet'!$E$11+1,1))</f>
        <v>405.94837980869011</v>
      </c>
      <c r="BJ140" s="62">
        <f t="shared" si="146"/>
        <v>511.37583835090879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65.073030976887182</v>
      </c>
      <c r="BQ140" s="23">
        <f>EXP(-LN(2)/25)*BQ139+(1-EXP(-LN(2)/25))/(LN(2)/25)*Calculateur!BL140*Calculateur!BN140*VLOOKUP('Données projet'!$B$11,Paramètres!$A$1:$I$89,3,0)*0.475*44/12</f>
        <v>2.5967615181723938</v>
      </c>
      <c r="BR140" s="23">
        <f>EXP(-LN(2)/2)*BR139+(1-EXP(-LN(2)/2))/(LN(2)/2)*BL140*BO140*VLOOKUP('Données projet'!$B$11,Paramètres!$A$1:$I$89,3,0)*0.475*44/12</f>
        <v>6.229387690501699E-14</v>
      </c>
      <c r="BS140" s="24">
        <f t="shared" si="117"/>
        <v>67.669792495059639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475</v>
      </c>
      <c r="BZ140" s="14">
        <f>BY140*VLOOKUP('Données projet'!$B$12,Paramètres!$A$1:$I$89,3,0)*VLOOKUP('Données projet'!$B$12,Paramètres!$A$1:$I$89,5,0)</f>
        <v>407.55</v>
      </c>
      <c r="CA140" s="14">
        <f t="shared" si="147"/>
        <v>93.305642095357683</v>
      </c>
      <c r="CB140" s="22">
        <f t="shared" si="118"/>
        <v>872.32357664941446</v>
      </c>
      <c r="CC140" s="62">
        <f t="shared" si="119"/>
        <v>1157.3202820583399</v>
      </c>
      <c r="CD140" s="62">
        <f ca="1">AVERAGE(OFFSET($CC$3,0,0,'Données projet'!$E$12+1,1))-AVERAGE(OFFSET($H$3,0,0,'Données projet'!$E$12+1,1))</f>
        <v>590.18141384962507</v>
      </c>
      <c r="CE140" s="62">
        <f t="shared" si="148"/>
        <v>331.25104323342907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218.96886610673494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218.96886610673494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4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>
        <f>VLOOKUP(A141,'Données projet'!$A$35:$I$55,2,0)</f>
        <v>315</v>
      </c>
      <c r="L141" s="13">
        <f>VLOOKUP(A141,'Données projet'!$A$35:$I$55,9,0)</f>
        <v>5.7</v>
      </c>
      <c r="M141" s="13">
        <f t="array" ref="M141">INDEX(L:L,MIN(IF(ISNUMBER(L141:L337),ROW(L141:L337),"")))</f>
        <v>5.7</v>
      </c>
      <c r="N141" s="14">
        <f>IF('Données projet'!$A$36&gt;35,N140+M141-V140,IF(A141&lt;'Données projet'!$A$36,$K$205^A141,IF(A141='Données projet'!$A$36,'Données projet'!$B$36,N140+M141-V140)))</f>
        <v>314.99999999999994</v>
      </c>
      <c r="O141" s="14">
        <f>N141*VLOOKUP('Données projet'!$B$9,Paramètres!$A$1:$I$89,3,0)*VLOOKUP('Données projet'!$B$9,Paramètres!$A$1:$I$89,5,0)</f>
        <v>285.01199999999994</v>
      </c>
      <c r="P141" s="14">
        <f t="shared" si="141"/>
        <v>68.025092408173109</v>
      </c>
      <c r="Q141" s="22">
        <f t="shared" si="108"/>
        <v>614.87293594423477</v>
      </c>
      <c r="R141" s="62">
        <f t="shared" si="109"/>
        <v>900.01426320974065</v>
      </c>
      <c r="S141" s="62">
        <f ca="1">AVERAGE(OFFSET($R$3,0,0,'Données projet'!$E$9+1,1))-AVERAGE(OFFSET($H$3,0,0,'Données projet'!$E$9+1,1))</f>
        <v>432.80275651765203</v>
      </c>
      <c r="T141" s="62">
        <f t="shared" si="142"/>
        <v>203.89279893419919</v>
      </c>
      <c r="U141" s="16">
        <f>IF(ISNA(VLOOKUP(A141,'Données projet'!$A$35:$I$55,3,0)),0,VLOOKUP(A141,'Données projet'!$A$35:$I$55,3,0))</f>
        <v>10</v>
      </c>
      <c r="V141" s="16">
        <f>IF(ISNA(VLOOKUP(A141,'Données projet'!$A$35:$I$55,4,0)),0,VLOOKUP(A141,'Données projet'!$A$35:$I$55,4,0))</f>
        <v>39</v>
      </c>
      <c r="W141" s="17">
        <f>IF(ISNA(VLOOKUP(A141,'Données projet'!$A$35:$I$55,5,0)),0%,VLOOKUP(A141,'Données projet'!$A$35:$I$55,5,0)*VLOOKUP('Données projet'!$B$9,Paramètres!$A$1:$I$89,7,0))</f>
        <v>0.215</v>
      </c>
      <c r="X141" s="17">
        <f>IF(ISNA(VLOOKUP(A141,'Données projet'!$A$35:$I$55,6,0)),0%,VLOOKUP(A141,'Données projet'!$A$35:$I$55,6,0)*VLOOKUP('Données projet'!$B$9,Paramètres!$A$1:$I$89,7,0))</f>
        <v>0.17200000000000001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35.556840264336557</v>
      </c>
      <c r="AA141" s="23">
        <f>EXP(-LN(2)/25)*AA140+(1-EXP(-LN(2)/25))/(LN(2)/25)*Calculateur!V141*Calculateur!X141*VLOOKUP('Données projet'!$B$9,Paramètres!$A$1:$I$89,3,0)*0.475*44/12</f>
        <v>23.81694494354868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59.373785207885234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1.9895196601282805E-13</v>
      </c>
      <c r="AJ141" s="14">
        <f>AI141*VLOOKUP('Données projet'!$B$10,Paramètres!$A$1:$I$89,3,0)*VLOOKUP('Données projet'!$B$10,Paramètres!$A$1:$I$89,5,0)</f>
        <v>1.738044375088066E-13</v>
      </c>
      <c r="AK141" s="14">
        <f t="shared" si="143"/>
        <v>2.4483293633950478E-12</v>
      </c>
      <c r="AL141" s="22">
        <f t="shared" si="112"/>
        <v>4.566883036574213E-12</v>
      </c>
      <c r="AM141" s="62">
        <f t="shared" si="113"/>
        <v>285.14132726551048</v>
      </c>
      <c r="AN141" s="62">
        <f ca="1">AVERAGE(OFFSET($AM$3,0,0,'Données projet'!$E$10+1,1))-AVERAGE(OFFSET($H$3,0,0,'Données projet'!$E$10+1,1))</f>
        <v>341.62910675299065</v>
      </c>
      <c r="AO141" s="62">
        <f t="shared" si="144"/>
        <v>407.15938341104709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26.894858341154485</v>
      </c>
      <c r="AV141" s="23">
        <f>EXP(-LN(2)/25)*AV140+(1-EXP(-LN(2)/25))/(LN(2)/25)*Calculateur!AQ141*Calculateur!AS141*VLOOKUP('Données projet'!$B$10,Paramètres!$A$1:$I$89,3,0)*0.475*44/12</f>
        <v>8.46157279562801</v>
      </c>
      <c r="AW141" s="23">
        <f>EXP(-LN(2)/2)*AW140+(1-EXP(-LN(2)/2))/(LN(2)/2)*AQ141*AT141*VLOOKUP('Données projet'!$B$10,Paramètres!$A$1:$I$89,3,0)*0.475*44/12</f>
        <v>2.4365548653278527E-11</v>
      </c>
      <c r="AX141" s="23">
        <f t="shared" si="114"/>
        <v>35.356431136806862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1.6405010683229191E-13</v>
      </c>
      <c r="BF141" s="14">
        <f t="shared" si="145"/>
        <v>2.3265121008813928E-12</v>
      </c>
      <c r="BG141" s="22">
        <f t="shared" si="115"/>
        <v>4.337729178434667E-12</v>
      </c>
      <c r="BH141" s="62">
        <f t="shared" si="116"/>
        <v>285.14132726551026</v>
      </c>
      <c r="BI141" s="62">
        <f ca="1">AVERAGE(OFFSET($BH$3,0,0,'Données projet'!$E$11+1,1))-AVERAGE(OFFSET($H$3,0,0,'Données projet'!$E$11+1,1))</f>
        <v>405.94837980869011</v>
      </c>
      <c r="BJ141" s="62">
        <f t="shared" si="146"/>
        <v>511.37583835090879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63.796988530060197</v>
      </c>
      <c r="BQ141" s="23">
        <f>EXP(-LN(2)/25)*BQ140+(1-EXP(-LN(2)/25))/(LN(2)/25)*Calculateur!BL141*Calculateur!BN141*VLOOKUP('Données projet'!$B$11,Paramètres!$A$1:$I$89,3,0)*0.475*44/12</f>
        <v>2.5257529379002164</v>
      </c>
      <c r="BR141" s="23">
        <f>EXP(-LN(2)/2)*BR140+(1-EXP(-LN(2)/2))/(LN(2)/2)*BL141*BO141*VLOOKUP('Données projet'!$B$11,Paramètres!$A$1:$I$89,3,0)*0.475*44/12</f>
        <v>4.4048422785937575E-14</v>
      </c>
      <c r="BS141" s="24">
        <f t="shared" si="117"/>
        <v>66.322741467960455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475</v>
      </c>
      <c r="BZ141" s="14">
        <f>BY141*VLOOKUP('Données projet'!$B$12,Paramètres!$A$1:$I$89,3,0)*VLOOKUP('Données projet'!$B$12,Paramètres!$A$1:$I$89,5,0)</f>
        <v>407.55</v>
      </c>
      <c r="CA141" s="14">
        <f t="shared" si="147"/>
        <v>93.305642095357683</v>
      </c>
      <c r="CB141" s="22">
        <f t="shared" si="118"/>
        <v>872.32357664941446</v>
      </c>
      <c r="CC141" s="62">
        <f t="shared" si="119"/>
        <v>1157.4649039149203</v>
      </c>
      <c r="CD141" s="62">
        <f ca="1">AVERAGE(OFFSET($CC$3,0,0,'Données projet'!$E$12+1,1))-AVERAGE(OFFSET($H$3,0,0,'Données projet'!$E$12+1,1))</f>
        <v>590.18141384962507</v>
      </c>
      <c r="CE141" s="62">
        <f t="shared" si="148"/>
        <v>331.25104323342907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214.67502020020245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214.67502020020245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4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5.8</v>
      </c>
      <c r="N142" s="14">
        <f>IF('Données projet'!$A$36&gt;35,N141+M142-V141,IF(A142&lt;'Données projet'!$A$36,$K$205^A142,IF(A142='Données projet'!$A$36,'Données projet'!$B$36,N141+M142-V141)))</f>
        <v>281.79999999999995</v>
      </c>
      <c r="O142" s="14">
        <f>N142*VLOOKUP('Données projet'!$B$9,Paramètres!$A$1:$I$89,3,0)*VLOOKUP('Données projet'!$B$9,Paramètres!$A$1:$I$89,5,0)</f>
        <v>254.97263999999996</v>
      </c>
      <c r="P142" s="14">
        <f t="shared" si="141"/>
        <v>61.649533232533919</v>
      </c>
      <c r="Q142" s="22">
        <f t="shared" si="108"/>
        <v>551.45028504666311</v>
      </c>
      <c r="R142" s="62">
        <f t="shared" si="109"/>
        <v>836.73372530286406</v>
      </c>
      <c r="S142" s="62">
        <f ca="1">AVERAGE(OFFSET($R$3,0,0,'Données projet'!$E$9+1,1))-AVERAGE(OFFSET($H$3,0,0,'Données projet'!$E$9+1,1))</f>
        <v>432.80275651765203</v>
      </c>
      <c r="T142" s="62">
        <f t="shared" si="142"/>
        <v>203.89279893419919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34.859592314284015</v>
      </c>
      <c r="AA142" s="23">
        <f>EXP(-LN(2)/25)*AA141+(1-EXP(-LN(2)/25))/(LN(2)/25)*Calculateur!V142*Calculateur!X142*VLOOKUP('Données projet'!$B$9,Paramètres!$A$1:$I$89,3,0)*0.475*44/12</f>
        <v>23.165669331588642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58.025261645872661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1.9895196601282805E-13</v>
      </c>
      <c r="AJ142" s="14">
        <f>AI142*VLOOKUP('Données projet'!$B$10,Paramètres!$A$1:$I$89,3,0)*VLOOKUP('Données projet'!$B$10,Paramètres!$A$1:$I$89,5,0)</f>
        <v>1.738044375088066E-13</v>
      </c>
      <c r="AK142" s="14">
        <f t="shared" si="143"/>
        <v>2.4483293633950478E-12</v>
      </c>
      <c r="AL142" s="22">
        <f t="shared" si="112"/>
        <v>4.566883036574213E-12</v>
      </c>
      <c r="AM142" s="62">
        <f t="shared" si="113"/>
        <v>285.28344025620544</v>
      </c>
      <c r="AN142" s="62">
        <f ca="1">AVERAGE(OFFSET($AM$3,0,0,'Données projet'!$E$10+1,1))-AVERAGE(OFFSET($H$3,0,0,'Données projet'!$E$10+1,1))</f>
        <v>341.62910675299065</v>
      </c>
      <c r="AO142" s="62">
        <f t="shared" si="144"/>
        <v>407.15938341104709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26.367466573328251</v>
      </c>
      <c r="AV142" s="23">
        <f>EXP(-LN(2)/25)*AV141+(1-EXP(-LN(2)/25))/(LN(2)/25)*Calculateur!AQ142*Calculateur!AS142*VLOOKUP('Données projet'!$B$10,Paramètres!$A$1:$I$89,3,0)*0.475*44/12</f>
        <v>8.2301906425567886</v>
      </c>
      <c r="AW142" s="23">
        <f>EXP(-LN(2)/2)*AW141+(1-EXP(-LN(2)/2))/(LN(2)/2)*AQ142*AT142*VLOOKUP('Données projet'!$B$10,Paramètres!$A$1:$I$89,3,0)*0.475*44/12</f>
        <v>1.7229044680063997E-11</v>
      </c>
      <c r="AX142" s="23">
        <f t="shared" si="114"/>
        <v>34.597657215902267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1.6405010683229191E-13</v>
      </c>
      <c r="BF142" s="14">
        <f t="shared" si="145"/>
        <v>2.3265121008813928E-12</v>
      </c>
      <c r="BG142" s="22">
        <f t="shared" si="115"/>
        <v>4.337729178434667E-12</v>
      </c>
      <c r="BH142" s="62">
        <f t="shared" si="116"/>
        <v>285.28344025620521</v>
      </c>
      <c r="BI142" s="62">
        <f ca="1">AVERAGE(OFFSET($BH$3,0,0,'Données projet'!$E$11+1,1))-AVERAGE(OFFSET($H$3,0,0,'Données projet'!$E$11+1,1))</f>
        <v>405.94837980869011</v>
      </c>
      <c r="BJ142" s="62">
        <f t="shared" si="146"/>
        <v>511.37583835090879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62.545968497306447</v>
      </c>
      <c r="BQ142" s="23">
        <f>EXP(-LN(2)/25)*BQ141+(1-EXP(-LN(2)/25))/(LN(2)/25)*Calculateur!BL142*Calculateur!BN142*VLOOKUP('Données projet'!$B$11,Paramètres!$A$1:$I$89,3,0)*0.475*44/12</f>
        <v>2.4566860909897605</v>
      </c>
      <c r="BR142" s="23">
        <f>EXP(-LN(2)/2)*BR141+(1-EXP(-LN(2)/2))/(LN(2)/2)*BL142*BO142*VLOOKUP('Données projet'!$B$11,Paramètres!$A$1:$I$89,3,0)*0.475*44/12</f>
        <v>3.1146938452508495E-14</v>
      </c>
      <c r="BS142" s="24">
        <f t="shared" si="117"/>
        <v>65.002654588296238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475</v>
      </c>
      <c r="BZ142" s="14">
        <f>BY142*VLOOKUP('Données projet'!$B$12,Paramètres!$A$1:$I$89,3,0)*VLOOKUP('Données projet'!$B$12,Paramètres!$A$1:$I$89,5,0)</f>
        <v>407.55</v>
      </c>
      <c r="CA142" s="14">
        <f t="shared" si="147"/>
        <v>93.305642095357683</v>
      </c>
      <c r="CB142" s="22">
        <f t="shared" si="118"/>
        <v>872.32357664941446</v>
      </c>
      <c r="CC142" s="62">
        <f t="shared" si="119"/>
        <v>1157.6070169056154</v>
      </c>
      <c r="CD142" s="62">
        <f ca="1">AVERAGE(OFFSET($CC$3,0,0,'Données projet'!$E$12+1,1))-AVERAGE(OFFSET($H$3,0,0,'Données projet'!$E$12+1,1))</f>
        <v>590.18141384962507</v>
      </c>
      <c r="CE142" s="62">
        <f t="shared" si="148"/>
        <v>331.25104323342907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210.46537399290966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210.46537399290966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4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5.8</v>
      </c>
      <c r="N143" s="14">
        <f>IF('Données projet'!$A$36&gt;35,N142+M143-V142,IF(A143&lt;'Données projet'!$A$36,$K$205^A143,IF(A143='Données projet'!$A$36,'Données projet'!$B$36,N142+M143-V142)))</f>
        <v>287.59999999999997</v>
      </c>
      <c r="O143" s="14">
        <f>N143*VLOOKUP('Données projet'!$B$9,Paramètres!$A$1:$I$89,3,0)*VLOOKUP('Données projet'!$B$9,Paramètres!$A$1:$I$89,5,0)</f>
        <v>260.22047999999995</v>
      </c>
      <c r="P143" s="14">
        <f t="shared" si="141"/>
        <v>62.769373063603602</v>
      </c>
      <c r="Q143" s="22">
        <f t="shared" si="108"/>
        <v>562.54066075244293</v>
      </c>
      <c r="R143" s="62">
        <f t="shared" si="109"/>
        <v>847.96374865666735</v>
      </c>
      <c r="S143" s="62">
        <f ca="1">AVERAGE(OFFSET($R$3,0,0,'Données projet'!$E$9+1,1))-AVERAGE(OFFSET($H$3,0,0,'Données projet'!$E$9+1,1))</f>
        <v>432.80275651765203</v>
      </c>
      <c r="T143" s="62">
        <f t="shared" si="142"/>
        <v>203.89279893419919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34.176016971252743</v>
      </c>
      <c r="AA143" s="23">
        <f>EXP(-LN(2)/25)*AA142+(1-EXP(-LN(2)/25))/(LN(2)/25)*Calculateur!V143*Calculateur!X143*VLOOKUP('Données projet'!$B$9,Paramètres!$A$1:$I$89,3,0)*0.475*44/12</f>
        <v>22.532202885486747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56.70821985673949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1.9895196601282805E-13</v>
      </c>
      <c r="AJ143" s="14">
        <f>AI143*VLOOKUP('Données projet'!$B$10,Paramètres!$A$1:$I$89,3,0)*VLOOKUP('Données projet'!$B$10,Paramètres!$A$1:$I$89,5,0)</f>
        <v>1.738044375088066E-13</v>
      </c>
      <c r="AK143" s="14">
        <f t="shared" si="143"/>
        <v>2.4483293633950478E-12</v>
      </c>
      <c r="AL143" s="22">
        <f t="shared" si="112"/>
        <v>4.566883036574213E-12</v>
      </c>
      <c r="AM143" s="62">
        <f t="shared" si="113"/>
        <v>285.42308790422891</v>
      </c>
      <c r="AN143" s="62">
        <f ca="1">AVERAGE(OFFSET($AM$3,0,0,'Données projet'!$E$10+1,1))-AVERAGE(OFFSET($H$3,0,0,'Données projet'!$E$10+1,1))</f>
        <v>341.62910675299065</v>
      </c>
      <c r="AO143" s="62">
        <f t="shared" si="144"/>
        <v>407.15938341104709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25.850416636391873</v>
      </c>
      <c r="AV143" s="23">
        <f>EXP(-LN(2)/25)*AV142+(1-EXP(-LN(2)/25))/(LN(2)/25)*Calculateur!AQ143*Calculateur!AS143*VLOOKUP('Données projet'!$B$10,Paramètres!$A$1:$I$89,3,0)*0.475*44/12</f>
        <v>8.0051356466291583</v>
      </c>
      <c r="AW143" s="23">
        <f>EXP(-LN(2)/2)*AW142+(1-EXP(-LN(2)/2))/(LN(2)/2)*AQ143*AT143*VLOOKUP('Données projet'!$B$10,Paramètres!$A$1:$I$89,3,0)*0.475*44/12</f>
        <v>1.2182774326639263E-11</v>
      </c>
      <c r="AX143" s="23">
        <f t="shared" si="114"/>
        <v>33.855552283033219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1.6405010683229191E-13</v>
      </c>
      <c r="BF143" s="14">
        <f t="shared" si="145"/>
        <v>2.3265121008813928E-12</v>
      </c>
      <c r="BG143" s="22">
        <f t="shared" si="115"/>
        <v>4.337729178434667E-12</v>
      </c>
      <c r="BH143" s="62">
        <f t="shared" si="116"/>
        <v>285.42308790422868</v>
      </c>
      <c r="BI143" s="62">
        <f ca="1">AVERAGE(OFFSET($BH$3,0,0,'Données projet'!$E$11+1,1))-AVERAGE(OFFSET($H$3,0,0,'Données projet'!$E$11+1,1))</f>
        <v>405.94837980869011</v>
      </c>
      <c r="BJ143" s="62">
        <f t="shared" si="146"/>
        <v>511.37583835090879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61.319480204348125</v>
      </c>
      <c r="BQ143" s="23">
        <f>EXP(-LN(2)/25)*BQ142+(1-EXP(-LN(2)/25))/(LN(2)/25)*Calculateur!BL143*Calculateur!BN143*VLOOKUP('Données projet'!$B$11,Paramètres!$A$1:$I$89,3,0)*0.475*44/12</f>
        <v>2.3895078806401386</v>
      </c>
      <c r="BR143" s="23">
        <f>EXP(-LN(2)/2)*BR142+(1-EXP(-LN(2)/2))/(LN(2)/2)*BL143*BO143*VLOOKUP('Données projet'!$B$11,Paramètres!$A$1:$I$89,3,0)*0.475*44/12</f>
        <v>2.2024211392968788E-14</v>
      </c>
      <c r="BS143" s="24">
        <f t="shared" si="117"/>
        <v>63.708988084988285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475</v>
      </c>
      <c r="BZ143" s="14">
        <f>BY143*VLOOKUP('Données projet'!$B$12,Paramètres!$A$1:$I$89,3,0)*VLOOKUP('Données projet'!$B$12,Paramètres!$A$1:$I$89,5,0)</f>
        <v>407.55</v>
      </c>
      <c r="CA143" s="14">
        <f t="shared" si="147"/>
        <v>93.305642095357683</v>
      </c>
      <c r="CB143" s="22">
        <f t="shared" si="118"/>
        <v>872.32357664941446</v>
      </c>
      <c r="CC143" s="62">
        <f t="shared" si="119"/>
        <v>1157.7466645536388</v>
      </c>
      <c r="CD143" s="62">
        <f ca="1">AVERAGE(OFFSET($CC$3,0,0,'Données projet'!$E$12+1,1))-AVERAGE(OFFSET($H$3,0,0,'Données projet'!$E$12+1,1))</f>
        <v>590.18141384962507</v>
      </c>
      <c r="CE143" s="62">
        <f t="shared" si="148"/>
        <v>331.25104323342907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206.33827638011124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206.33827638011124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4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5.8</v>
      </c>
      <c r="N144" s="14">
        <f>IF('Données projet'!$A$36&gt;35,N143+M144-V143,IF(A144&lt;'Données projet'!$A$36,$K$205^A144,IF(A144='Données projet'!$A$36,'Données projet'!$B$36,N143+M144-V143)))</f>
        <v>293.39999999999998</v>
      </c>
      <c r="O144" s="14">
        <f>N144*VLOOKUP('Données projet'!$B$9,Paramètres!$A$1:$I$89,3,0)*VLOOKUP('Données projet'!$B$9,Paramètres!$A$1:$I$89,5,0)</f>
        <v>265.46831999999995</v>
      </c>
      <c r="P144" s="14">
        <f t="shared" si="141"/>
        <v>63.886587047268755</v>
      </c>
      <c r="Q144" s="22">
        <f t="shared" si="108"/>
        <v>573.62646310732623</v>
      </c>
      <c r="R144" s="62">
        <f t="shared" si="109"/>
        <v>859.18677608508619</v>
      </c>
      <c r="S144" s="62">
        <f ca="1">AVERAGE(OFFSET($R$3,0,0,'Données projet'!$E$9+1,1))-AVERAGE(OFFSET($H$3,0,0,'Données projet'!$E$9+1,1))</f>
        <v>432.80275651765203</v>
      </c>
      <c r="T144" s="62">
        <f t="shared" si="142"/>
        <v>203.89279893419919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33.505846123758523</v>
      </c>
      <c r="AA144" s="23">
        <f>EXP(-LN(2)/25)*AA143+(1-EXP(-LN(2)/25))/(LN(2)/25)*Calculateur!V144*Calculateur!X144*VLOOKUP('Données projet'!$B$9,Paramètres!$A$1:$I$89,3,0)*0.475*44/12</f>
        <v>21.91605861266606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55.42190473642458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1.9895196601282805E-13</v>
      </c>
      <c r="AJ144" s="14">
        <f>AI144*VLOOKUP('Données projet'!$B$10,Paramètres!$A$1:$I$89,3,0)*VLOOKUP('Données projet'!$B$10,Paramètres!$A$1:$I$89,5,0)</f>
        <v>1.738044375088066E-13</v>
      </c>
      <c r="AK144" s="14">
        <f t="shared" si="143"/>
        <v>2.4483293633950478E-12</v>
      </c>
      <c r="AL144" s="22">
        <f t="shared" si="112"/>
        <v>4.566883036574213E-12</v>
      </c>
      <c r="AM144" s="62">
        <f t="shared" si="113"/>
        <v>285.56031297776457</v>
      </c>
      <c r="AN144" s="62">
        <f ca="1">AVERAGE(OFFSET($AM$3,0,0,'Données projet'!$E$10+1,1))-AVERAGE(OFFSET($H$3,0,0,'Données projet'!$E$10+1,1))</f>
        <v>341.62910675299065</v>
      </c>
      <c r="AO144" s="62">
        <f t="shared" si="144"/>
        <v>407.15938341104709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25.343505733349495</v>
      </c>
      <c r="AV144" s="23">
        <f>EXP(-LN(2)/25)*AV143+(1-EXP(-LN(2)/25))/(LN(2)/25)*Calculateur!AQ144*Calculateur!AS144*VLOOKUP('Données projet'!$B$10,Paramètres!$A$1:$I$89,3,0)*0.475*44/12</f>
        <v>7.7862347914002967</v>
      </c>
      <c r="AW144" s="23">
        <f>EXP(-LN(2)/2)*AW143+(1-EXP(-LN(2)/2))/(LN(2)/2)*AQ144*AT144*VLOOKUP('Données projet'!$B$10,Paramètres!$A$1:$I$89,3,0)*0.475*44/12</f>
        <v>8.6145223400319983E-12</v>
      </c>
      <c r="AX144" s="23">
        <f t="shared" si="114"/>
        <v>33.129740524758404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1.6405010683229191E-13</v>
      </c>
      <c r="BF144" s="14">
        <f t="shared" si="145"/>
        <v>2.3265121008813928E-12</v>
      </c>
      <c r="BG144" s="22">
        <f t="shared" si="115"/>
        <v>4.337729178434667E-12</v>
      </c>
      <c r="BH144" s="62">
        <f t="shared" si="116"/>
        <v>285.56031297776434</v>
      </c>
      <c r="BI144" s="62">
        <f ca="1">AVERAGE(OFFSET($BH$3,0,0,'Données projet'!$E$11+1,1))-AVERAGE(OFFSET($H$3,0,0,'Données projet'!$E$11+1,1))</f>
        <v>405.94837980869011</v>
      </c>
      <c r="BJ144" s="62">
        <f t="shared" si="146"/>
        <v>511.37583835090879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60.11704259873072</v>
      </c>
      <c r="BQ144" s="23">
        <f>EXP(-LN(2)/25)*BQ143+(1-EXP(-LN(2)/25))/(LN(2)/25)*Calculateur!BL144*Calculateur!BN144*VLOOKUP('Données projet'!$B$11,Paramètres!$A$1:$I$89,3,0)*0.475*44/12</f>
        <v>2.3241666619852759</v>
      </c>
      <c r="BR144" s="23">
        <f>EXP(-LN(2)/2)*BR143+(1-EXP(-LN(2)/2))/(LN(2)/2)*BL144*BO144*VLOOKUP('Données projet'!$B$11,Paramètres!$A$1:$I$89,3,0)*0.475*44/12</f>
        <v>1.5573469226254247E-14</v>
      </c>
      <c r="BS144" s="24">
        <f t="shared" si="117"/>
        <v>62.441209260716008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475</v>
      </c>
      <c r="BZ144" s="14">
        <f>BY144*VLOOKUP('Données projet'!$B$12,Paramètres!$A$1:$I$89,3,0)*VLOOKUP('Données projet'!$B$12,Paramètres!$A$1:$I$89,5,0)</f>
        <v>407.55</v>
      </c>
      <c r="CA144" s="14">
        <f t="shared" si="147"/>
        <v>93.305642095357683</v>
      </c>
      <c r="CB144" s="22">
        <f t="shared" si="118"/>
        <v>872.32357664941446</v>
      </c>
      <c r="CC144" s="62">
        <f t="shared" si="119"/>
        <v>1157.8838896271745</v>
      </c>
      <c r="CD144" s="62">
        <f ca="1">AVERAGE(OFFSET($CC$3,0,0,'Données projet'!$E$12+1,1))-AVERAGE(OFFSET($H$3,0,0,'Données projet'!$E$12+1,1))</f>
        <v>590.18141384962507</v>
      </c>
      <c r="CE144" s="62">
        <f t="shared" si="148"/>
        <v>331.25104323342907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202.29210863421881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202.29210863421881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4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5.8</v>
      </c>
      <c r="N145" s="14">
        <f>IF('Données projet'!$A$36&gt;35,N144+M145-V144,IF(A145&lt;'Données projet'!$A$36,$K$205^A145,IF(A145='Données projet'!$A$36,'Données projet'!$B$36,N144+M145-V144)))</f>
        <v>299.2</v>
      </c>
      <c r="O145" s="14">
        <f>N145*VLOOKUP('Données projet'!$B$9,Paramètres!$A$1:$I$89,3,0)*VLOOKUP('Données projet'!$B$9,Paramètres!$A$1:$I$89,5,0)</f>
        <v>270.71615999999995</v>
      </c>
      <c r="P145" s="14">
        <f t="shared" si="141"/>
        <v>65.001233075018177</v>
      </c>
      <c r="Q145" s="22">
        <f t="shared" si="108"/>
        <v>584.70779293898988</v>
      </c>
      <c r="R145" s="62">
        <f t="shared" si="109"/>
        <v>870.4029504420489</v>
      </c>
      <c r="S145" s="62">
        <f ca="1">AVERAGE(OFFSET($R$3,0,0,'Données projet'!$E$9+1,1))-AVERAGE(OFFSET($H$3,0,0,'Données projet'!$E$9+1,1))</f>
        <v>432.80275651765203</v>
      </c>
      <c r="T145" s="62">
        <f t="shared" si="142"/>
        <v>203.89279893419919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32.848816917819811</v>
      </c>
      <c r="AA145" s="23">
        <f>EXP(-LN(2)/25)*AA144+(1-EXP(-LN(2)/25))/(LN(2)/25)*Calculateur!V145*Calculateur!X145*VLOOKUP('Données projet'!$B$9,Paramètres!$A$1:$I$89,3,0)*0.475*44/12</f>
        <v>21.316762837387273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54.165579755207084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1.9895196601282805E-13</v>
      </c>
      <c r="AJ145" s="14">
        <f>AI145*VLOOKUP('Données projet'!$B$10,Paramètres!$A$1:$I$89,3,0)*VLOOKUP('Données projet'!$B$10,Paramètres!$A$1:$I$89,5,0)</f>
        <v>1.738044375088066E-13</v>
      </c>
      <c r="AK145" s="14">
        <f t="shared" si="143"/>
        <v>2.4483293633950478E-12</v>
      </c>
      <c r="AL145" s="22">
        <f t="shared" si="112"/>
        <v>4.566883036574213E-12</v>
      </c>
      <c r="AM145" s="62">
        <f t="shared" si="113"/>
        <v>285.69515750306363</v>
      </c>
      <c r="AN145" s="62">
        <f ca="1">AVERAGE(OFFSET($AM$3,0,0,'Données projet'!$E$10+1,1))-AVERAGE(OFFSET($H$3,0,0,'Données projet'!$E$10+1,1))</f>
        <v>341.62910675299065</v>
      </c>
      <c r="AO145" s="62">
        <f t="shared" si="144"/>
        <v>407.15938341104709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24.846535043930658</v>
      </c>
      <c r="AV145" s="23">
        <f>EXP(-LN(2)/25)*AV144+(1-EXP(-LN(2)/25))/(LN(2)/25)*Calculateur!AQ145*Calculateur!AS145*VLOOKUP('Données projet'!$B$10,Paramètres!$A$1:$I$89,3,0)*0.475*44/12</f>
        <v>7.5733197915691637</v>
      </c>
      <c r="AW145" s="23">
        <f>EXP(-LN(2)/2)*AW144+(1-EXP(-LN(2)/2))/(LN(2)/2)*AQ145*AT145*VLOOKUP('Données projet'!$B$10,Paramètres!$A$1:$I$89,3,0)*0.475*44/12</f>
        <v>6.0913871633196317E-12</v>
      </c>
      <c r="AX145" s="23">
        <f t="shared" si="114"/>
        <v>32.419854835505909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1.6405010683229191E-13</v>
      </c>
      <c r="BF145" s="14">
        <f t="shared" si="145"/>
        <v>2.3265121008813928E-12</v>
      </c>
      <c r="BG145" s="22">
        <f t="shared" si="115"/>
        <v>4.337729178434667E-12</v>
      </c>
      <c r="BH145" s="62">
        <f t="shared" si="116"/>
        <v>285.6951575030634</v>
      </c>
      <c r="BI145" s="62">
        <f ca="1">AVERAGE(OFFSET($BH$3,0,0,'Données projet'!$E$11+1,1))-AVERAGE(OFFSET($H$3,0,0,'Données projet'!$E$11+1,1))</f>
        <v>405.94837980869011</v>
      </c>
      <c r="BJ145" s="62">
        <f t="shared" si="146"/>
        <v>511.37583835090879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58.938184061144952</v>
      </c>
      <c r="BQ145" s="23">
        <f>EXP(-LN(2)/25)*BQ144+(1-EXP(-LN(2)/25))/(LN(2)/25)*Calculateur!BL145*Calculateur!BN145*VLOOKUP('Données projet'!$B$11,Paramètres!$A$1:$I$89,3,0)*0.475*44/12</f>
        <v>2.2606122023906758</v>
      </c>
      <c r="BR145" s="23">
        <f>EXP(-LN(2)/2)*BR144+(1-EXP(-LN(2)/2))/(LN(2)/2)*BL145*BO145*VLOOKUP('Données projet'!$B$11,Paramètres!$A$1:$I$89,3,0)*0.475*44/12</f>
        <v>1.1012105696484394E-14</v>
      </c>
      <c r="BS145" s="24">
        <f t="shared" si="117"/>
        <v>61.198796263535641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475</v>
      </c>
      <c r="BZ145" s="14">
        <f>BY145*VLOOKUP('Données projet'!$B$12,Paramètres!$A$1:$I$89,3,0)*VLOOKUP('Données projet'!$B$12,Paramètres!$A$1:$I$89,5,0)</f>
        <v>407.55</v>
      </c>
      <c r="CA145" s="14">
        <f t="shared" si="147"/>
        <v>93.305642095357683</v>
      </c>
      <c r="CB145" s="22">
        <f t="shared" si="118"/>
        <v>872.32357664941446</v>
      </c>
      <c r="CC145" s="62">
        <f t="shared" si="119"/>
        <v>1158.0187341524736</v>
      </c>
      <c r="CD145" s="62">
        <f ca="1">AVERAGE(OFFSET($CC$3,0,0,'Données projet'!$E$12+1,1))-AVERAGE(OFFSET($H$3,0,0,'Données projet'!$E$12+1,1))</f>
        <v>590.18141384962507</v>
      </c>
      <c r="CE145" s="62">
        <f t="shared" si="148"/>
        <v>331.25104323342907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198.32528376990467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198.32528376990467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4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5.8</v>
      </c>
      <c r="N146" s="14">
        <f>IF('Données projet'!$A$36&gt;35,N145+M146-V145,IF(A146&lt;'Données projet'!$A$36,$K$205^A146,IF(A146='Données projet'!$A$36,'Données projet'!$B$36,N145+M146-V145)))</f>
        <v>305</v>
      </c>
      <c r="O146" s="14">
        <f>N146*VLOOKUP('Données projet'!$B$9,Paramètres!$A$1:$I$89,3,0)*VLOOKUP('Données projet'!$B$9,Paramètres!$A$1:$I$89,5,0)</f>
        <v>275.964</v>
      </c>
      <c r="P146" s="14">
        <f t="shared" si="141"/>
        <v>66.113366665488911</v>
      </c>
      <c r="Q146" s="22">
        <f t="shared" si="108"/>
        <v>595.7847469423931</v>
      </c>
      <c r="R146" s="62">
        <f t="shared" si="109"/>
        <v>881.6124097197046</v>
      </c>
      <c r="S146" s="62">
        <f ca="1">AVERAGE(OFFSET($R$3,0,0,'Données projet'!$E$9+1,1))-AVERAGE(OFFSET($H$3,0,0,'Données projet'!$E$9+1,1))</f>
        <v>432.80275651765203</v>
      </c>
      <c r="T146" s="62">
        <f t="shared" si="142"/>
        <v>203.89279893419919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32.204671653861311</v>
      </c>
      <c r="AA146" s="23">
        <f>EXP(-LN(2)/25)*AA145+(1-EXP(-LN(2)/25))/(LN(2)/25)*Calculateur!V146*Calculateur!X146*VLOOKUP('Données projet'!$B$9,Paramètres!$A$1:$I$89,3,0)*0.475*44/12</f>
        <v>20.733854836599079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52.93852649046039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1.9895196601282805E-13</v>
      </c>
      <c r="AJ146" s="14">
        <f>AI146*VLOOKUP('Données projet'!$B$10,Paramètres!$A$1:$I$89,3,0)*VLOOKUP('Données projet'!$B$10,Paramètres!$A$1:$I$89,5,0)</f>
        <v>1.738044375088066E-13</v>
      </c>
      <c r="AK146" s="14">
        <f t="shared" si="143"/>
        <v>2.4483293633950478E-12</v>
      </c>
      <c r="AL146" s="22">
        <f t="shared" si="112"/>
        <v>4.566883036574213E-12</v>
      </c>
      <c r="AM146" s="62">
        <f t="shared" si="113"/>
        <v>285.82766277731599</v>
      </c>
      <c r="AN146" s="62">
        <f ca="1">AVERAGE(OFFSET($AM$3,0,0,'Données projet'!$E$10+1,1))-AVERAGE(OFFSET($H$3,0,0,'Données projet'!$E$10+1,1))</f>
        <v>341.62910675299065</v>
      </c>
      <c r="AO146" s="62">
        <f t="shared" si="144"/>
        <v>407.15938341104709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24.359309646609134</v>
      </c>
      <c r="AV146" s="23">
        <f>EXP(-LN(2)/25)*AV145+(1-EXP(-LN(2)/25))/(LN(2)/25)*Calculateur!AQ146*Calculateur!AS146*VLOOKUP('Données projet'!$B$10,Paramètres!$A$1:$I$89,3,0)*0.475*44/12</f>
        <v>7.3662269636051265</v>
      </c>
      <c r="AW146" s="23">
        <f>EXP(-LN(2)/2)*AW145+(1-EXP(-LN(2)/2))/(LN(2)/2)*AQ146*AT146*VLOOKUP('Données projet'!$B$10,Paramètres!$A$1:$I$89,3,0)*0.475*44/12</f>
        <v>4.3072611700159992E-12</v>
      </c>
      <c r="AX146" s="23">
        <f t="shared" si="114"/>
        <v>31.725536610218565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1.6405010683229191E-13</v>
      </c>
      <c r="BF146" s="14">
        <f t="shared" si="145"/>
        <v>2.3265121008813928E-12</v>
      </c>
      <c r="BG146" s="22">
        <f t="shared" si="115"/>
        <v>4.337729178434667E-12</v>
      </c>
      <c r="BH146" s="62">
        <f t="shared" si="116"/>
        <v>285.82766277731577</v>
      </c>
      <c r="BI146" s="62">
        <f ca="1">AVERAGE(OFFSET($BH$3,0,0,'Données projet'!$E$11+1,1))-AVERAGE(OFFSET($H$3,0,0,'Données projet'!$E$11+1,1))</f>
        <v>405.94837980869011</v>
      </c>
      <c r="BJ146" s="62">
        <f t="shared" si="146"/>
        <v>511.37583835090879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57.78244222044853</v>
      </c>
      <c r="BQ146" s="23">
        <f>EXP(-LN(2)/25)*BQ145+(1-EXP(-LN(2)/25))/(LN(2)/25)*Calculateur!BL146*Calculateur!BN146*VLOOKUP('Données projet'!$B$11,Paramètres!$A$1:$I$89,3,0)*0.475*44/12</f>
        <v>2.1987956428358739</v>
      </c>
      <c r="BR146" s="23">
        <f>EXP(-LN(2)/2)*BR145+(1-EXP(-LN(2)/2))/(LN(2)/2)*BL146*BO146*VLOOKUP('Données projet'!$B$11,Paramètres!$A$1:$I$89,3,0)*0.475*44/12</f>
        <v>7.7867346131271237E-15</v>
      </c>
      <c r="BS146" s="24">
        <f t="shared" si="117"/>
        <v>59.981237863284413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475</v>
      </c>
      <c r="BZ146" s="14">
        <f>BY146*VLOOKUP('Données projet'!$B$12,Paramètres!$A$1:$I$89,3,0)*VLOOKUP('Données projet'!$B$12,Paramètres!$A$1:$I$89,5,0)</f>
        <v>407.55</v>
      </c>
      <c r="CA146" s="14">
        <f t="shared" si="147"/>
        <v>93.305642095357683</v>
      </c>
      <c r="CB146" s="22">
        <f t="shared" si="118"/>
        <v>872.32357664941446</v>
      </c>
      <c r="CC146" s="62">
        <f t="shared" si="119"/>
        <v>1158.1512394267259</v>
      </c>
      <c r="CD146" s="62">
        <f ca="1">AVERAGE(OFFSET($CC$3,0,0,'Données projet'!$E$12+1,1))-AVERAGE(OFFSET($H$3,0,0,'Données projet'!$E$12+1,1))</f>
        <v>590.18141384962507</v>
      </c>
      <c r="CE146" s="62">
        <f t="shared" si="148"/>
        <v>331.25104323342907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194.43624592165548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194.43624592165548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4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5.8</v>
      </c>
      <c r="N147" s="14">
        <f>IF('Données projet'!$A$36&gt;35,N146+M147-V146,IF(A147&lt;'Données projet'!$A$36,$K$205^A147,IF(A147='Données projet'!$A$36,'Données projet'!$B$36,N146+M147-V146)))</f>
        <v>310.8</v>
      </c>
      <c r="O147" s="14">
        <f>N147*VLOOKUP('Données projet'!$B$9,Paramètres!$A$1:$I$89,3,0)*VLOOKUP('Données projet'!$B$9,Paramètres!$A$1:$I$89,5,0)</f>
        <v>281.21184</v>
      </c>
      <c r="P147" s="14">
        <f t="shared" si="141"/>
        <v>67.22304110496664</v>
      </c>
      <c r="Q147" s="22">
        <f t="shared" si="108"/>
        <v>606.85741792448357</v>
      </c>
      <c r="R147" s="62">
        <f t="shared" si="109"/>
        <v>892.81528730577645</v>
      </c>
      <c r="S147" s="62">
        <f ca="1">AVERAGE(OFFSET($R$3,0,0,'Données projet'!$E$9+1,1))-AVERAGE(OFFSET($H$3,0,0,'Données projet'!$E$9+1,1))</f>
        <v>432.80275651765203</v>
      </c>
      <c r="T147" s="62">
        <f t="shared" si="142"/>
        <v>203.89279893419919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31.573157685639224</v>
      </c>
      <c r="AA147" s="23">
        <f>EXP(-LN(2)/25)*AA146+(1-EXP(-LN(2)/25))/(LN(2)/25)*Calculateur!V147*Calculateur!X147*VLOOKUP('Données projet'!$B$9,Paramètres!$A$1:$I$89,3,0)*0.475*44/12</f>
        <v>20.16688648574624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51.740044171385463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1.9895196601282805E-13</v>
      </c>
      <c r="AJ147" s="14">
        <f>AI147*VLOOKUP('Données projet'!$B$10,Paramètres!$A$1:$I$89,3,0)*VLOOKUP('Données projet'!$B$10,Paramètres!$A$1:$I$89,5,0)</f>
        <v>1.738044375088066E-13</v>
      </c>
      <c r="AK147" s="14">
        <f t="shared" si="143"/>
        <v>2.4483293633950478E-12</v>
      </c>
      <c r="AL147" s="22">
        <f t="shared" si="112"/>
        <v>4.566883036574213E-12</v>
      </c>
      <c r="AM147" s="62">
        <f t="shared" si="113"/>
        <v>285.95786938129743</v>
      </c>
      <c r="AN147" s="62">
        <f ca="1">AVERAGE(OFFSET($AM$3,0,0,'Données projet'!$E$10+1,1))-AVERAGE(OFFSET($H$3,0,0,'Données projet'!$E$10+1,1))</f>
        <v>341.62910675299065</v>
      </c>
      <c r="AO147" s="62">
        <f t="shared" si="144"/>
        <v>407.15938341104709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23.881638442150937</v>
      </c>
      <c r="AV147" s="23">
        <f>EXP(-LN(2)/25)*AV146+(1-EXP(-LN(2)/25))/(LN(2)/25)*Calculateur!AQ147*Calculateur!AS147*VLOOKUP('Données projet'!$B$10,Paramètres!$A$1:$I$89,3,0)*0.475*44/12</f>
        <v>7.1647970999123043</v>
      </c>
      <c r="AW147" s="23">
        <f>EXP(-LN(2)/2)*AW146+(1-EXP(-LN(2)/2))/(LN(2)/2)*AQ147*AT147*VLOOKUP('Données projet'!$B$10,Paramètres!$A$1:$I$89,3,0)*0.475*44/12</f>
        <v>3.0456935816598159E-12</v>
      </c>
      <c r="AX147" s="23">
        <f t="shared" si="114"/>
        <v>31.046435542066288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1.6405010683229191E-13</v>
      </c>
      <c r="BF147" s="14">
        <f t="shared" si="145"/>
        <v>2.3265121008813928E-12</v>
      </c>
      <c r="BG147" s="22">
        <f t="shared" si="115"/>
        <v>4.337729178434667E-12</v>
      </c>
      <c r="BH147" s="62">
        <f t="shared" si="116"/>
        <v>285.9578693812972</v>
      </c>
      <c r="BI147" s="62">
        <f ca="1">AVERAGE(OFFSET($BH$3,0,0,'Données projet'!$E$11+1,1))-AVERAGE(OFFSET($H$3,0,0,'Données projet'!$E$11+1,1))</f>
        <v>405.94837980869011</v>
      </c>
      <c r="BJ147" s="62">
        <f t="shared" si="146"/>
        <v>511.37583835090879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56.649363772315255</v>
      </c>
      <c r="BQ147" s="23">
        <f>EXP(-LN(2)/25)*BQ146+(1-EXP(-LN(2)/25))/(LN(2)/25)*Calculateur!BL147*Calculateur!BN147*VLOOKUP('Données projet'!$B$11,Paramètres!$A$1:$I$89,3,0)*0.475*44/12</f>
        <v>2.1386694603528893</v>
      </c>
      <c r="BR147" s="23">
        <f>EXP(-LN(2)/2)*BR146+(1-EXP(-LN(2)/2))/(LN(2)/2)*BL147*BO147*VLOOKUP('Données projet'!$B$11,Paramètres!$A$1:$I$89,3,0)*0.475*44/12</f>
        <v>5.5060528482421969E-15</v>
      </c>
      <c r="BS147" s="24">
        <f t="shared" si="117"/>
        <v>58.788033232668148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475</v>
      </c>
      <c r="BZ147" s="14">
        <f>BY147*VLOOKUP('Données projet'!$B$12,Paramètres!$A$1:$I$89,3,0)*VLOOKUP('Données projet'!$B$12,Paramètres!$A$1:$I$89,5,0)</f>
        <v>407.55</v>
      </c>
      <c r="CA147" s="14">
        <f t="shared" si="147"/>
        <v>93.305642095357683</v>
      </c>
      <c r="CB147" s="22">
        <f t="shared" si="118"/>
        <v>872.32357664941446</v>
      </c>
      <c r="CC147" s="62">
        <f t="shared" si="119"/>
        <v>1158.2814460307072</v>
      </c>
      <c r="CD147" s="62">
        <f ca="1">AVERAGE(OFFSET($CC$3,0,0,'Données projet'!$E$12+1,1))-AVERAGE(OFFSET($H$3,0,0,'Données projet'!$E$12+1,1))</f>
        <v>590.18141384962507</v>
      </c>
      <c r="CE147" s="62">
        <f t="shared" si="148"/>
        <v>331.25104323342907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190.62346973353161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190.62346973353161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4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5.8</v>
      </c>
      <c r="N148" s="14">
        <f>IF('Données projet'!$A$36&gt;35,N147+M148-V147,IF(A148&lt;'Données projet'!$A$36,$K$205^A148,IF(A148='Données projet'!$A$36,'Données projet'!$B$36,N147+M148-V147)))</f>
        <v>316.60000000000002</v>
      </c>
      <c r="O148" s="14">
        <f>N148*VLOOKUP('Données projet'!$B$9,Paramètres!$A$1:$I$89,3,0)*VLOOKUP('Données projet'!$B$9,Paramètres!$A$1:$I$89,5,0)</f>
        <v>286.45968000000005</v>
      </c>
      <c r="P148" s="14">
        <f t="shared" si="141"/>
        <v>68.330307577101138</v>
      </c>
      <c r="Q148" s="22">
        <f t="shared" si="108"/>
        <v>617.92589503011789</v>
      </c>
      <c r="R148" s="62">
        <f t="shared" si="109"/>
        <v>904.01171222191147</v>
      </c>
      <c r="S148" s="62">
        <f ca="1">AVERAGE(OFFSET($R$3,0,0,'Données projet'!$E$9+1,1))-AVERAGE(OFFSET($H$3,0,0,'Données projet'!$E$9+1,1))</f>
        <v>432.80275651765203</v>
      </c>
      <c r="T148" s="62">
        <f t="shared" si="142"/>
        <v>203.89279893419919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30.954027321148484</v>
      </c>
      <c r="AA148" s="23">
        <f>EXP(-LN(2)/25)*AA147+(1-EXP(-LN(2)/25))/(LN(2)/25)*Calculateur!V148*Calculateur!X148*VLOOKUP('Données projet'!$B$9,Paramètres!$A$1:$I$89,3,0)*0.475*44/12</f>
        <v>19.615421914263042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50.569449235411525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1.9895196601282805E-13</v>
      </c>
      <c r="AJ148" s="14">
        <f>AI148*VLOOKUP('Données projet'!$B$10,Paramètres!$A$1:$I$89,3,0)*VLOOKUP('Données projet'!$B$10,Paramètres!$A$1:$I$89,5,0)</f>
        <v>1.738044375088066E-13</v>
      </c>
      <c r="AK148" s="14">
        <f t="shared" si="143"/>
        <v>2.4483293633950478E-12</v>
      </c>
      <c r="AL148" s="22">
        <f t="shared" si="112"/>
        <v>4.566883036574213E-12</v>
      </c>
      <c r="AM148" s="62">
        <f t="shared" si="113"/>
        <v>286.08581719179813</v>
      </c>
      <c r="AN148" s="62">
        <f ca="1">AVERAGE(OFFSET($AM$3,0,0,'Données projet'!$E$10+1,1))-AVERAGE(OFFSET($H$3,0,0,'Données projet'!$E$10+1,1))</f>
        <v>341.62910675299065</v>
      </c>
      <c r="AO148" s="62">
        <f t="shared" si="144"/>
        <v>407.15938341104709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23.413334078661499</v>
      </c>
      <c r="AV148" s="23">
        <f>EXP(-LN(2)/25)*AV147+(1-EXP(-LN(2)/25))/(LN(2)/25)*Calculateur!AQ148*Calculateur!AS148*VLOOKUP('Données projet'!$B$10,Paramètres!$A$1:$I$89,3,0)*0.475*44/12</f>
        <v>6.9688753464348983</v>
      </c>
      <c r="AW148" s="23">
        <f>EXP(-LN(2)/2)*AW147+(1-EXP(-LN(2)/2))/(LN(2)/2)*AQ148*AT148*VLOOKUP('Données projet'!$B$10,Paramètres!$A$1:$I$89,3,0)*0.475*44/12</f>
        <v>2.1536305850079996E-12</v>
      </c>
      <c r="AX148" s="23">
        <f t="shared" si="114"/>
        <v>30.382209425098551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1.6405010683229191E-13</v>
      </c>
      <c r="BF148" s="14">
        <f t="shared" si="145"/>
        <v>2.3265121008813928E-12</v>
      </c>
      <c r="BG148" s="22">
        <f t="shared" si="115"/>
        <v>4.337729178434667E-12</v>
      </c>
      <c r="BH148" s="62">
        <f t="shared" si="116"/>
        <v>286.0858171917979</v>
      </c>
      <c r="BI148" s="62">
        <f ca="1">AVERAGE(OFFSET($BH$3,0,0,'Données projet'!$E$11+1,1))-AVERAGE(OFFSET($H$3,0,0,'Données projet'!$E$11+1,1))</f>
        <v>405.94837980869011</v>
      </c>
      <c r="BJ148" s="62">
        <f t="shared" si="146"/>
        <v>511.37583835090879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55.538504301440256</v>
      </c>
      <c r="BQ148" s="23">
        <f>EXP(-LN(2)/25)*BQ147+(1-EXP(-LN(2)/25))/(LN(2)/25)*Calculateur!BL148*Calculateur!BN148*VLOOKUP('Données projet'!$B$11,Paramètres!$A$1:$I$89,3,0)*0.475*44/12</f>
        <v>2.0801874314918005</v>
      </c>
      <c r="BR148" s="23">
        <f>EXP(-LN(2)/2)*BR147+(1-EXP(-LN(2)/2))/(LN(2)/2)*BL148*BO148*VLOOKUP('Données projet'!$B$11,Paramètres!$A$1:$I$89,3,0)*0.475*44/12</f>
        <v>3.8933673065635618E-15</v>
      </c>
      <c r="BS148" s="24">
        <f t="shared" si="117"/>
        <v>57.618691732932064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475</v>
      </c>
      <c r="BZ148" s="14">
        <f>BY148*VLOOKUP('Données projet'!$B$12,Paramètres!$A$1:$I$89,3,0)*VLOOKUP('Données projet'!$B$12,Paramètres!$A$1:$I$89,5,0)</f>
        <v>407.55</v>
      </c>
      <c r="CA148" s="14">
        <f t="shared" si="147"/>
        <v>93.305642095357683</v>
      </c>
      <c r="CB148" s="22">
        <f t="shared" si="118"/>
        <v>872.32357664941446</v>
      </c>
      <c r="CC148" s="62">
        <f t="shared" si="119"/>
        <v>1158.4093938412079</v>
      </c>
      <c r="CD148" s="62">
        <f ca="1">AVERAGE(OFFSET($CC$3,0,0,'Données projet'!$E$12+1,1))-AVERAGE(OFFSET($H$3,0,0,'Données projet'!$E$12+1,1))</f>
        <v>590.18141384962507</v>
      </c>
      <c r="CE148" s="62">
        <f t="shared" si="148"/>
        <v>331.25104323342907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186.88545976089299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186.88545976089299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4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5.8</v>
      </c>
      <c r="N149" s="14">
        <f>IF('Données projet'!$A$36&gt;35,N148+M149-V148,IF(A149&lt;'Données projet'!$A$36,$K$205^A149,IF(A149='Données projet'!$A$36,'Données projet'!$B$36,N148+M149-V148)))</f>
        <v>322.40000000000003</v>
      </c>
      <c r="O149" s="14">
        <f>N149*VLOOKUP('Données projet'!$B$9,Paramètres!$A$1:$I$89,3,0)*VLOOKUP('Données projet'!$B$9,Paramètres!$A$1:$I$89,5,0)</f>
        <v>291.70752000000005</v>
      </c>
      <c r="P149" s="14">
        <f t="shared" si="141"/>
        <v>69.435215282847324</v>
      </c>
      <c r="Q149" s="22">
        <f t="shared" si="108"/>
        <v>628.99026395095905</v>
      </c>
      <c r="R149" s="62">
        <f t="shared" si="109"/>
        <v>915.20180934478969</v>
      </c>
      <c r="S149" s="62">
        <f ca="1">AVERAGE(OFFSET($R$3,0,0,'Données projet'!$E$9+1,1))-AVERAGE(OFFSET($H$3,0,0,'Données projet'!$E$9+1,1))</f>
        <v>432.80275651765203</v>
      </c>
      <c r="T149" s="62">
        <f t="shared" si="142"/>
        <v>203.89279893419919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30.347037725473175</v>
      </c>
      <c r="AA149" s="23">
        <f>EXP(-LN(2)/25)*AA148+(1-EXP(-LN(2)/25))/(LN(2)/25)*Calculateur!V149*Calculateur!X149*VLOOKUP('Données projet'!$B$9,Paramètres!$A$1:$I$89,3,0)*0.475*44/12</f>
        <v>19.079037170487311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49.426074895960483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1.9895196601282805E-13</v>
      </c>
      <c r="AJ149" s="14">
        <f>AI149*VLOOKUP('Données projet'!$B$10,Paramètres!$A$1:$I$89,3,0)*VLOOKUP('Données projet'!$B$10,Paramètres!$A$1:$I$89,5,0)</f>
        <v>1.738044375088066E-13</v>
      </c>
      <c r="AK149" s="14">
        <f t="shared" si="143"/>
        <v>2.4483293633950478E-12</v>
      </c>
      <c r="AL149" s="22">
        <f t="shared" si="112"/>
        <v>4.566883036574213E-12</v>
      </c>
      <c r="AM149" s="62">
        <f t="shared" si="113"/>
        <v>286.21154539383519</v>
      </c>
      <c r="AN149" s="62">
        <f ca="1">AVERAGE(OFFSET($AM$3,0,0,'Données projet'!$E$10+1,1))-AVERAGE(OFFSET($H$3,0,0,'Données projet'!$E$10+1,1))</f>
        <v>341.62910675299065</v>
      </c>
      <c r="AO149" s="62">
        <f t="shared" si="144"/>
        <v>407.15938341104709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22.954212878102631</v>
      </c>
      <c r="AV149" s="23">
        <f>EXP(-LN(2)/25)*AV148+(1-EXP(-LN(2)/25))/(LN(2)/25)*Calculateur!AQ149*Calculateur!AS149*VLOOKUP('Données projet'!$B$10,Paramètres!$A$1:$I$89,3,0)*0.475*44/12</f>
        <v>6.7783110836094087</v>
      </c>
      <c r="AW149" s="23">
        <f>EXP(-LN(2)/2)*AW148+(1-EXP(-LN(2)/2))/(LN(2)/2)*AQ149*AT149*VLOOKUP('Données projet'!$B$10,Paramètres!$A$1:$I$89,3,0)*0.475*44/12</f>
        <v>1.5228467908299079E-12</v>
      </c>
      <c r="AX149" s="23">
        <f t="shared" si="114"/>
        <v>29.732523961713564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1.6405010683229191E-13</v>
      </c>
      <c r="BF149" s="14">
        <f t="shared" si="145"/>
        <v>2.3265121008813928E-12</v>
      </c>
      <c r="BG149" s="22">
        <f t="shared" si="115"/>
        <v>4.337729178434667E-12</v>
      </c>
      <c r="BH149" s="62">
        <f t="shared" si="116"/>
        <v>286.21154539383497</v>
      </c>
      <c r="BI149" s="62">
        <f ca="1">AVERAGE(OFFSET($BH$3,0,0,'Données projet'!$E$11+1,1))-AVERAGE(OFFSET($H$3,0,0,'Données projet'!$E$11+1,1))</f>
        <v>405.94837980869011</v>
      </c>
      <c r="BJ149" s="62">
        <f t="shared" si="146"/>
        <v>511.37583835090879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54.449428107231746</v>
      </c>
      <c r="BQ149" s="23">
        <f>EXP(-LN(2)/25)*BQ148+(1-EXP(-LN(2)/25))/(LN(2)/25)*Calculateur!BL149*Calculateur!BN149*VLOOKUP('Données projet'!$B$11,Paramètres!$A$1:$I$89,3,0)*0.475*44/12</f>
        <v>2.0233045967853545</v>
      </c>
      <c r="BR149" s="23">
        <f>EXP(-LN(2)/2)*BR148+(1-EXP(-LN(2)/2))/(LN(2)/2)*BL149*BO149*VLOOKUP('Données projet'!$B$11,Paramètres!$A$1:$I$89,3,0)*0.475*44/12</f>
        <v>2.7530264241210985E-15</v>
      </c>
      <c r="BS149" s="24">
        <f t="shared" si="117"/>
        <v>56.472732704017098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475</v>
      </c>
      <c r="BZ149" s="14">
        <f>BY149*VLOOKUP('Données projet'!$B$12,Paramètres!$A$1:$I$89,3,0)*VLOOKUP('Données projet'!$B$12,Paramètres!$A$1:$I$89,5,0)</f>
        <v>407.55</v>
      </c>
      <c r="CA149" s="14">
        <f t="shared" si="147"/>
        <v>93.305642095357683</v>
      </c>
      <c r="CB149" s="22">
        <f t="shared" si="118"/>
        <v>872.32357664941446</v>
      </c>
      <c r="CC149" s="62">
        <f t="shared" si="119"/>
        <v>1158.5351220432451</v>
      </c>
      <c r="CD149" s="62">
        <f ca="1">AVERAGE(OFFSET($CC$3,0,0,'Données projet'!$E$12+1,1))-AVERAGE(OFFSET($H$3,0,0,'Données projet'!$E$12+1,1))</f>
        <v>590.18141384962507</v>
      </c>
      <c r="CE149" s="62">
        <f t="shared" si="148"/>
        <v>331.25104323342907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183.22074988385685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183.22074988385685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4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5.8</v>
      </c>
      <c r="N150" s="14">
        <f>IF('Données projet'!$A$36&gt;35,N149+M150-V149,IF(A150&lt;'Données projet'!$A$36,$K$205^A150,IF(A150='Données projet'!$A$36,'Données projet'!$B$36,N149+M150-V149)))</f>
        <v>328.20000000000005</v>
      </c>
      <c r="O150" s="14">
        <f>N150*VLOOKUP('Données projet'!$B$9,Paramètres!$A$1:$I$89,3,0)*VLOOKUP('Données projet'!$B$9,Paramètres!$A$1:$I$89,5,0)</f>
        <v>296.95536000000004</v>
      </c>
      <c r="P150" s="14">
        <f t="shared" si="141"/>
        <v>70.537811551531092</v>
      </c>
      <c r="Q150" s="22">
        <f t="shared" si="108"/>
        <v>640.05060711891667</v>
      </c>
      <c r="R150" s="62">
        <f t="shared" si="109"/>
        <v>926.38569961156509</v>
      </c>
      <c r="S150" s="62">
        <f ca="1">AVERAGE(OFFSET($R$3,0,0,'Données projet'!$E$9+1,1))-AVERAGE(OFFSET($H$3,0,0,'Données projet'!$E$9+1,1))</f>
        <v>432.80275651765203</v>
      </c>
      <c r="T150" s="62">
        <f t="shared" si="142"/>
        <v>203.89279893419919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29.751950825541961</v>
      </c>
      <c r="AA150" s="23">
        <f>EXP(-LN(2)/25)*AA149+(1-EXP(-LN(2)/25))/(LN(2)/25)*Calculateur!V150*Calculateur!X150*VLOOKUP('Données projet'!$B$9,Paramètres!$A$1:$I$89,3,0)*0.475*44/12</f>
        <v>18.557319895737376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48.309270721279333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1.9895196601282805E-13</v>
      </c>
      <c r="AJ150" s="14">
        <f>AI150*VLOOKUP('Données projet'!$B$10,Paramètres!$A$1:$I$89,3,0)*VLOOKUP('Données projet'!$B$10,Paramètres!$A$1:$I$89,5,0)</f>
        <v>1.738044375088066E-13</v>
      </c>
      <c r="AK150" s="14">
        <f t="shared" si="143"/>
        <v>2.4483293633950478E-12</v>
      </c>
      <c r="AL150" s="22">
        <f t="shared" si="112"/>
        <v>4.566883036574213E-12</v>
      </c>
      <c r="AM150" s="62">
        <f t="shared" si="113"/>
        <v>286.33509249265296</v>
      </c>
      <c r="AN150" s="62">
        <f ca="1">AVERAGE(OFFSET($AM$3,0,0,'Données projet'!$E$10+1,1))-AVERAGE(OFFSET($H$3,0,0,'Données projet'!$E$10+1,1))</f>
        <v>341.62910675299065</v>
      </c>
      <c r="AO150" s="62">
        <f t="shared" si="144"/>
        <v>407.15938341104709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22.504094764250439</v>
      </c>
      <c r="AV150" s="23">
        <f>EXP(-LN(2)/25)*AV149+(1-EXP(-LN(2)/25))/(LN(2)/25)*Calculateur!AQ150*Calculateur!AS150*VLOOKUP('Données projet'!$B$10,Paramètres!$A$1:$I$89,3,0)*0.475*44/12</f>
        <v>6.592957810572222</v>
      </c>
      <c r="AW150" s="23">
        <f>EXP(-LN(2)/2)*AW149+(1-EXP(-LN(2)/2))/(LN(2)/2)*AQ150*AT150*VLOOKUP('Données projet'!$B$10,Paramètres!$A$1:$I$89,3,0)*0.475*44/12</f>
        <v>1.0768152925039998E-12</v>
      </c>
      <c r="AX150" s="23">
        <f t="shared" si="114"/>
        <v>29.097052574823739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1.6405010683229191E-13</v>
      </c>
      <c r="BF150" s="14">
        <f t="shared" si="145"/>
        <v>2.3265121008813928E-12</v>
      </c>
      <c r="BG150" s="22">
        <f t="shared" si="115"/>
        <v>4.337729178434667E-12</v>
      </c>
      <c r="BH150" s="62">
        <f t="shared" si="116"/>
        <v>286.33509249265273</v>
      </c>
      <c r="BI150" s="62">
        <f ca="1">AVERAGE(OFFSET($BH$3,0,0,'Données projet'!$E$11+1,1))-AVERAGE(OFFSET($H$3,0,0,'Données projet'!$E$11+1,1))</f>
        <v>405.94837980869011</v>
      </c>
      <c r="BJ150" s="62">
        <f t="shared" si="146"/>
        <v>511.37583835090879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53.381708032920777</v>
      </c>
      <c r="BQ150" s="23">
        <f>EXP(-LN(2)/25)*BQ149+(1-EXP(-LN(2)/25))/(LN(2)/25)*Calculateur!BL150*Calculateur!BN150*VLOOKUP('Données projet'!$B$11,Paramètres!$A$1:$I$89,3,0)*0.475*44/12</f>
        <v>1.9679772261852946</v>
      </c>
      <c r="BR150" s="23">
        <f>EXP(-LN(2)/2)*BR149+(1-EXP(-LN(2)/2))/(LN(2)/2)*BL150*BO150*VLOOKUP('Données projet'!$B$11,Paramètres!$A$1:$I$89,3,0)*0.475*44/12</f>
        <v>1.9466836532817809E-15</v>
      </c>
      <c r="BS150" s="24">
        <f t="shared" si="117"/>
        <v>55.349685259106074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475</v>
      </c>
      <c r="BZ150" s="14">
        <f>BY150*VLOOKUP('Données projet'!$B$12,Paramètres!$A$1:$I$89,3,0)*VLOOKUP('Données projet'!$B$12,Paramètres!$A$1:$I$89,5,0)</f>
        <v>407.55</v>
      </c>
      <c r="CA150" s="14">
        <f t="shared" si="147"/>
        <v>93.305642095357683</v>
      </c>
      <c r="CB150" s="22">
        <f t="shared" si="118"/>
        <v>872.32357664941446</v>
      </c>
      <c r="CC150" s="62">
        <f t="shared" si="119"/>
        <v>1158.658669142063</v>
      </c>
      <c r="CD150" s="62">
        <f ca="1">AVERAGE(OFFSET($CC$3,0,0,'Données projet'!$E$12+1,1))-AVERAGE(OFFSET($H$3,0,0,'Données projet'!$E$12+1,1))</f>
        <v>590.18141384962507</v>
      </c>
      <c r="CE150" s="62">
        <f t="shared" si="148"/>
        <v>331.25104323342907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179.6279027322571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179.6279027322571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4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>
        <f>VLOOKUP(A151,'Données projet'!$A$35:$I$55,2,0)</f>
        <v>334</v>
      </c>
      <c r="L151" s="13">
        <f>VLOOKUP(A151,'Données projet'!$A$35:$I$55,9,0)</f>
        <v>5.8</v>
      </c>
      <c r="M151" s="13">
        <f t="array" ref="M151">INDEX(L:L,MIN(IF(ISNUMBER(L151:L347),ROW(L151:L347),"")))</f>
        <v>5.8</v>
      </c>
      <c r="N151" s="14">
        <f>IF('Données projet'!$A$36&gt;35,N150+M151-V150,IF(A151&lt;'Données projet'!$A$36,$K$205^A151,IF(A151='Données projet'!$A$36,'Données projet'!$B$36,N150+M151-V150)))</f>
        <v>334.00000000000006</v>
      </c>
      <c r="O151" s="14">
        <f>N151*VLOOKUP('Données projet'!$B$9,Paramètres!$A$1:$I$89,3,0)*VLOOKUP('Données projet'!$B$9,Paramètres!$A$1:$I$89,5,0)</f>
        <v>302.20320000000004</v>
      </c>
      <c r="P151" s="14">
        <f t="shared" si="141"/>
        <v>71.638141943842299</v>
      </c>
      <c r="Q151" s="22">
        <f t="shared" si="108"/>
        <v>651.10700388552539</v>
      </c>
      <c r="R151" s="62">
        <f t="shared" si="109"/>
        <v>937.56350021103708</v>
      </c>
      <c r="S151" s="62">
        <f ca="1">AVERAGE(OFFSET($R$3,0,0,'Données projet'!$E$9+1,1))-AVERAGE(OFFSET($H$3,0,0,'Données projet'!$E$9+1,1))</f>
        <v>432.80275651765203</v>
      </c>
      <c r="T151" s="62">
        <f t="shared" si="142"/>
        <v>203.89279893419919</v>
      </c>
      <c r="U151" s="16">
        <f>IF(ISNA(VLOOKUP(A151,'Données projet'!$A$35:$I$55,3,0)),0,VLOOKUP(A151,'Données projet'!$A$35:$I$55,3,0))</f>
        <v>11</v>
      </c>
      <c r="V151" s="16">
        <f>IF(ISNA(VLOOKUP(A151,'Données projet'!$A$35:$I$55,4,0)),0,VLOOKUP(A151,'Données projet'!$A$35:$I$55,4,0))</f>
        <v>41</v>
      </c>
      <c r="W151" s="17">
        <f>IF(ISNA(VLOOKUP(A151,'Données projet'!$A$35:$I$55,5,0)),0%,VLOOKUP(A151,'Données projet'!$A$35:$I$55,5,0)*VLOOKUP('Données projet'!$B$9,Paramètres!$A$1:$I$89,7,0))</f>
        <v>0.215</v>
      </c>
      <c r="X151" s="17">
        <f>IF(ISNA(VLOOKUP(A151,'Données projet'!$A$35:$I$55,6,0)),0%,VLOOKUP(A151,'Données projet'!$A$35:$I$55,6,0)*VLOOKUP('Données projet'!$B$9,Paramètres!$A$1:$I$89,7,0))</f>
        <v>0.17200000000000001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37.985557135474686</v>
      </c>
      <c r="AA151" s="23">
        <f>EXP(-LN(2)/25)*AA150+(1-EXP(-LN(2)/25))/(LN(2)/25)*Calculateur!V151*Calculateur!X151*VLOOKUP('Données projet'!$B$9,Paramètres!$A$1:$I$89,3,0)*0.475*44/12</f>
        <v>25.075715356106155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63.061272491580837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1.9895196601282805E-13</v>
      </c>
      <c r="AJ151" s="14">
        <f>AI151*VLOOKUP('Données projet'!$B$10,Paramètres!$A$1:$I$89,3,0)*VLOOKUP('Données projet'!$B$10,Paramètres!$A$1:$I$89,5,0)</f>
        <v>1.738044375088066E-13</v>
      </c>
      <c r="AK151" s="14">
        <f t="shared" si="143"/>
        <v>2.4483293633950478E-12</v>
      </c>
      <c r="AL151" s="22">
        <f t="shared" si="112"/>
        <v>4.566883036574213E-12</v>
      </c>
      <c r="AM151" s="62">
        <f t="shared" si="113"/>
        <v>286.45649632551624</v>
      </c>
      <c r="AN151" s="62">
        <f ca="1">AVERAGE(OFFSET($AM$3,0,0,'Données projet'!$E$10+1,1))-AVERAGE(OFFSET($H$3,0,0,'Données projet'!$E$10+1,1))</f>
        <v>341.62910675299065</v>
      </c>
      <c r="AO151" s="62">
        <f t="shared" si="144"/>
        <v>407.15938341104709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22.06280319206595</v>
      </c>
      <c r="AV151" s="23">
        <f>EXP(-LN(2)/25)*AV150+(1-EXP(-LN(2)/25))/(LN(2)/25)*Calculateur!AQ151*Calculateur!AS151*VLOOKUP('Données projet'!$B$10,Paramètres!$A$1:$I$89,3,0)*0.475*44/12</f>
        <v>6.4126730325335419</v>
      </c>
      <c r="AW151" s="23">
        <f>EXP(-LN(2)/2)*AW150+(1-EXP(-LN(2)/2))/(LN(2)/2)*AQ151*AT151*VLOOKUP('Données projet'!$B$10,Paramètres!$A$1:$I$89,3,0)*0.475*44/12</f>
        <v>7.6142339541495396E-13</v>
      </c>
      <c r="AX151" s="23">
        <f t="shared" si="114"/>
        <v>28.47547622460025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1.6405010683229191E-13</v>
      </c>
      <c r="BF151" s="14">
        <f t="shared" si="145"/>
        <v>2.3265121008813928E-12</v>
      </c>
      <c r="BG151" s="22">
        <f t="shared" si="115"/>
        <v>4.337729178434667E-12</v>
      </c>
      <c r="BH151" s="62">
        <f t="shared" si="116"/>
        <v>286.45649632551601</v>
      </c>
      <c r="BI151" s="62">
        <f ca="1">AVERAGE(OFFSET($BH$3,0,0,'Données projet'!$E$11+1,1))-AVERAGE(OFFSET($H$3,0,0,'Données projet'!$E$11+1,1))</f>
        <v>405.94837980869011</v>
      </c>
      <c r="BJ151" s="62">
        <f t="shared" si="146"/>
        <v>511.37583835090879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52.334925298022107</v>
      </c>
      <c r="BQ151" s="23">
        <f>EXP(-LN(2)/25)*BQ150+(1-EXP(-LN(2)/25))/(LN(2)/25)*Calculateur!BL151*Calculateur!BN151*VLOOKUP('Données projet'!$B$11,Paramètres!$A$1:$I$89,3,0)*0.475*44/12</f>
        <v>1.9141627854438332</v>
      </c>
      <c r="BR151" s="23">
        <f>EXP(-LN(2)/2)*BR150+(1-EXP(-LN(2)/2))/(LN(2)/2)*BL151*BO151*VLOOKUP('Données projet'!$B$11,Paramètres!$A$1:$I$89,3,0)*0.475*44/12</f>
        <v>1.3765132120605492E-15</v>
      </c>
      <c r="BS151" s="24">
        <f t="shared" si="117"/>
        <v>54.249088083465942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475</v>
      </c>
      <c r="BZ151" s="14">
        <f>BY151*VLOOKUP('Données projet'!$B$12,Paramètres!$A$1:$I$89,3,0)*VLOOKUP('Données projet'!$B$12,Paramètres!$A$1:$I$89,5,0)</f>
        <v>407.55</v>
      </c>
      <c r="CA151" s="14">
        <f t="shared" si="147"/>
        <v>93.305642095357683</v>
      </c>
      <c r="CB151" s="22">
        <f t="shared" si="118"/>
        <v>872.32357664941446</v>
      </c>
      <c r="CC151" s="62">
        <f t="shared" si="119"/>
        <v>1158.780072974926</v>
      </c>
      <c r="CD151" s="62">
        <f ca="1">AVERAGE(OFFSET($CC$3,0,0,'Données projet'!$E$12+1,1))-AVERAGE(OFFSET($H$3,0,0,'Données projet'!$E$12+1,1))</f>
        <v>590.18141384962507</v>
      </c>
      <c r="CE151" s="62">
        <f t="shared" si="148"/>
        <v>331.25104323342907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176.10550912187983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176.10550912187983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4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-3.4705882352941178</v>
      </c>
      <c r="N152" s="14">
        <f>IF('Données projet'!$A$36&gt;35,N151+M152-V151,IF(A152&lt;'Données projet'!$A$36,$K$205^A152,IF(A152='Données projet'!$A$36,'Données projet'!$B$36,N151+M152-V151)))</f>
        <v>289.52941176470591</v>
      </c>
      <c r="O152" s="14">
        <f>N152*VLOOKUP('Données projet'!$B$9,Paramètres!$A$1:$I$89,3,0)*VLOOKUP('Données projet'!$B$9,Paramètres!$A$1:$I$89,5,0)</f>
        <v>261.96621176470592</v>
      </c>
      <c r="P152" s="14">
        <f t="shared" si="141"/>
        <v>63.141310899563408</v>
      </c>
      <c r="Q152" s="22">
        <f t="shared" si="108"/>
        <v>566.22893530693568</v>
      </c>
      <c r="R152" s="62">
        <f t="shared" si="109"/>
        <v>852.80472938022876</v>
      </c>
      <c r="S152" s="62">
        <f ca="1">AVERAGE(OFFSET($R$3,0,0,'Données projet'!$E$9+1,1))-AVERAGE(OFFSET($H$3,0,0,'Données projet'!$E$9+1,1))</f>
        <v>432.80275651765203</v>
      </c>
      <c r="T152" s="62">
        <f t="shared" si="142"/>
        <v>203.89279893419919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37.240683528950143</v>
      </c>
      <c r="AA152" s="23">
        <f>EXP(-LN(2)/25)*AA151+(1-EXP(-LN(2)/25))/(LN(2)/25)*Calculateur!V152*Calculateur!X152*VLOOKUP('Données projet'!$B$9,Paramètres!$A$1:$I$89,3,0)*0.475*44/12</f>
        <v>24.390018601018873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61.630702129969016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1.9895196601282805E-13</v>
      </c>
      <c r="AJ152" s="14">
        <f>AI152*VLOOKUP('Données projet'!$B$10,Paramètres!$A$1:$I$89,3,0)*VLOOKUP('Données projet'!$B$10,Paramètres!$A$1:$I$89,5,0)</f>
        <v>1.738044375088066E-13</v>
      </c>
      <c r="AK152" s="14">
        <f t="shared" si="143"/>
        <v>2.4483293633950478E-12</v>
      </c>
      <c r="AL152" s="22">
        <f t="shared" si="112"/>
        <v>4.566883036574213E-12</v>
      </c>
      <c r="AM152" s="62">
        <f t="shared" si="113"/>
        <v>286.57579407329763</v>
      </c>
      <c r="AN152" s="62">
        <f ca="1">AVERAGE(OFFSET($AM$3,0,0,'Données projet'!$E$10+1,1))-AVERAGE(OFFSET($H$3,0,0,'Données projet'!$E$10+1,1))</f>
        <v>341.62910675299065</v>
      </c>
      <c r="AO152" s="62">
        <f t="shared" si="144"/>
        <v>407.15938341104709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21.630165078450716</v>
      </c>
      <c r="AV152" s="23">
        <f>EXP(-LN(2)/25)*AV151+(1-EXP(-LN(2)/25))/(LN(2)/25)*Calculateur!AQ152*Calculateur!AS152*VLOOKUP('Données projet'!$B$10,Paramètres!$A$1:$I$89,3,0)*0.475*44/12</f>
        <v>6.2373181512310936</v>
      </c>
      <c r="AW152" s="23">
        <f>EXP(-LN(2)/2)*AW151+(1-EXP(-LN(2)/2))/(LN(2)/2)*AQ152*AT152*VLOOKUP('Données projet'!$B$10,Paramètres!$A$1:$I$89,3,0)*0.475*44/12</f>
        <v>5.3840764625199989E-13</v>
      </c>
      <c r="AX152" s="23">
        <f t="shared" si="114"/>
        <v>27.86748322968235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1.6405010683229191E-13</v>
      </c>
      <c r="BF152" s="14">
        <f t="shared" si="145"/>
        <v>2.3265121008813928E-12</v>
      </c>
      <c r="BG152" s="22">
        <f t="shared" si="115"/>
        <v>4.337729178434667E-12</v>
      </c>
      <c r="BH152" s="62">
        <f t="shared" si="116"/>
        <v>286.5757940732974</v>
      </c>
      <c r="BI152" s="62">
        <f ca="1">AVERAGE(OFFSET($BH$3,0,0,'Données projet'!$E$11+1,1))-AVERAGE(OFFSET($H$3,0,0,'Données projet'!$E$11+1,1))</f>
        <v>405.94837980869011</v>
      </c>
      <c r="BJ152" s="62">
        <f t="shared" si="146"/>
        <v>511.37583835090879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51.308669334080371</v>
      </c>
      <c r="BQ152" s="23">
        <f>EXP(-LN(2)/25)*BQ151+(1-EXP(-LN(2)/25))/(LN(2)/25)*Calculateur!BL152*Calculateur!BN152*VLOOKUP('Données projet'!$B$11,Paramètres!$A$1:$I$89,3,0)*0.475*44/12</f>
        <v>1.8618199034144256</v>
      </c>
      <c r="BR152" s="23">
        <f>EXP(-LN(2)/2)*BR151+(1-EXP(-LN(2)/2))/(LN(2)/2)*BL152*BO152*VLOOKUP('Données projet'!$B$11,Paramètres!$A$1:$I$89,3,0)*0.475*44/12</f>
        <v>9.7334182664089046E-16</v>
      </c>
      <c r="BS152" s="24">
        <f t="shared" si="117"/>
        <v>53.170489237494799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475</v>
      </c>
      <c r="BZ152" s="14">
        <f>BY152*VLOOKUP('Données projet'!$B$12,Paramètres!$A$1:$I$89,3,0)*VLOOKUP('Données projet'!$B$12,Paramètres!$A$1:$I$89,5,0)</f>
        <v>407.55</v>
      </c>
      <c r="CA152" s="14">
        <f t="shared" si="147"/>
        <v>93.305642095357683</v>
      </c>
      <c r="CB152" s="22">
        <f t="shared" si="118"/>
        <v>872.32357664941446</v>
      </c>
      <c r="CC152" s="62">
        <f t="shared" si="119"/>
        <v>1158.8993707227075</v>
      </c>
      <c r="CD152" s="62">
        <f ca="1">AVERAGE(OFFSET($CC$3,0,0,'Données projet'!$E$12+1,1))-AVERAGE(OFFSET($H$3,0,0,'Données projet'!$E$12+1,1))</f>
        <v>590.18141384962507</v>
      </c>
      <c r="CE152" s="62">
        <f t="shared" si="148"/>
        <v>331.25104323342907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172.6521875017541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172.6521875017541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4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-3.4705882352941178</v>
      </c>
      <c r="N153" s="14">
        <f>IF('Données projet'!$A$36&gt;35,N152+M153-V152,IF(A153&lt;'Données projet'!$A$36,$K$205^A153,IF(A153='Données projet'!$A$36,'Données projet'!$B$36,N152+M153-V152)))</f>
        <v>286.05882352941177</v>
      </c>
      <c r="O153" s="14">
        <f>N153*VLOOKUP('Données projet'!$B$9,Paramètres!$A$1:$I$89,3,0)*VLOOKUP('Données projet'!$B$9,Paramètres!$A$1:$I$89,5,0)</f>
        <v>258.82602352941177</v>
      </c>
      <c r="P153" s="14">
        <f t="shared" si="141"/>
        <v>62.472067741593087</v>
      </c>
      <c r="Q153" s="22">
        <f t="shared" si="108"/>
        <v>559.59417563033344</v>
      </c>
      <c r="R153" s="62">
        <f t="shared" si="109"/>
        <v>846.28719790219384</v>
      </c>
      <c r="S153" s="62">
        <f ca="1">AVERAGE(OFFSET($R$3,0,0,'Données projet'!$E$9+1,1))-AVERAGE(OFFSET($H$3,0,0,'Données projet'!$E$9+1,1))</f>
        <v>432.80275651765203</v>
      </c>
      <c r="T153" s="62">
        <f t="shared" si="142"/>
        <v>203.89279893419919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36.510416439521507</v>
      </c>
      <c r="AA153" s="23">
        <f>EXP(-LN(2)/25)*AA152+(1-EXP(-LN(2)/25))/(LN(2)/25)*Calculateur!V153*Calculateur!X153*VLOOKUP('Données projet'!$B$9,Paramètres!$A$1:$I$89,3,0)*0.475*44/12</f>
        <v>23.723072259758677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60.233488699280187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1.9895196601282805E-13</v>
      </c>
      <c r="AJ153" s="14">
        <f>AI153*VLOOKUP('Données projet'!$B$10,Paramètres!$A$1:$I$89,3,0)*VLOOKUP('Données projet'!$B$10,Paramètres!$A$1:$I$89,5,0)</f>
        <v>1.738044375088066E-13</v>
      </c>
      <c r="AK153" s="14">
        <f t="shared" si="143"/>
        <v>2.4483293633950478E-12</v>
      </c>
      <c r="AL153" s="22">
        <f t="shared" si="112"/>
        <v>4.566883036574213E-12</v>
      </c>
      <c r="AM153" s="62">
        <f t="shared" si="113"/>
        <v>286.69302227186489</v>
      </c>
      <c r="AN153" s="62">
        <f ca="1">AVERAGE(OFFSET($AM$3,0,0,'Données projet'!$E$10+1,1))-AVERAGE(OFFSET($H$3,0,0,'Données projet'!$E$10+1,1))</f>
        <v>341.62910675299065</v>
      </c>
      <c r="AO153" s="62">
        <f t="shared" si="144"/>
        <v>407.15938341104709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21.206010734360284</v>
      </c>
      <c r="AV153" s="23">
        <f>EXP(-LN(2)/25)*AV152+(1-EXP(-LN(2)/25))/(LN(2)/25)*Calculateur!AQ153*Calculateur!AS153*VLOOKUP('Données projet'!$B$10,Paramètres!$A$1:$I$89,3,0)*0.475*44/12</f>
        <v>6.0667583583793734</v>
      </c>
      <c r="AW153" s="23">
        <f>EXP(-LN(2)/2)*AW152+(1-EXP(-LN(2)/2))/(LN(2)/2)*AQ153*AT153*VLOOKUP('Données projet'!$B$10,Paramètres!$A$1:$I$89,3,0)*0.475*44/12</f>
        <v>3.8071169770747698E-13</v>
      </c>
      <c r="AX153" s="23">
        <f t="shared" si="114"/>
        <v>27.272769092740038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1.6405010683229191E-13</v>
      </c>
      <c r="BF153" s="14">
        <f t="shared" si="145"/>
        <v>2.3265121008813928E-12</v>
      </c>
      <c r="BG153" s="22">
        <f t="shared" si="115"/>
        <v>4.337729178434667E-12</v>
      </c>
      <c r="BH153" s="62">
        <f t="shared" si="116"/>
        <v>286.69302227186466</v>
      </c>
      <c r="BI153" s="62">
        <f ca="1">AVERAGE(OFFSET($BH$3,0,0,'Données projet'!$E$11+1,1))-AVERAGE(OFFSET($H$3,0,0,'Données projet'!$E$11+1,1))</f>
        <v>405.94837980869011</v>
      </c>
      <c r="BJ153" s="62">
        <f t="shared" si="146"/>
        <v>511.37583835090879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50.302537623637207</v>
      </c>
      <c r="BQ153" s="23">
        <f>EXP(-LN(2)/25)*BQ152+(1-EXP(-LN(2)/25))/(LN(2)/25)*Calculateur!BL153*Calculateur!BN153*VLOOKUP('Données projet'!$B$11,Paramètres!$A$1:$I$89,3,0)*0.475*44/12</f>
        <v>1.8109083402467046</v>
      </c>
      <c r="BR153" s="23">
        <f>EXP(-LN(2)/2)*BR152+(1-EXP(-LN(2)/2))/(LN(2)/2)*BL153*BO153*VLOOKUP('Données projet'!$B$11,Paramètres!$A$1:$I$89,3,0)*0.475*44/12</f>
        <v>6.8825660603027461E-16</v>
      </c>
      <c r="BS153" s="24">
        <f t="shared" si="117"/>
        <v>52.113445963883912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475</v>
      </c>
      <c r="BZ153" s="14">
        <f>BY153*VLOOKUP('Données projet'!$B$12,Paramètres!$A$1:$I$89,3,0)*VLOOKUP('Données projet'!$B$12,Paramètres!$A$1:$I$89,5,0)</f>
        <v>407.55</v>
      </c>
      <c r="CA153" s="14">
        <f t="shared" si="147"/>
        <v>93.305642095357683</v>
      </c>
      <c r="CB153" s="22">
        <f t="shared" si="118"/>
        <v>872.32357664941446</v>
      </c>
      <c r="CC153" s="62">
        <f t="shared" si="119"/>
        <v>1159.0165989212749</v>
      </c>
      <c r="CD153" s="62">
        <f ca="1">AVERAGE(OFFSET($CC$3,0,0,'Données projet'!$E$12+1,1))-AVERAGE(OFFSET($H$3,0,0,'Données projet'!$E$12+1,1))</f>
        <v>590.18141384962507</v>
      </c>
      <c r="CE153" s="62">
        <f t="shared" si="148"/>
        <v>331.25104323342907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169.26658341228082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169.26658341228082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4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-3.4705882352941178</v>
      </c>
      <c r="N154" s="14">
        <f>IF('Données projet'!$A$36&gt;35,N153+M154-V153,IF(A154&lt;'Données projet'!$A$36,$K$205^A154,IF(A154='Données projet'!$A$36,'Données projet'!$B$36,N153+M154-V153)))</f>
        <v>282.58823529411762</v>
      </c>
      <c r="O154" s="14">
        <f>N154*VLOOKUP('Données projet'!$B$9,Paramètres!$A$1:$I$89,3,0)*VLOOKUP('Données projet'!$B$9,Paramètres!$A$1:$I$89,5,0)</f>
        <v>255.68583529411762</v>
      </c>
      <c r="P154" s="14">
        <f t="shared" si="141"/>
        <v>61.80187877637033</v>
      </c>
      <c r="Q154" s="22">
        <f t="shared" ref="Q154:Q203" si="162">(O154+P154)*0.475*44/12</f>
        <v>552.95776867276652</v>
      </c>
      <c r="R154" s="62">
        <f t="shared" si="109"/>
        <v>839.76598549603182</v>
      </c>
      <c r="S154" s="62">
        <f ca="1">AVERAGE(OFFSET($R$3,0,0,'Données projet'!$E$9+1,1))-AVERAGE(OFFSET($H$3,0,0,'Données projet'!$E$9+1,1))</f>
        <v>432.80275651765203</v>
      </c>
      <c r="T154" s="62">
        <f t="shared" si="142"/>
        <v>203.89279893419919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35.794469442297618</v>
      </c>
      <c r="AA154" s="23">
        <f>EXP(-LN(2)/25)*AA153+(1-EXP(-LN(2)/25))/(LN(2)/25)*Calculateur!V154*Calculateur!X154*VLOOKUP('Données projet'!$B$9,Paramètres!$A$1:$I$89,3,0)*0.475*44/12</f>
        <v>23.074363601273426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58.868833043571044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1.9895196601282805E-13</v>
      </c>
      <c r="AJ154" s="14">
        <f>AI154*VLOOKUP('Données projet'!$B$10,Paramètres!$A$1:$I$89,3,0)*VLOOKUP('Données projet'!$B$10,Paramètres!$A$1:$I$89,5,0)</f>
        <v>1.738044375088066E-13</v>
      </c>
      <c r="AK154" s="14">
        <f t="shared" ref="AK154:AK203" si="164">EXP(-1.0587+0.8836*LN(AJ154)+0.284)</f>
        <v>2.4483293633950478E-12</v>
      </c>
      <c r="AL154" s="22">
        <f t="shared" ref="AL154:AL203" si="165">(AJ154+AK154)*0.475*44/12</f>
        <v>4.566883036574213E-12</v>
      </c>
      <c r="AM154" s="62">
        <f t="shared" si="113"/>
        <v>286.8082168232699</v>
      </c>
      <c r="AN154" s="62">
        <f ca="1">AVERAGE(OFFSET($AM$3,0,0,'Données projet'!$E$10+1,1))-AVERAGE(OFFSET($H$3,0,0,'Données projet'!$E$10+1,1))</f>
        <v>341.62910675299065</v>
      </c>
      <c r="AO154" s="62">
        <f t="shared" si="144"/>
        <v>407.15938341104709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20.790173798248862</v>
      </c>
      <c r="AV154" s="23">
        <f>EXP(-LN(2)/25)*AV153+(1-EXP(-LN(2)/25))/(LN(2)/25)*Calculateur!AQ154*Calculateur!AS154*VLOOKUP('Données projet'!$B$10,Paramètres!$A$1:$I$89,3,0)*0.475*44/12</f>
        <v>5.9008625320325327</v>
      </c>
      <c r="AW154" s="23">
        <f>EXP(-LN(2)/2)*AW153+(1-EXP(-LN(2)/2))/(LN(2)/2)*AQ154*AT154*VLOOKUP('Données projet'!$B$10,Paramètres!$A$1:$I$89,3,0)*0.475*44/12</f>
        <v>2.6920382312599995E-13</v>
      </c>
      <c r="AX154" s="23">
        <f t="shared" ref="AX154:AX203" si="166">SUM(AU154:AW154)</f>
        <v>26.691036330281666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1.6405010683229191E-13</v>
      </c>
      <c r="BF154" s="14">
        <f t="shared" ref="BF154:BF203" si="167">EXP(-1.0587+0.8836*LN(BE154)+0.284)</f>
        <v>2.3265121008813928E-12</v>
      </c>
      <c r="BG154" s="22">
        <f t="shared" ref="BG154:BG203" si="168">(BE154+BF154)*0.475*44/12</f>
        <v>4.337729178434667E-12</v>
      </c>
      <c r="BH154" s="62">
        <f t="shared" si="116"/>
        <v>286.80821682326967</v>
      </c>
      <c r="BI154" s="62">
        <f ca="1">AVERAGE(OFFSET($BH$3,0,0,'Données projet'!$E$11+1,1))-AVERAGE(OFFSET($H$3,0,0,'Données projet'!$E$11+1,1))</f>
        <v>405.94837980869011</v>
      </c>
      <c r="BJ154" s="62">
        <f t="shared" si="146"/>
        <v>511.37583835090879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49.316135542356086</v>
      </c>
      <c r="BQ154" s="23">
        <f>EXP(-LN(2)/25)*BQ153+(1-EXP(-LN(2)/25))/(LN(2)/25)*Calculateur!BL154*Calculateur!BN154*VLOOKUP('Données projet'!$B$11,Paramètres!$A$1:$I$89,3,0)*0.475*44/12</f>
        <v>1.7613889564511276</v>
      </c>
      <c r="BR154" s="23">
        <f>EXP(-LN(2)/2)*BR153+(1-EXP(-LN(2)/2))/(LN(2)/2)*BL154*BO154*VLOOKUP('Données projet'!$B$11,Paramètres!$A$1:$I$89,3,0)*0.475*44/12</f>
        <v>4.8667091332044523E-16</v>
      </c>
      <c r="BS154" s="24">
        <f t="shared" ref="BS154:BS203" si="169">SUM(BP154:BR154)</f>
        <v>51.077524498807215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475</v>
      </c>
      <c r="BZ154" s="14">
        <f>BY154*VLOOKUP('Données projet'!$B$12,Paramètres!$A$1:$I$89,3,0)*VLOOKUP('Données projet'!$B$12,Paramètres!$A$1:$I$89,5,0)</f>
        <v>407.55</v>
      </c>
      <c r="CA154" s="14">
        <f t="shared" ref="CA154:CA203" si="170">EXP(-1.0587+0.8836*LN(BZ154)+0.284)</f>
        <v>93.305642095357683</v>
      </c>
      <c r="CB154" s="22">
        <f t="shared" ref="CB154:CB203" si="171">(BZ154+CA154)*0.475*44/12</f>
        <v>872.32357664941446</v>
      </c>
      <c r="CC154" s="62">
        <f t="shared" si="119"/>
        <v>1159.1317934726799</v>
      </c>
      <c r="CD154" s="62">
        <f ca="1">AVERAGE(OFFSET($CC$3,0,0,'Données projet'!$E$12+1,1))-AVERAGE(OFFSET($H$3,0,0,'Données projet'!$E$12+1,1))</f>
        <v>590.18141384962507</v>
      </c>
      <c r="CE154" s="62">
        <f t="shared" si="148"/>
        <v>331.25104323342907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165.94736895398754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165.94736895398754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4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-3.4705882352941178</v>
      </c>
      <c r="N155" s="14">
        <f>IF('Données projet'!$A$36&gt;35,N154+M155-V154,IF(A155&lt;'Données projet'!$A$36,$K$205^A155,IF(A155='Données projet'!$A$36,'Données projet'!$B$36,N154+M155-V154)))</f>
        <v>279.11764705882348</v>
      </c>
      <c r="O155" s="14">
        <f>N155*VLOOKUP('Données projet'!$B$9,Paramètres!$A$1:$I$89,3,0)*VLOOKUP('Données projet'!$B$9,Paramètres!$A$1:$I$89,5,0)</f>
        <v>252.54564705882348</v>
      </c>
      <c r="P155" s="14">
        <f t="shared" si="141"/>
        <v>61.130731026017962</v>
      </c>
      <c r="Q155" s="22">
        <f t="shared" si="162"/>
        <v>546.31969183109879</v>
      </c>
      <c r="R155" s="62">
        <f t="shared" si="109"/>
        <v>833.24110483783875</v>
      </c>
      <c r="S155" s="62">
        <f ca="1">AVERAGE(OFFSET($R$3,0,0,'Données projet'!$E$9+1,1))-AVERAGE(OFFSET($H$3,0,0,'Données projet'!$E$9+1,1))</f>
        <v>432.80275651765203</v>
      </c>
      <c r="T155" s="62">
        <f t="shared" si="142"/>
        <v>203.89279893419919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35.092561729004743</v>
      </c>
      <c r="AA155" s="23">
        <f>EXP(-LN(2)/25)*AA154+(1-EXP(-LN(2)/25))/(LN(2)/25)*Calculateur!V155*Calculateur!X155*VLOOKUP('Données projet'!$B$9,Paramètres!$A$1:$I$89,3,0)*0.475*44/12</f>
        <v>22.44339391516856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57.535955644173299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1.9895196601282805E-13</v>
      </c>
      <c r="AJ155" s="14">
        <f>AI155*VLOOKUP('Données projet'!$B$10,Paramètres!$A$1:$I$89,3,0)*VLOOKUP('Données projet'!$B$10,Paramètres!$A$1:$I$89,5,0)</f>
        <v>1.738044375088066E-13</v>
      </c>
      <c r="AK155" s="14">
        <f t="shared" si="164"/>
        <v>2.4483293633950478E-12</v>
      </c>
      <c r="AL155" s="22">
        <f t="shared" si="165"/>
        <v>4.566883036574213E-12</v>
      </c>
      <c r="AM155" s="62">
        <f t="shared" si="113"/>
        <v>286.92141300674444</v>
      </c>
      <c r="AN155" s="62">
        <f ca="1">AVERAGE(OFFSET($AM$3,0,0,'Données projet'!$E$10+1,1))-AVERAGE(OFFSET($H$3,0,0,'Données projet'!$E$10+1,1))</f>
        <v>341.62910675299065</v>
      </c>
      <c r="AO155" s="62">
        <f t="shared" si="144"/>
        <v>407.15938341104709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20.382491170819097</v>
      </c>
      <c r="AV155" s="23">
        <f>EXP(-LN(2)/25)*AV154+(1-EXP(-LN(2)/25))/(LN(2)/25)*Calculateur!AQ155*Calculateur!AS155*VLOOKUP('Données projet'!$B$10,Paramètres!$A$1:$I$89,3,0)*0.475*44/12</f>
        <v>5.7395031357812289</v>
      </c>
      <c r="AW155" s="23">
        <f>EXP(-LN(2)/2)*AW154+(1-EXP(-LN(2)/2))/(LN(2)/2)*AQ155*AT155*VLOOKUP('Données projet'!$B$10,Paramètres!$A$1:$I$89,3,0)*0.475*44/12</f>
        <v>1.9035584885373849E-13</v>
      </c>
      <c r="AX155" s="23">
        <f t="shared" si="166"/>
        <v>26.12199430660052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1.6405010683229191E-13</v>
      </c>
      <c r="BF155" s="14">
        <f t="shared" si="167"/>
        <v>2.3265121008813928E-12</v>
      </c>
      <c r="BG155" s="22">
        <f t="shared" si="168"/>
        <v>4.337729178434667E-12</v>
      </c>
      <c r="BH155" s="62">
        <f t="shared" si="116"/>
        <v>286.92141300674422</v>
      </c>
      <c r="BI155" s="62">
        <f ca="1">AVERAGE(OFFSET($BH$3,0,0,'Données projet'!$E$11+1,1))-AVERAGE(OFFSET($H$3,0,0,'Données projet'!$E$11+1,1))</f>
        <v>405.94837980869011</v>
      </c>
      <c r="BJ155" s="62">
        <f t="shared" si="146"/>
        <v>511.37583835090879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48.349076204243026</v>
      </c>
      <c r="BQ155" s="23">
        <f>EXP(-LN(2)/25)*BQ154+(1-EXP(-LN(2)/25))/(LN(2)/25)*Calculateur!BL155*Calculateur!BN155*VLOOKUP('Données projet'!$B$11,Paramètres!$A$1:$I$89,3,0)*0.475*44/12</f>
        <v>1.713223682809552</v>
      </c>
      <c r="BR155" s="23">
        <f>EXP(-LN(2)/2)*BR154+(1-EXP(-LN(2)/2))/(LN(2)/2)*BL155*BO155*VLOOKUP('Données projet'!$B$11,Paramètres!$A$1:$I$89,3,0)*0.475*44/12</f>
        <v>3.4412830301513731E-16</v>
      </c>
      <c r="BS155" s="24">
        <f t="shared" si="169"/>
        <v>50.062299887052575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475</v>
      </c>
      <c r="BZ155" s="14">
        <f>BY155*VLOOKUP('Données projet'!$B$12,Paramètres!$A$1:$I$89,3,0)*VLOOKUP('Données projet'!$B$12,Paramètres!$A$1:$I$89,5,0)</f>
        <v>407.55</v>
      </c>
      <c r="CA155" s="14">
        <f t="shared" si="170"/>
        <v>93.305642095357683</v>
      </c>
      <c r="CB155" s="22">
        <f t="shared" si="171"/>
        <v>872.32357664941446</v>
      </c>
      <c r="CC155" s="62">
        <f t="shared" si="119"/>
        <v>1159.2449896561543</v>
      </c>
      <c r="CD155" s="62">
        <f ca="1">AVERAGE(OFFSET($CC$3,0,0,'Données projet'!$E$12+1,1))-AVERAGE(OFFSET($H$3,0,0,'Données projet'!$E$12+1,1))</f>
        <v>590.18141384962507</v>
      </c>
      <c r="CE155" s="62">
        <f t="shared" si="148"/>
        <v>331.25104323342907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162.69324226670045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162.69324226670045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4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-3.4705882352941178</v>
      </c>
      <c r="N156" s="14">
        <f>IF('Données projet'!$A$36&gt;35,N155+M156-V155,IF(A156&lt;'Données projet'!$A$36,$K$205^A156,IF(A156='Données projet'!$A$36,'Données projet'!$B$36,N155+M156-V155)))</f>
        <v>275.64705882352933</v>
      </c>
      <c r="O156" s="14">
        <f>N156*VLOOKUP('Données projet'!$B$9,Paramètres!$A$1:$I$89,3,0)*VLOOKUP('Données projet'!$B$9,Paramètres!$A$1:$I$89,5,0)</f>
        <v>249.40545882352933</v>
      </c>
      <c r="P156" s="14">
        <f t="shared" si="141"/>
        <v>60.458611170864842</v>
      </c>
      <c r="Q156" s="22">
        <f t="shared" si="162"/>
        <v>539.67992190690325</v>
      </c>
      <c r="R156" s="62">
        <f t="shared" si="109"/>
        <v>826.7125673964033</v>
      </c>
      <c r="S156" s="62">
        <f ca="1">AVERAGE(OFFSET($R$3,0,0,'Données projet'!$E$9+1,1))-AVERAGE(OFFSET($H$3,0,0,'Données projet'!$E$9+1,1))</f>
        <v>432.80275651765203</v>
      </c>
      <c r="T156" s="62">
        <f t="shared" si="142"/>
        <v>203.89279893419919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34.404417997848114</v>
      </c>
      <c r="AA156" s="23">
        <f>EXP(-LN(2)/25)*AA155+(1-EXP(-LN(2)/25))/(LN(2)/25)*Calculateur!V156*Calculateur!X156*VLOOKUP('Données projet'!$B$9,Paramètres!$A$1:$I$89,3,0)*0.475*44/12</f>
        <v>21.829678128311485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56.234096126159599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1.9895196601282805E-13</v>
      </c>
      <c r="AJ156" s="14">
        <f>AI156*VLOOKUP('Données projet'!$B$10,Paramètres!$A$1:$I$89,3,0)*VLOOKUP('Données projet'!$B$10,Paramètres!$A$1:$I$89,5,0)</f>
        <v>1.738044375088066E-13</v>
      </c>
      <c r="AK156" s="14">
        <f t="shared" si="164"/>
        <v>2.4483293633950478E-12</v>
      </c>
      <c r="AL156" s="22">
        <f t="shared" si="165"/>
        <v>4.566883036574213E-12</v>
      </c>
      <c r="AM156" s="62">
        <f t="shared" si="113"/>
        <v>287.03264548950455</v>
      </c>
      <c r="AN156" s="62">
        <f ca="1">AVERAGE(OFFSET($AM$3,0,0,'Données projet'!$E$10+1,1))-AVERAGE(OFFSET($H$3,0,0,'Données projet'!$E$10+1,1))</f>
        <v>341.62910675299065</v>
      </c>
      <c r="AO156" s="62">
        <f t="shared" si="144"/>
        <v>407.15938341104709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19.982802951051383</v>
      </c>
      <c r="AV156" s="23">
        <f>EXP(-LN(2)/25)*AV155+(1-EXP(-LN(2)/25))/(LN(2)/25)*Calculateur!AQ156*Calculateur!AS156*VLOOKUP('Données projet'!$B$10,Paramètres!$A$1:$I$89,3,0)*0.475*44/12</f>
        <v>5.5825561207059389</v>
      </c>
      <c r="AW156" s="23">
        <f>EXP(-LN(2)/2)*AW155+(1-EXP(-LN(2)/2))/(LN(2)/2)*AQ156*AT156*VLOOKUP('Données projet'!$B$10,Paramètres!$A$1:$I$89,3,0)*0.475*44/12</f>
        <v>1.3460191156299997E-13</v>
      </c>
      <c r="AX156" s="23">
        <f t="shared" si="166"/>
        <v>25.565359071757456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1.6405010683229191E-13</v>
      </c>
      <c r="BF156" s="14">
        <f t="shared" si="167"/>
        <v>2.3265121008813928E-12</v>
      </c>
      <c r="BG156" s="22">
        <f t="shared" si="168"/>
        <v>4.337729178434667E-12</v>
      </c>
      <c r="BH156" s="62">
        <f t="shared" si="116"/>
        <v>287.03264548950432</v>
      </c>
      <c r="BI156" s="62">
        <f ca="1">AVERAGE(OFFSET($BH$3,0,0,'Données projet'!$E$11+1,1))-AVERAGE(OFFSET($H$3,0,0,'Données projet'!$E$11+1,1))</f>
        <v>405.94837980869011</v>
      </c>
      <c r="BJ156" s="62">
        <f t="shared" si="146"/>
        <v>511.37583835090879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47.400980309902408</v>
      </c>
      <c r="BQ156" s="23">
        <f>EXP(-LN(2)/25)*BQ155+(1-EXP(-LN(2)/25))/(LN(2)/25)*Calculateur!BL156*Calculateur!BN156*VLOOKUP('Données projet'!$B$11,Paramètres!$A$1:$I$89,3,0)*0.475*44/12</f>
        <v>1.6663754911086068</v>
      </c>
      <c r="BR156" s="23">
        <f>EXP(-LN(2)/2)*BR155+(1-EXP(-LN(2)/2))/(LN(2)/2)*BL156*BO156*VLOOKUP('Données projet'!$B$11,Paramètres!$A$1:$I$89,3,0)*0.475*44/12</f>
        <v>2.4333545666022262E-16</v>
      </c>
      <c r="BS156" s="24">
        <f t="shared" si="169"/>
        <v>49.067355801011018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475</v>
      </c>
      <c r="BZ156" s="14">
        <f>BY156*VLOOKUP('Données projet'!$B$12,Paramètres!$A$1:$I$89,3,0)*VLOOKUP('Données projet'!$B$12,Paramètres!$A$1:$I$89,5,0)</f>
        <v>407.55</v>
      </c>
      <c r="CA156" s="14">
        <f t="shared" si="170"/>
        <v>93.305642095357683</v>
      </c>
      <c r="CB156" s="22">
        <f t="shared" si="171"/>
        <v>872.32357664941446</v>
      </c>
      <c r="CC156" s="62">
        <f t="shared" si="119"/>
        <v>1159.3562221389145</v>
      </c>
      <c r="CD156" s="62">
        <f ca="1">AVERAGE(OFFSET($CC$3,0,0,'Données projet'!$E$12+1,1))-AVERAGE(OFFSET($H$3,0,0,'Données projet'!$E$12+1,1))</f>
        <v>590.18141384962507</v>
      </c>
      <c r="CE156" s="62">
        <f t="shared" si="148"/>
        <v>331.25104323342907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159.5029270189298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159.5029270189298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4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-3.4705882352941178</v>
      </c>
      <c r="N157" s="14">
        <f>IF('Données projet'!$A$36&gt;35,N156+M157-V156,IF(A157&lt;'Données projet'!$A$36,$K$205^A157,IF(A157='Données projet'!$A$36,'Données projet'!$B$36,N156+M157-V156)))</f>
        <v>272.17647058823519</v>
      </c>
      <c r="O157" s="14">
        <f>N157*VLOOKUP('Données projet'!$B$9,Paramètres!$A$1:$I$89,3,0)*VLOOKUP('Données projet'!$B$9,Paramètres!$A$1:$I$89,5,0)</f>
        <v>246.26527058823518</v>
      </c>
      <c r="P157" s="14">
        <f t="shared" si="141"/>
        <v>59.785505536024061</v>
      </c>
      <c r="Q157" s="22">
        <f t="shared" si="162"/>
        <v>533.03843508308489</v>
      </c>
      <c r="R157" s="62">
        <f t="shared" si="109"/>
        <v>820.1803834204477</v>
      </c>
      <c r="S157" s="62">
        <f ca="1">AVERAGE(OFFSET($R$3,0,0,'Données projet'!$E$9+1,1))-AVERAGE(OFFSET($H$3,0,0,'Données projet'!$E$9+1,1))</f>
        <v>432.80275651765203</v>
      </c>
      <c r="T157" s="62">
        <f t="shared" si="142"/>
        <v>203.89279893419919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33.72976834553323</v>
      </c>
      <c r="AA157" s="23">
        <f>EXP(-LN(2)/25)*AA156+(1-EXP(-LN(2)/25))/(LN(2)/25)*Calculateur!V157*Calculateur!X157*VLOOKUP('Données projet'!$B$9,Paramètres!$A$1:$I$89,3,0)*0.475*44/12</f>
        <v>21.232744431919926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54.962512777453156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1.9895196601282805E-13</v>
      </c>
      <c r="AJ157" s="14">
        <f>AI157*VLOOKUP('Données projet'!$B$10,Paramètres!$A$1:$I$89,3,0)*VLOOKUP('Données projet'!$B$10,Paramètres!$A$1:$I$89,5,0)</f>
        <v>1.738044375088066E-13</v>
      </c>
      <c r="AK157" s="14">
        <f t="shared" si="164"/>
        <v>2.4483293633950478E-12</v>
      </c>
      <c r="AL157" s="22">
        <f t="shared" si="165"/>
        <v>4.566883036574213E-12</v>
      </c>
      <c r="AM157" s="62">
        <f t="shared" si="113"/>
        <v>287.1419483373673</v>
      </c>
      <c r="AN157" s="62">
        <f ca="1">AVERAGE(OFFSET($AM$3,0,0,'Données projet'!$E$10+1,1))-AVERAGE(OFFSET($H$3,0,0,'Données projet'!$E$10+1,1))</f>
        <v>341.62910675299065</v>
      </c>
      <c r="AO157" s="62">
        <f t="shared" si="144"/>
        <v>407.15938341104709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19.590952373487571</v>
      </c>
      <c r="AV157" s="23">
        <f>EXP(-LN(2)/25)*AV156+(1-EXP(-LN(2)/25))/(LN(2)/25)*Calculateur!AQ157*Calculateur!AS157*VLOOKUP('Données projet'!$B$10,Paramètres!$A$1:$I$89,3,0)*0.475*44/12</f>
        <v>5.429900830011368</v>
      </c>
      <c r="AW157" s="23">
        <f>EXP(-LN(2)/2)*AW156+(1-EXP(-LN(2)/2))/(LN(2)/2)*AQ157*AT157*VLOOKUP('Données projet'!$B$10,Paramètres!$A$1:$I$89,3,0)*0.475*44/12</f>
        <v>9.5177924426869246E-14</v>
      </c>
      <c r="AX157" s="23">
        <f t="shared" si="166"/>
        <v>25.020853203499033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1.6405010683229191E-13</v>
      </c>
      <c r="BF157" s="14">
        <f t="shared" si="167"/>
        <v>2.3265121008813928E-12</v>
      </c>
      <c r="BG157" s="22">
        <f t="shared" si="168"/>
        <v>4.337729178434667E-12</v>
      </c>
      <c r="BH157" s="62">
        <f t="shared" si="116"/>
        <v>287.14194833736707</v>
      </c>
      <c r="BI157" s="62">
        <f ca="1">AVERAGE(OFFSET($BH$3,0,0,'Données projet'!$E$11+1,1))-AVERAGE(OFFSET($H$3,0,0,'Données projet'!$E$11+1,1))</f>
        <v>405.94837980869011</v>
      </c>
      <c r="BJ157" s="62">
        <f t="shared" si="146"/>
        <v>511.37583835090879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46.471475997768415</v>
      </c>
      <c r="BQ157" s="23">
        <f>EXP(-LN(2)/25)*BQ156+(1-EXP(-LN(2)/25))/(LN(2)/25)*Calculateur!BL157*Calculateur!BN157*VLOOKUP('Données projet'!$B$11,Paramètres!$A$1:$I$89,3,0)*0.475*44/12</f>
        <v>1.6208083656733634</v>
      </c>
      <c r="BR157" s="23">
        <f>EXP(-LN(2)/2)*BR156+(1-EXP(-LN(2)/2))/(LN(2)/2)*BL157*BO157*VLOOKUP('Données projet'!$B$11,Paramètres!$A$1:$I$89,3,0)*0.475*44/12</f>
        <v>1.7206415150756865E-16</v>
      </c>
      <c r="BS157" s="24">
        <f t="shared" si="169"/>
        <v>48.092284363441777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475</v>
      </c>
      <c r="BZ157" s="14">
        <f>BY157*VLOOKUP('Données projet'!$B$12,Paramètres!$A$1:$I$89,3,0)*VLOOKUP('Données projet'!$B$12,Paramètres!$A$1:$I$89,5,0)</f>
        <v>407.55</v>
      </c>
      <c r="CA157" s="14">
        <f t="shared" si="170"/>
        <v>93.305642095357683</v>
      </c>
      <c r="CB157" s="22">
        <f t="shared" si="171"/>
        <v>872.32357664941446</v>
      </c>
      <c r="CC157" s="62">
        <f t="shared" si="119"/>
        <v>1159.4655249867772</v>
      </c>
      <c r="CD157" s="62">
        <f ca="1">AVERAGE(OFFSET($CC$3,0,0,'Données projet'!$E$12+1,1))-AVERAGE(OFFSET($H$3,0,0,'Données projet'!$E$12+1,1))</f>
        <v>590.18141384962507</v>
      </c>
      <c r="CE157" s="62">
        <f t="shared" si="148"/>
        <v>331.25104323342907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156.37517190726774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156.37517190726774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4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-3.4705882352941178</v>
      </c>
      <c r="N158" s="14">
        <f>IF('Données projet'!$A$36&gt;35,N157+M158-V157,IF(A158&lt;'Données projet'!$A$36,$K$205^A158,IF(A158='Données projet'!$A$36,'Données projet'!$B$36,N157+M158-V157)))</f>
        <v>268.70588235294105</v>
      </c>
      <c r="O158" s="14">
        <f>N158*VLOOKUP('Données projet'!$B$9,Paramètres!$A$1:$I$89,3,0)*VLOOKUP('Données projet'!$B$9,Paramètres!$A$1:$I$89,5,0)</f>
        <v>243.12508235294104</v>
      </c>
      <c r="P158" s="14">
        <f t="shared" si="141"/>
        <v>59.111400077264818</v>
      </c>
      <c r="Q158" s="22">
        <f t="shared" si="162"/>
        <v>526.39520689927519</v>
      </c>
      <c r="R158" s="62">
        <f t="shared" si="109"/>
        <v>813.64456192445482</v>
      </c>
      <c r="S158" s="62">
        <f ca="1">AVERAGE(OFFSET($R$3,0,0,'Données projet'!$E$9+1,1))-AVERAGE(OFFSET($H$3,0,0,'Données projet'!$E$9+1,1))</f>
        <v>432.80275651765203</v>
      </c>
      <c r="T158" s="62">
        <f t="shared" si="142"/>
        <v>203.89279893419919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33.068348161404586</v>
      </c>
      <c r="AA158" s="23">
        <f>EXP(-LN(2)/25)*AA157+(1-EXP(-LN(2)/25))/(LN(2)/25)*Calculateur!V158*Calculateur!X158*VLOOKUP('Données projet'!$B$9,Paramètres!$A$1:$I$89,3,0)*0.475*44/12</f>
        <v>20.652133918847575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53.720482080252161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1.9895196601282805E-13</v>
      </c>
      <c r="AJ158" s="14">
        <f>AI158*VLOOKUP('Données projet'!$B$10,Paramètres!$A$1:$I$89,3,0)*VLOOKUP('Données projet'!$B$10,Paramètres!$A$1:$I$89,5,0)</f>
        <v>1.738044375088066E-13</v>
      </c>
      <c r="AK158" s="14">
        <f t="shared" si="164"/>
        <v>2.4483293633950478E-12</v>
      </c>
      <c r="AL158" s="22">
        <f t="shared" si="165"/>
        <v>4.566883036574213E-12</v>
      </c>
      <c r="AM158" s="62">
        <f t="shared" si="113"/>
        <v>287.24935502518423</v>
      </c>
      <c r="AN158" s="62">
        <f ca="1">AVERAGE(OFFSET($AM$3,0,0,'Données projet'!$E$10+1,1))-AVERAGE(OFFSET($H$3,0,0,'Données projet'!$E$10+1,1))</f>
        <v>341.62910675299065</v>
      </c>
      <c r="AO158" s="62">
        <f t="shared" si="144"/>
        <v>407.15938341104709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19.206785746744533</v>
      </c>
      <c r="AV158" s="23">
        <f>EXP(-LN(2)/25)*AV157+(1-EXP(-LN(2)/25))/(LN(2)/25)*Calculateur!AQ158*Calculateur!AS158*VLOOKUP('Données projet'!$B$10,Paramètres!$A$1:$I$89,3,0)*0.475*44/12</f>
        <v>5.2814199062686331</v>
      </c>
      <c r="AW158" s="23">
        <f>EXP(-LN(2)/2)*AW157+(1-EXP(-LN(2)/2))/(LN(2)/2)*AQ158*AT158*VLOOKUP('Données projet'!$B$10,Paramètres!$A$1:$I$89,3,0)*0.475*44/12</f>
        <v>6.7300955781499987E-14</v>
      </c>
      <c r="AX158" s="23">
        <f t="shared" si="166"/>
        <v>24.488205653013235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1.6405010683229191E-13</v>
      </c>
      <c r="BF158" s="14">
        <f t="shared" si="167"/>
        <v>2.3265121008813928E-12</v>
      </c>
      <c r="BG158" s="22">
        <f t="shared" si="168"/>
        <v>4.337729178434667E-12</v>
      </c>
      <c r="BH158" s="62">
        <f t="shared" si="116"/>
        <v>287.249355025184</v>
      </c>
      <c r="BI158" s="62">
        <f ca="1">AVERAGE(OFFSET($BH$3,0,0,'Données projet'!$E$11+1,1))-AVERAGE(OFFSET($H$3,0,0,'Données projet'!$E$11+1,1))</f>
        <v>405.94837980869011</v>
      </c>
      <c r="BJ158" s="62">
        <f t="shared" si="146"/>
        <v>511.37583835090879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45.560198698253721</v>
      </c>
      <c r="BQ158" s="23">
        <f>EXP(-LN(2)/25)*BQ157+(1-EXP(-LN(2)/25))/(LN(2)/25)*Calculateur!BL158*Calculateur!BN158*VLOOKUP('Données projet'!$B$11,Paramètres!$A$1:$I$89,3,0)*0.475*44/12</f>
        <v>1.5764872756794177</v>
      </c>
      <c r="BR158" s="23">
        <f>EXP(-LN(2)/2)*BR157+(1-EXP(-LN(2)/2))/(LN(2)/2)*BL158*BO158*VLOOKUP('Données projet'!$B$11,Paramètres!$A$1:$I$89,3,0)*0.475*44/12</f>
        <v>1.2166772833011131E-16</v>
      </c>
      <c r="BS158" s="24">
        <f t="shared" si="169"/>
        <v>47.13668597393314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475</v>
      </c>
      <c r="BZ158" s="14">
        <f>BY158*VLOOKUP('Données projet'!$B$12,Paramètres!$A$1:$I$89,3,0)*VLOOKUP('Données projet'!$B$12,Paramètres!$A$1:$I$89,5,0)</f>
        <v>407.55</v>
      </c>
      <c r="CA158" s="14">
        <f t="shared" si="170"/>
        <v>93.305642095357683</v>
      </c>
      <c r="CB158" s="22">
        <f t="shared" si="171"/>
        <v>872.32357664941446</v>
      </c>
      <c r="CC158" s="62">
        <f t="shared" si="119"/>
        <v>1159.5729316745942</v>
      </c>
      <c r="CD158" s="62">
        <f ca="1">AVERAGE(OFFSET($CC$3,0,0,'Données projet'!$E$12+1,1))-AVERAGE(OFFSET($H$3,0,0,'Données projet'!$E$12+1,1))</f>
        <v>590.18141384962507</v>
      </c>
      <c r="CE158" s="62">
        <f t="shared" si="148"/>
        <v>331.25104323342907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153.30875016560316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153.30875016560316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4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-3.4705882352941178</v>
      </c>
      <c r="N159" s="14">
        <f>IF('Données projet'!$A$36&gt;35,N158+M159-V158,IF(A159&lt;'Données projet'!$A$36,$K$205^A159,IF(A159='Données projet'!$A$36,'Données projet'!$B$36,N158+M159-V158)))</f>
        <v>265.2352941176469</v>
      </c>
      <c r="O159" s="14">
        <f>N159*VLOOKUP('Données projet'!$B$9,Paramètres!$A$1:$I$89,3,0)*VLOOKUP('Données projet'!$B$9,Paramètres!$A$1:$I$89,5,0)</f>
        <v>239.98489411764689</v>
      </c>
      <c r="P159" s="14">
        <f t="shared" si="141"/>
        <v>58.436280366133602</v>
      </c>
      <c r="Q159" s="22">
        <f t="shared" si="162"/>
        <v>519.75021222591761</v>
      </c>
      <c r="R159" s="62">
        <f t="shared" si="109"/>
        <v>807.10511067300592</v>
      </c>
      <c r="S159" s="62">
        <f ca="1">AVERAGE(OFFSET($R$3,0,0,'Données projet'!$E$9+1,1))-AVERAGE(OFFSET($H$3,0,0,'Données projet'!$E$9+1,1))</f>
        <v>432.80275651765203</v>
      </c>
      <c r="T159" s="62">
        <f t="shared" si="142"/>
        <v>203.89279893419919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32.419898023660231</v>
      </c>
      <c r="AA159" s="23">
        <f>EXP(-LN(2)/25)*AA158+(1-EXP(-LN(2)/25))/(LN(2)/25)*Calculateur!V159*Calculateur!X159*VLOOKUP('Données projet'!$B$9,Paramètres!$A$1:$I$89,3,0)*0.475*44/12</f>
        <v>20.087400230788166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52.507298254448401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1.9895196601282805E-13</v>
      </c>
      <c r="AJ159" s="14">
        <f>AI159*VLOOKUP('Données projet'!$B$10,Paramètres!$A$1:$I$89,3,0)*VLOOKUP('Données projet'!$B$10,Paramètres!$A$1:$I$89,5,0)</f>
        <v>1.738044375088066E-13</v>
      </c>
      <c r="AK159" s="14">
        <f t="shared" si="164"/>
        <v>2.4483293633950478E-12</v>
      </c>
      <c r="AL159" s="22">
        <f t="shared" si="165"/>
        <v>4.566883036574213E-12</v>
      </c>
      <c r="AM159" s="62">
        <f t="shared" si="113"/>
        <v>287.35489844709286</v>
      </c>
      <c r="AN159" s="62">
        <f ca="1">AVERAGE(OFFSET($AM$3,0,0,'Données projet'!$E$10+1,1))-AVERAGE(OFFSET($H$3,0,0,'Données projet'!$E$10+1,1))</f>
        <v>341.62910675299065</v>
      </c>
      <c r="AO159" s="62">
        <f t="shared" si="144"/>
        <v>407.15938341104709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18.830152393233419</v>
      </c>
      <c r="AV159" s="23">
        <f>EXP(-LN(2)/25)*AV158+(1-EXP(-LN(2)/25))/(LN(2)/25)*Calculateur!AQ159*Calculateur!AS159*VLOOKUP('Données projet'!$B$10,Paramètres!$A$1:$I$89,3,0)*0.475*44/12</f>
        <v>5.1369992011939152</v>
      </c>
      <c r="AW159" s="23">
        <f>EXP(-LN(2)/2)*AW158+(1-EXP(-LN(2)/2))/(LN(2)/2)*AQ159*AT159*VLOOKUP('Données projet'!$B$10,Paramètres!$A$1:$I$89,3,0)*0.475*44/12</f>
        <v>4.7588962213434623E-14</v>
      </c>
      <c r="AX159" s="23">
        <f t="shared" si="166"/>
        <v>23.967151594427381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1.6405010683229191E-13</v>
      </c>
      <c r="BF159" s="14">
        <f t="shared" si="167"/>
        <v>2.3265121008813928E-12</v>
      </c>
      <c r="BG159" s="22">
        <f t="shared" si="168"/>
        <v>4.337729178434667E-12</v>
      </c>
      <c r="BH159" s="62">
        <f t="shared" si="116"/>
        <v>287.35489844709264</v>
      </c>
      <c r="BI159" s="62">
        <f ca="1">AVERAGE(OFFSET($BH$3,0,0,'Données projet'!$E$11+1,1))-AVERAGE(OFFSET($H$3,0,0,'Données projet'!$E$11+1,1))</f>
        <v>405.94837980869011</v>
      </c>
      <c r="BJ159" s="62">
        <f t="shared" si="146"/>
        <v>511.37583835090879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44.666790990758237</v>
      </c>
      <c r="BQ159" s="23">
        <f>EXP(-LN(2)/25)*BQ158+(1-EXP(-LN(2)/25))/(LN(2)/25)*Calculateur!BL159*Calculateur!BN159*VLOOKUP('Données projet'!$B$11,Paramètres!$A$1:$I$89,3,0)*0.475*44/12</f>
        <v>1.5333781482221014</v>
      </c>
      <c r="BR159" s="23">
        <f>EXP(-LN(2)/2)*BR158+(1-EXP(-LN(2)/2))/(LN(2)/2)*BL159*BO159*VLOOKUP('Données projet'!$B$11,Paramètres!$A$1:$I$89,3,0)*0.475*44/12</f>
        <v>8.6032075753784327E-17</v>
      </c>
      <c r="BS159" s="24">
        <f t="shared" si="169"/>
        <v>46.200169138980336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475</v>
      </c>
      <c r="BZ159" s="14">
        <f>BY159*VLOOKUP('Données projet'!$B$12,Paramètres!$A$1:$I$89,3,0)*VLOOKUP('Données projet'!$B$12,Paramètres!$A$1:$I$89,5,0)</f>
        <v>407.55</v>
      </c>
      <c r="CA159" s="14">
        <f t="shared" si="170"/>
        <v>93.305642095357683</v>
      </c>
      <c r="CB159" s="22">
        <f t="shared" si="171"/>
        <v>872.32357664941446</v>
      </c>
      <c r="CC159" s="62">
        <f t="shared" si="119"/>
        <v>1159.6784750965028</v>
      </c>
      <c r="CD159" s="62">
        <f ca="1">AVERAGE(OFFSET($CC$3,0,0,'Données projet'!$E$12+1,1))-AVERAGE(OFFSET($H$3,0,0,'Données projet'!$E$12+1,1))</f>
        <v>590.18141384962507</v>
      </c>
      <c r="CE159" s="62">
        <f t="shared" si="148"/>
        <v>331.25104323342907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150.30245908396003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150.30245908396003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4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-3.4705882352941178</v>
      </c>
      <c r="N160" s="14">
        <f>IF('Données projet'!$A$36&gt;35,N159+M160-V159,IF(A160&lt;'Données projet'!$A$36,$K$205^A160,IF(A160='Données projet'!$A$36,'Données projet'!$B$36,N159+M160-V159)))</f>
        <v>261.76470588235276</v>
      </c>
      <c r="O160" s="14">
        <f>N160*VLOOKUP('Données projet'!$B$9,Paramètres!$A$1:$I$89,3,0)*VLOOKUP('Données projet'!$B$9,Paramètres!$A$1:$I$89,5,0)</f>
        <v>236.84470588235277</v>
      </c>
      <c r="P160" s="14">
        <f t="shared" si="141"/>
        <v>57.760131574272513</v>
      </c>
      <c r="Q160" s="22">
        <f t="shared" si="162"/>
        <v>513.10342523695556</v>
      </c>
      <c r="R160" s="62">
        <f t="shared" si="109"/>
        <v>800.56203616354219</v>
      </c>
      <c r="S160" s="62">
        <f ca="1">AVERAGE(OFFSET($R$3,0,0,'Données projet'!$E$9+1,1))-AVERAGE(OFFSET($H$3,0,0,'Données projet'!$E$9+1,1))</f>
        <v>432.80275651765203</v>
      </c>
      <c r="T160" s="62">
        <f t="shared" si="142"/>
        <v>203.89279893419919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31.784163597601509</v>
      </c>
      <c r="AA160" s="23">
        <f>EXP(-LN(2)/25)*AA159+(1-EXP(-LN(2)/25))/(LN(2)/25)*Calculateur!V160*Calculateur!X160*VLOOKUP('Données projet'!$B$9,Paramètres!$A$1:$I$89,3,0)*0.475*44/12</f>
        <v>19.538109215126795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51.322272812728301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1.9895196601282805E-13</v>
      </c>
      <c r="AJ160" s="14">
        <f>AI160*VLOOKUP('Données projet'!$B$10,Paramètres!$A$1:$I$89,3,0)*VLOOKUP('Données projet'!$B$10,Paramètres!$A$1:$I$89,5,0)</f>
        <v>1.738044375088066E-13</v>
      </c>
      <c r="AK160" s="14">
        <f t="shared" si="164"/>
        <v>2.4483293633950478E-12</v>
      </c>
      <c r="AL160" s="22">
        <f t="shared" si="165"/>
        <v>4.566883036574213E-12</v>
      </c>
      <c r="AM160" s="62">
        <f t="shared" si="113"/>
        <v>287.45861092659112</v>
      </c>
      <c r="AN160" s="62">
        <f ca="1">AVERAGE(OFFSET($AM$3,0,0,'Données projet'!$E$10+1,1))-AVERAGE(OFFSET($H$3,0,0,'Données projet'!$E$10+1,1))</f>
        <v>341.62910675299065</v>
      </c>
      <c r="AO160" s="62">
        <f t="shared" si="144"/>
        <v>407.15938341104709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18.460904590060995</v>
      </c>
      <c r="AV160" s="23">
        <f>EXP(-LN(2)/25)*AV159+(1-EXP(-LN(2)/25))/(LN(2)/25)*Calculateur!AQ160*Calculateur!AS160*VLOOKUP('Données projet'!$B$10,Paramètres!$A$1:$I$89,3,0)*0.475*44/12</f>
        <v>4.9965276878942202</v>
      </c>
      <c r="AW160" s="23">
        <f>EXP(-LN(2)/2)*AW159+(1-EXP(-LN(2)/2))/(LN(2)/2)*AQ160*AT160*VLOOKUP('Données projet'!$B$10,Paramètres!$A$1:$I$89,3,0)*0.475*44/12</f>
        <v>3.3650477890749993E-14</v>
      </c>
      <c r="AX160" s="23">
        <f t="shared" si="166"/>
        <v>23.457432277955245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1.6405010683229191E-13</v>
      </c>
      <c r="BF160" s="14">
        <f t="shared" si="167"/>
        <v>2.3265121008813928E-12</v>
      </c>
      <c r="BG160" s="22">
        <f t="shared" si="168"/>
        <v>4.337729178434667E-12</v>
      </c>
      <c r="BH160" s="62">
        <f t="shared" si="116"/>
        <v>287.45861092659089</v>
      </c>
      <c r="BI160" s="62">
        <f ca="1">AVERAGE(OFFSET($BH$3,0,0,'Données projet'!$E$11+1,1))-AVERAGE(OFFSET($H$3,0,0,'Données projet'!$E$11+1,1))</f>
        <v>405.94837980869011</v>
      </c>
      <c r="BJ160" s="62">
        <f t="shared" si="146"/>
        <v>511.37583835090879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43.790902463481842</v>
      </c>
      <c r="BQ160" s="23">
        <f>EXP(-LN(2)/25)*BQ159+(1-EXP(-LN(2)/25))/(LN(2)/25)*Calculateur!BL160*Calculateur!BN160*VLOOKUP('Données projet'!$B$11,Paramètres!$A$1:$I$89,3,0)*0.475*44/12</f>
        <v>1.4914478421221158</v>
      </c>
      <c r="BR160" s="23">
        <f>EXP(-LN(2)/2)*BR159+(1-EXP(-LN(2)/2))/(LN(2)/2)*BL160*BO160*VLOOKUP('Données projet'!$B$11,Paramètres!$A$1:$I$89,3,0)*0.475*44/12</f>
        <v>6.0833864165055654E-17</v>
      </c>
      <c r="BS160" s="24">
        <f t="shared" si="169"/>
        <v>45.282350305603956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475</v>
      </c>
      <c r="BZ160" s="14">
        <f>BY160*VLOOKUP('Données projet'!$B$12,Paramètres!$A$1:$I$89,3,0)*VLOOKUP('Données projet'!$B$12,Paramètres!$A$1:$I$89,5,0)</f>
        <v>407.55</v>
      </c>
      <c r="CA160" s="14">
        <f t="shared" si="170"/>
        <v>93.305642095357683</v>
      </c>
      <c r="CB160" s="22">
        <f t="shared" si="171"/>
        <v>872.32357664941446</v>
      </c>
      <c r="CC160" s="62">
        <f t="shared" si="119"/>
        <v>1159.782187576001</v>
      </c>
      <c r="CD160" s="62">
        <f ca="1">AVERAGE(OFFSET($CC$3,0,0,'Données projet'!$E$12+1,1))-AVERAGE(OFFSET($H$3,0,0,'Données projet'!$E$12+1,1))</f>
        <v>590.18141384962507</v>
      </c>
      <c r="CE160" s="62">
        <f t="shared" si="148"/>
        <v>331.25104323342907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147.35511953677141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147.35511953677141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4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-3.4705882352941178</v>
      </c>
      <c r="N161" s="14">
        <f>IF('Données projet'!$A$36&gt;35,N160+M161-V160,IF(A161&lt;'Données projet'!$A$36,$K$205^A161,IF(A161='Données projet'!$A$36,'Données projet'!$B$36,N160+M161-V160)))</f>
        <v>258.29411764705861</v>
      </c>
      <c r="O161" s="14">
        <f>N161*VLOOKUP('Données projet'!$B$9,Paramètres!$A$1:$I$89,3,0)*VLOOKUP('Données projet'!$B$9,Paramètres!$A$1:$I$89,5,0)</f>
        <v>233.70451764705862</v>
      </c>
      <c r="P161" s="14">
        <f t="shared" si="141"/>
        <v>57.082938456881209</v>
      </c>
      <c r="Q161" s="22">
        <f t="shared" si="162"/>
        <v>506.45481938102847</v>
      </c>
      <c r="R161" s="62">
        <f t="shared" si="109"/>
        <v>794.01534360746041</v>
      </c>
      <c r="S161" s="62">
        <f ca="1">AVERAGE(OFFSET($R$3,0,0,'Données projet'!$E$9+1,1))-AVERAGE(OFFSET($H$3,0,0,'Données projet'!$E$9+1,1))</f>
        <v>432.80275651765203</v>
      </c>
      <c r="T161" s="62">
        <f t="shared" si="142"/>
        <v>203.89279893419919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31.160895535878087</v>
      </c>
      <c r="AA161" s="23">
        <f>EXP(-LN(2)/25)*AA160+(1-EXP(-LN(2)/25))/(LN(2)/25)*Calculateur!V161*Calculateur!X161*VLOOKUP('Données projet'!$B$9,Paramètres!$A$1:$I$89,3,0)*0.475*44/12</f>
        <v>19.003838591174645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50.164734127052732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1.9895196601282805E-13</v>
      </c>
      <c r="AJ161" s="14">
        <f>AI161*VLOOKUP('Données projet'!$B$10,Paramètres!$A$1:$I$89,3,0)*VLOOKUP('Données projet'!$B$10,Paramètres!$A$1:$I$89,5,0)</f>
        <v>1.738044375088066E-13</v>
      </c>
      <c r="AK161" s="14">
        <f t="shared" si="164"/>
        <v>2.4483293633950478E-12</v>
      </c>
      <c r="AL161" s="22">
        <f t="shared" si="165"/>
        <v>4.566883036574213E-12</v>
      </c>
      <c r="AM161" s="62">
        <f t="shared" si="113"/>
        <v>287.56052422643654</v>
      </c>
      <c r="AN161" s="62">
        <f ca="1">AVERAGE(OFFSET($AM$3,0,0,'Données projet'!$E$10+1,1))-AVERAGE(OFFSET($H$3,0,0,'Données projet'!$E$10+1,1))</f>
        <v>341.62910675299065</v>
      </c>
      <c r="AO161" s="62">
        <f t="shared" si="144"/>
        <v>407.15938341104709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18.098897511089863</v>
      </c>
      <c r="AV161" s="23">
        <f>EXP(-LN(2)/25)*AV160+(1-EXP(-LN(2)/25))/(LN(2)/25)*Calculateur!AQ161*Calculateur!AS161*VLOOKUP('Données projet'!$B$10,Paramètres!$A$1:$I$89,3,0)*0.475*44/12</f>
        <v>4.859897375512781</v>
      </c>
      <c r="AW161" s="23">
        <f>EXP(-LN(2)/2)*AW160+(1-EXP(-LN(2)/2))/(LN(2)/2)*AQ161*AT161*VLOOKUP('Données projet'!$B$10,Paramètres!$A$1:$I$89,3,0)*0.475*44/12</f>
        <v>2.3794481106717311E-14</v>
      </c>
      <c r="AX161" s="23">
        <f t="shared" si="166"/>
        <v>22.958794886602668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1.6405010683229191E-13</v>
      </c>
      <c r="BF161" s="14">
        <f t="shared" si="167"/>
        <v>2.3265121008813928E-12</v>
      </c>
      <c r="BG161" s="22">
        <f t="shared" si="168"/>
        <v>4.337729178434667E-12</v>
      </c>
      <c r="BH161" s="62">
        <f t="shared" si="116"/>
        <v>287.56052422643631</v>
      </c>
      <c r="BI161" s="62">
        <f ca="1">AVERAGE(OFFSET($BH$3,0,0,'Données projet'!$E$11+1,1))-AVERAGE(OFFSET($H$3,0,0,'Données projet'!$E$11+1,1))</f>
        <v>405.94837980869011</v>
      </c>
      <c r="BJ161" s="62">
        <f t="shared" si="146"/>
        <v>511.37583835090879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42.932189575986094</v>
      </c>
      <c r="BQ161" s="23">
        <f>EXP(-LN(2)/25)*BQ160+(1-EXP(-LN(2)/25))/(LN(2)/25)*Calculateur!BL161*Calculateur!BN161*VLOOKUP('Données projet'!$B$11,Paramètres!$A$1:$I$89,3,0)*0.475*44/12</f>
        <v>1.4506641224474532</v>
      </c>
      <c r="BR161" s="23">
        <f>EXP(-LN(2)/2)*BR160+(1-EXP(-LN(2)/2))/(LN(2)/2)*BL161*BO161*VLOOKUP('Données projet'!$B$11,Paramètres!$A$1:$I$89,3,0)*0.475*44/12</f>
        <v>4.3016037876892163E-17</v>
      </c>
      <c r="BS161" s="24">
        <f t="shared" si="169"/>
        <v>44.38285369843355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475</v>
      </c>
      <c r="BZ161" s="14">
        <f>BY161*VLOOKUP('Données projet'!$B$12,Paramètres!$A$1:$I$89,3,0)*VLOOKUP('Données projet'!$B$12,Paramètres!$A$1:$I$89,5,0)</f>
        <v>407.55</v>
      </c>
      <c r="CA161" s="14">
        <f t="shared" si="170"/>
        <v>93.305642095357683</v>
      </c>
      <c r="CB161" s="22">
        <f t="shared" si="171"/>
        <v>872.32357664941446</v>
      </c>
      <c r="CC161" s="62">
        <f t="shared" si="119"/>
        <v>1159.8841008758463</v>
      </c>
      <c r="CD161" s="62">
        <f ca="1">AVERAGE(OFFSET($CC$3,0,0,'Données projet'!$E$12+1,1))-AVERAGE(OFFSET($H$3,0,0,'Données projet'!$E$12+1,1))</f>
        <v>590.18141384962507</v>
      </c>
      <c r="CE161" s="62">
        <f t="shared" si="148"/>
        <v>331.25104323342907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144.46557552040355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144.46557552040355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4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-3.4705882352941178</v>
      </c>
      <c r="N162" s="14">
        <f>IF('Données projet'!$A$36&gt;35,N161+M162-V161,IF(A162&lt;'Données projet'!$A$36,$K$205^A162,IF(A162='Données projet'!$A$36,'Données projet'!$B$36,N161+M162-V161)))</f>
        <v>254.8235294117645</v>
      </c>
      <c r="O162" s="14">
        <f>N162*VLOOKUP('Données projet'!$B$9,Paramètres!$A$1:$I$89,3,0)*VLOOKUP('Données projet'!$B$9,Paramètres!$A$1:$I$89,5,0)</f>
        <v>230.5643294117645</v>
      </c>
      <c r="P162" s="14">
        <f t="shared" si="141"/>
        <v>56.404685335263423</v>
      </c>
      <c r="Q162" s="22">
        <f t="shared" si="162"/>
        <v>499.80436735107361</v>
      </c>
      <c r="R162" s="62">
        <f t="shared" si="109"/>
        <v>787.46503690944257</v>
      </c>
      <c r="S162" s="62">
        <f ca="1">AVERAGE(OFFSET($R$3,0,0,'Données projet'!$E$9+1,1))-AVERAGE(OFFSET($H$3,0,0,'Données projet'!$E$9+1,1))</f>
        <v>432.80275651765203</v>
      </c>
      <c r="T162" s="62">
        <f t="shared" si="142"/>
        <v>203.89279893419919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30.549849380689082</v>
      </c>
      <c r="AA162" s="23">
        <f>EXP(-LN(2)/25)*AA161+(1-EXP(-LN(2)/25))/(LN(2)/25)*Calculateur!V162*Calculateur!X162*VLOOKUP('Données projet'!$B$9,Paramètres!$A$1:$I$89,3,0)*0.475*44/12</f>
        <v>18.484177625530538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49.034027006219617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1.9895196601282805E-13</v>
      </c>
      <c r="AJ162" s="14">
        <f>AI162*VLOOKUP('Données projet'!$B$10,Paramètres!$A$1:$I$89,3,0)*VLOOKUP('Données projet'!$B$10,Paramètres!$A$1:$I$89,5,0)</f>
        <v>1.738044375088066E-13</v>
      </c>
      <c r="AK162" s="14">
        <f t="shared" si="164"/>
        <v>2.4483293633950478E-12</v>
      </c>
      <c r="AL162" s="22">
        <f t="shared" si="165"/>
        <v>4.566883036574213E-12</v>
      </c>
      <c r="AM162" s="62">
        <f t="shared" si="113"/>
        <v>287.66066955837351</v>
      </c>
      <c r="AN162" s="62">
        <f ca="1">AVERAGE(OFFSET($AM$3,0,0,'Données projet'!$E$10+1,1))-AVERAGE(OFFSET($H$3,0,0,'Données projet'!$E$10+1,1))</f>
        <v>341.62910675299065</v>
      </c>
      <c r="AO162" s="62">
        <f t="shared" si="144"/>
        <v>407.15938341104709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17.743989170134839</v>
      </c>
      <c r="AV162" s="23">
        <f>EXP(-LN(2)/25)*AV161+(1-EXP(-LN(2)/25))/(LN(2)/25)*Calculateur!AQ162*Calculateur!AS162*VLOOKUP('Données projet'!$B$10,Paramètres!$A$1:$I$89,3,0)*0.475*44/12</f>
        <v>4.7270032262084882</v>
      </c>
      <c r="AW162" s="23">
        <f>EXP(-LN(2)/2)*AW161+(1-EXP(-LN(2)/2))/(LN(2)/2)*AQ162*AT162*VLOOKUP('Données projet'!$B$10,Paramètres!$A$1:$I$89,3,0)*0.475*44/12</f>
        <v>1.6825238945374997E-14</v>
      </c>
      <c r="AX162" s="23">
        <f t="shared" si="166"/>
        <v>22.470992396343345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1.6405010683229191E-13</v>
      </c>
      <c r="BF162" s="14">
        <f t="shared" si="167"/>
        <v>2.3265121008813928E-12</v>
      </c>
      <c r="BG162" s="22">
        <f t="shared" si="168"/>
        <v>4.337729178434667E-12</v>
      </c>
      <c r="BH162" s="62">
        <f t="shared" si="116"/>
        <v>287.66066955837329</v>
      </c>
      <c r="BI162" s="62">
        <f ca="1">AVERAGE(OFFSET($BH$3,0,0,'Données projet'!$E$11+1,1))-AVERAGE(OFFSET($H$3,0,0,'Données projet'!$E$11+1,1))</f>
        <v>405.94837980869011</v>
      </c>
      <c r="BJ162" s="62">
        <f t="shared" si="146"/>
        <v>511.37583835090879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42.090315524450993</v>
      </c>
      <c r="BQ162" s="23">
        <f>EXP(-LN(2)/25)*BQ161+(1-EXP(-LN(2)/25))/(LN(2)/25)*Calculateur!BL162*Calculateur!BN162*VLOOKUP('Données projet'!$B$11,Paramètres!$A$1:$I$89,3,0)*0.475*44/12</f>
        <v>1.410995635732017</v>
      </c>
      <c r="BR162" s="23">
        <f>EXP(-LN(2)/2)*BR161+(1-EXP(-LN(2)/2))/(LN(2)/2)*BL162*BO162*VLOOKUP('Données projet'!$B$11,Paramètres!$A$1:$I$89,3,0)*0.475*44/12</f>
        <v>3.0416932082527827E-17</v>
      </c>
      <c r="BS162" s="24">
        <f t="shared" si="169"/>
        <v>43.501311160183008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475</v>
      </c>
      <c r="BZ162" s="14">
        <f>BY162*VLOOKUP('Données projet'!$B$12,Paramètres!$A$1:$I$89,3,0)*VLOOKUP('Données projet'!$B$12,Paramètres!$A$1:$I$89,5,0)</f>
        <v>407.55</v>
      </c>
      <c r="CA162" s="14">
        <f t="shared" si="170"/>
        <v>93.305642095357683</v>
      </c>
      <c r="CB162" s="22">
        <f t="shared" si="171"/>
        <v>872.32357664941446</v>
      </c>
      <c r="CC162" s="62">
        <f t="shared" si="119"/>
        <v>1159.9842462077834</v>
      </c>
      <c r="CD162" s="62">
        <f ca="1">AVERAGE(OFFSET($CC$3,0,0,'Données projet'!$E$12+1,1))-AVERAGE(OFFSET($H$3,0,0,'Données projet'!$E$12+1,1))</f>
        <v>590.18141384962507</v>
      </c>
      <c r="CE162" s="62">
        <f t="shared" si="148"/>
        <v>331.25104323342907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141.63269369974884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141.63269369974884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4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-3.4705882352941178</v>
      </c>
      <c r="N163" s="14">
        <f>IF('Données projet'!$A$36&gt;35,N162+M163-V162,IF(A163&lt;'Données projet'!$A$36,$K$205^A163,IF(A163='Données projet'!$A$36,'Données projet'!$B$36,N162+M163-V162)))</f>
        <v>251.35294117647038</v>
      </c>
      <c r="O163" s="14">
        <f>N163*VLOOKUP('Données projet'!$B$9,Paramètres!$A$1:$I$89,3,0)*VLOOKUP('Données projet'!$B$9,Paramètres!$A$1:$I$89,5,0)</f>
        <v>227.42414117647041</v>
      </c>
      <c r="P163" s="14">
        <f t="shared" si="141"/>
        <v>55.72535607839356</v>
      </c>
      <c r="Q163" s="22">
        <f t="shared" si="162"/>
        <v>493.15204105222142</v>
      </c>
      <c r="R163" s="62">
        <f t="shared" si="109"/>
        <v>780.91111864490972</v>
      </c>
      <c r="S163" s="62">
        <f ca="1">AVERAGE(OFFSET($R$3,0,0,'Données projet'!$E$9+1,1))-AVERAGE(OFFSET($H$3,0,0,'Données projet'!$E$9+1,1))</f>
        <v>432.80275651765203</v>
      </c>
      <c r="T163" s="62">
        <f t="shared" si="142"/>
        <v>203.89279893419919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29.95078546790198</v>
      </c>
      <c r="AA163" s="23">
        <f>EXP(-LN(2)/25)*AA162+(1-EXP(-LN(2)/25))/(LN(2)/25)*Calculateur!V163*Calculateur!X163*VLOOKUP('Données projet'!$B$9,Paramètres!$A$1:$I$89,3,0)*0.475*44/12</f>
        <v>17.97872681631975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47.92951228422173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1.9895196601282805E-13</v>
      </c>
      <c r="AJ163" s="14">
        <f>AI163*VLOOKUP('Données projet'!$B$10,Paramètres!$A$1:$I$89,3,0)*VLOOKUP('Données projet'!$B$10,Paramètres!$A$1:$I$89,5,0)</f>
        <v>1.738044375088066E-13</v>
      </c>
      <c r="AK163" s="14">
        <f t="shared" si="164"/>
        <v>2.4483293633950478E-12</v>
      </c>
      <c r="AL163" s="22">
        <f t="shared" si="165"/>
        <v>4.566883036574213E-12</v>
      </c>
      <c r="AM163" s="62">
        <f t="shared" si="113"/>
        <v>287.7590775926929</v>
      </c>
      <c r="AN163" s="62">
        <f ca="1">AVERAGE(OFFSET($AM$3,0,0,'Données projet'!$E$10+1,1))-AVERAGE(OFFSET($H$3,0,0,'Données projet'!$E$10+1,1))</f>
        <v>341.62910675299065</v>
      </c>
      <c r="AO163" s="62">
        <f t="shared" si="144"/>
        <v>407.15938341104709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17.39604036527323</v>
      </c>
      <c r="AV163" s="23">
        <f>EXP(-LN(2)/25)*AV162+(1-EXP(-LN(2)/25))/(LN(2)/25)*Calculateur!AQ163*Calculateur!AS163*VLOOKUP('Données projet'!$B$10,Paramètres!$A$1:$I$89,3,0)*0.475*44/12</f>
        <v>4.5977430744055212</v>
      </c>
      <c r="AW163" s="23">
        <f>EXP(-LN(2)/2)*AW162+(1-EXP(-LN(2)/2))/(LN(2)/2)*AQ163*AT163*VLOOKUP('Données projet'!$B$10,Paramètres!$A$1:$I$89,3,0)*0.475*44/12</f>
        <v>1.1897240553358656E-14</v>
      </c>
      <c r="AX163" s="23">
        <f t="shared" si="166"/>
        <v>21.993783439678761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1.6405010683229191E-13</v>
      </c>
      <c r="BF163" s="14">
        <f t="shared" si="167"/>
        <v>2.3265121008813928E-12</v>
      </c>
      <c r="BG163" s="22">
        <f t="shared" si="168"/>
        <v>4.337729178434667E-12</v>
      </c>
      <c r="BH163" s="62">
        <f t="shared" si="116"/>
        <v>287.75907759269268</v>
      </c>
      <c r="BI163" s="62">
        <f ca="1">AVERAGE(OFFSET($BH$3,0,0,'Données projet'!$E$11+1,1))-AVERAGE(OFFSET($H$3,0,0,'Données projet'!$E$11+1,1))</f>
        <v>405.94837980869011</v>
      </c>
      <c r="BJ163" s="62">
        <f t="shared" si="146"/>
        <v>511.37583835090879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41.264950109574023</v>
      </c>
      <c r="BQ163" s="23">
        <f>EXP(-LN(2)/25)*BQ162+(1-EXP(-LN(2)/25))/(LN(2)/25)*Calculateur!BL163*Calculateur!BN163*VLOOKUP('Données projet'!$B$11,Paramètres!$A$1:$I$89,3,0)*0.475*44/12</f>
        <v>1.3724118858718894</v>
      </c>
      <c r="BR163" s="23">
        <f>EXP(-LN(2)/2)*BR162+(1-EXP(-LN(2)/2))/(LN(2)/2)*BL163*BO163*VLOOKUP('Données projet'!$B$11,Paramètres!$A$1:$I$89,3,0)*0.475*44/12</f>
        <v>2.1508018938446082E-17</v>
      </c>
      <c r="BS163" s="24">
        <f t="shared" si="169"/>
        <v>42.637361995445914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475</v>
      </c>
      <c r="BZ163" s="14">
        <f>BY163*VLOOKUP('Données projet'!$B$12,Paramètres!$A$1:$I$89,3,0)*VLOOKUP('Données projet'!$B$12,Paramètres!$A$1:$I$89,5,0)</f>
        <v>407.55</v>
      </c>
      <c r="CA163" s="14">
        <f t="shared" si="170"/>
        <v>93.305642095357683</v>
      </c>
      <c r="CB163" s="22">
        <f t="shared" si="171"/>
        <v>872.32357664941446</v>
      </c>
      <c r="CC163" s="62">
        <f t="shared" si="119"/>
        <v>1160.0826542421028</v>
      </c>
      <c r="CD163" s="62">
        <f ca="1">AVERAGE(OFFSET($CC$3,0,0,'Données projet'!$E$12+1,1))-AVERAGE(OFFSET($H$3,0,0,'Données projet'!$E$12+1,1))</f>
        <v>590.18141384962507</v>
      </c>
      <c r="CE163" s="62">
        <f t="shared" si="148"/>
        <v>331.25104323342907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138.85536296370987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138.85536296370987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4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-3.4705882352941178</v>
      </c>
      <c r="N164" s="14">
        <f>IF('Données projet'!$A$36&gt;35,N163+M164-V163,IF(A164&lt;'Données projet'!$A$36,$K$205^A164,IF(A164='Données projet'!$A$36,'Données projet'!$B$36,N163+M164-V163)))</f>
        <v>247.88235294117626</v>
      </c>
      <c r="O164" s="14">
        <f>N164*VLOOKUP('Données projet'!$B$9,Paramètres!$A$1:$I$89,3,0)*VLOOKUP('Données projet'!$B$9,Paramètres!$A$1:$I$89,5,0)</f>
        <v>224.28395294117627</v>
      </c>
      <c r="P164" s="14">
        <f t="shared" si="141"/>
        <v>55.04493408343513</v>
      </c>
      <c r="Q164" s="22">
        <f t="shared" si="162"/>
        <v>486.49781156786486</v>
      </c>
      <c r="R164" s="62">
        <f t="shared" si="109"/>
        <v>774.35359003548456</v>
      </c>
      <c r="S164" s="62">
        <f ca="1">AVERAGE(OFFSET($R$3,0,0,'Données projet'!$E$9+1,1))-AVERAGE(OFFSET($H$3,0,0,'Données projet'!$E$9+1,1))</f>
        <v>432.80275651765203</v>
      </c>
      <c r="T164" s="62">
        <f t="shared" si="142"/>
        <v>203.89279893419919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29.363468833051726</v>
      </c>
      <c r="AA164" s="23">
        <f>EXP(-LN(2)/25)*AA163+(1-EXP(-LN(2)/25))/(LN(2)/25)*Calculateur!V164*Calculateur!X164*VLOOKUP('Données projet'!$B$9,Paramètres!$A$1:$I$89,3,0)*0.475*44/12</f>
        <v>17.487097586067335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46.850566419119062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1.9895196601282805E-13</v>
      </c>
      <c r="AJ164" s="14">
        <f>AI164*VLOOKUP('Données projet'!$B$10,Paramètres!$A$1:$I$89,3,0)*VLOOKUP('Données projet'!$B$10,Paramètres!$A$1:$I$89,5,0)</f>
        <v>1.738044375088066E-13</v>
      </c>
      <c r="AK164" s="14">
        <f t="shared" si="164"/>
        <v>2.4483293633950478E-12</v>
      </c>
      <c r="AL164" s="22">
        <f t="shared" si="165"/>
        <v>4.566883036574213E-12</v>
      </c>
      <c r="AM164" s="62">
        <f t="shared" si="113"/>
        <v>287.85577846762425</v>
      </c>
      <c r="AN164" s="62">
        <f ca="1">AVERAGE(OFFSET($AM$3,0,0,'Données projet'!$E$10+1,1))-AVERAGE(OFFSET($H$3,0,0,'Données projet'!$E$10+1,1))</f>
        <v>341.62910675299065</v>
      </c>
      <c r="AO164" s="62">
        <f t="shared" si="144"/>
        <v>407.15938341104709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17.054914624247139</v>
      </c>
      <c r="AV164" s="23">
        <f>EXP(-LN(2)/25)*AV163+(1-EXP(-LN(2)/25))/(LN(2)/25)*Calculateur!AQ164*Calculateur!AS164*VLOOKUP('Données projet'!$B$10,Paramètres!$A$1:$I$89,3,0)*0.475*44/12</f>
        <v>4.4720175482511024</v>
      </c>
      <c r="AW164" s="23">
        <f>EXP(-LN(2)/2)*AW163+(1-EXP(-LN(2)/2))/(LN(2)/2)*AQ164*AT164*VLOOKUP('Données projet'!$B$10,Paramètres!$A$1:$I$89,3,0)*0.475*44/12</f>
        <v>8.4126194726874983E-15</v>
      </c>
      <c r="AX164" s="23">
        <f t="shared" si="166"/>
        <v>21.526932172498249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1.6405010683229191E-13</v>
      </c>
      <c r="BF164" s="14">
        <f t="shared" si="167"/>
        <v>2.3265121008813928E-12</v>
      </c>
      <c r="BG164" s="22">
        <f t="shared" si="168"/>
        <v>4.337729178434667E-12</v>
      </c>
      <c r="BH164" s="62">
        <f t="shared" si="116"/>
        <v>287.85577846762402</v>
      </c>
      <c r="BI164" s="62">
        <f ca="1">AVERAGE(OFFSET($BH$3,0,0,'Données projet'!$E$11+1,1))-AVERAGE(OFFSET($H$3,0,0,'Données projet'!$E$11+1,1))</f>
        <v>405.94837980869011</v>
      </c>
      <c r="BJ164" s="62">
        <f t="shared" si="146"/>
        <v>511.37583835090879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40.455769607059601</v>
      </c>
      <c r="BQ164" s="23">
        <f>EXP(-LN(2)/25)*BQ163+(1-EXP(-LN(2)/25))/(LN(2)/25)*Calculateur!BL164*Calculateur!BN164*VLOOKUP('Données projet'!$B$11,Paramètres!$A$1:$I$89,3,0)*0.475*44/12</f>
        <v>1.3348832106807182</v>
      </c>
      <c r="BR164" s="23">
        <f>EXP(-LN(2)/2)*BR163+(1-EXP(-LN(2)/2))/(LN(2)/2)*BL164*BO164*VLOOKUP('Données projet'!$B$11,Paramètres!$A$1:$I$89,3,0)*0.475*44/12</f>
        <v>1.5208466041263913E-17</v>
      </c>
      <c r="BS164" s="24">
        <f t="shared" si="169"/>
        <v>41.790652817740316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475</v>
      </c>
      <c r="BZ164" s="14">
        <f>BY164*VLOOKUP('Données projet'!$B$12,Paramètres!$A$1:$I$89,3,0)*VLOOKUP('Données projet'!$B$12,Paramètres!$A$1:$I$89,5,0)</f>
        <v>407.55</v>
      </c>
      <c r="CA164" s="14">
        <f t="shared" si="170"/>
        <v>93.305642095357683</v>
      </c>
      <c r="CB164" s="22">
        <f t="shared" si="171"/>
        <v>872.32357664941446</v>
      </c>
      <c r="CC164" s="62">
        <f t="shared" si="119"/>
        <v>1160.1793551170342</v>
      </c>
      <c r="CD164" s="62">
        <f ca="1">AVERAGE(OFFSET($CC$3,0,0,'Données projet'!$E$12+1,1))-AVERAGE(OFFSET($H$3,0,0,'Données projet'!$E$12+1,1))</f>
        <v>590.18141384962507</v>
      </c>
      <c r="CE164" s="62">
        <f t="shared" si="148"/>
        <v>331.25104323342907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136.13249398940013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136.13249398940013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4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-3.4705882352941178</v>
      </c>
      <c r="N165" s="14">
        <f>IF('Données projet'!$A$36&gt;35,N164+M165-V164,IF(A165&lt;'Données projet'!$A$36,$K$205^A165,IF(A165='Données projet'!$A$36,'Données projet'!$B$36,N164+M165-V164)))</f>
        <v>244.41176470588215</v>
      </c>
      <c r="O165" s="14">
        <f>N165*VLOOKUP('Données projet'!$B$9,Paramètres!$A$1:$I$89,3,0)*VLOOKUP('Données projet'!$B$9,Paramètres!$A$1:$I$89,5,0)</f>
        <v>221.14376470588218</v>
      </c>
      <c r="P165" s="14">
        <f t="shared" si="141"/>
        <v>54.36340225513532</v>
      </c>
      <c r="Q165" s="22">
        <f t="shared" si="162"/>
        <v>479.84164912377219</v>
      </c>
      <c r="R165" s="62">
        <f t="shared" si="109"/>
        <v>767.79245092233396</v>
      </c>
      <c r="S165" s="62">
        <f ca="1">AVERAGE(OFFSET($R$3,0,0,'Données projet'!$E$9+1,1))-AVERAGE(OFFSET($H$3,0,0,'Données projet'!$E$9+1,1))</f>
        <v>432.80275651765203</v>
      </c>
      <c r="T165" s="62">
        <f t="shared" si="142"/>
        <v>203.89279893419919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28.787669119183111</v>
      </c>
      <c r="AA165" s="23">
        <f>EXP(-LN(2)/25)*AA164+(1-EXP(-LN(2)/25))/(LN(2)/25)*Calculateur!V165*Calculateur!X165*VLOOKUP('Données projet'!$B$9,Paramètres!$A$1:$I$89,3,0)*0.475*44/12</f>
        <v>17.008911982969828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45.796581102152942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1.9895196601282805E-13</v>
      </c>
      <c r="AJ165" s="14">
        <f>AI165*VLOOKUP('Données projet'!$B$10,Paramètres!$A$1:$I$89,3,0)*VLOOKUP('Données projet'!$B$10,Paramètres!$A$1:$I$89,5,0)</f>
        <v>1.738044375088066E-13</v>
      </c>
      <c r="AK165" s="14">
        <f t="shared" si="164"/>
        <v>2.4483293633950478E-12</v>
      </c>
      <c r="AL165" s="22">
        <f t="shared" si="165"/>
        <v>4.566883036574213E-12</v>
      </c>
      <c r="AM165" s="62">
        <f t="shared" si="113"/>
        <v>287.95080179856626</v>
      </c>
      <c r="AN165" s="62">
        <f ca="1">AVERAGE(OFFSET($AM$3,0,0,'Données projet'!$E$10+1,1))-AVERAGE(OFFSET($H$3,0,0,'Données projet'!$E$10+1,1))</f>
        <v>341.62910675299065</v>
      </c>
      <c r="AO165" s="62">
        <f t="shared" si="144"/>
        <v>407.15938341104709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16.720478150936415</v>
      </c>
      <c r="AV165" s="23">
        <f>EXP(-LN(2)/25)*AV164+(1-EXP(-LN(2)/25))/(LN(2)/25)*Calculateur!AQ165*Calculateur!AS165*VLOOKUP('Données projet'!$B$10,Paramètres!$A$1:$I$89,3,0)*0.475*44/12</f>
        <v>4.3497299932209943</v>
      </c>
      <c r="AW165" s="23">
        <f>EXP(-LN(2)/2)*AW164+(1-EXP(-LN(2)/2))/(LN(2)/2)*AQ165*AT165*VLOOKUP('Données projet'!$B$10,Paramètres!$A$1:$I$89,3,0)*0.475*44/12</f>
        <v>5.9486202766793278E-15</v>
      </c>
      <c r="AX165" s="23">
        <f t="shared" si="166"/>
        <v>21.070208144157416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1.6405010683229191E-13</v>
      </c>
      <c r="BF165" s="14">
        <f t="shared" si="167"/>
        <v>2.3265121008813928E-12</v>
      </c>
      <c r="BG165" s="22">
        <f t="shared" si="168"/>
        <v>4.337729178434667E-12</v>
      </c>
      <c r="BH165" s="62">
        <f t="shared" si="116"/>
        <v>287.95080179856603</v>
      </c>
      <c r="BI165" s="62">
        <f ca="1">AVERAGE(OFFSET($BH$3,0,0,'Données projet'!$E$11+1,1))-AVERAGE(OFFSET($H$3,0,0,'Données projet'!$E$11+1,1))</f>
        <v>405.94837980869011</v>
      </c>
      <c r="BJ165" s="62">
        <f t="shared" si="146"/>
        <v>511.37583835090879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39.662456640648109</v>
      </c>
      <c r="BQ165" s="23">
        <f>EXP(-LN(2)/25)*BQ164+(1-EXP(-LN(2)/25))/(LN(2)/25)*Calculateur!BL165*Calculateur!BN165*VLOOKUP('Données projet'!$B$11,Paramètres!$A$1:$I$89,3,0)*0.475*44/12</f>
        <v>1.2983807590861969</v>
      </c>
      <c r="BR165" s="23">
        <f>EXP(-LN(2)/2)*BR164+(1-EXP(-LN(2)/2))/(LN(2)/2)*BL165*BO165*VLOOKUP('Données projet'!$B$11,Paramètres!$A$1:$I$89,3,0)*0.475*44/12</f>
        <v>1.0754009469223041E-17</v>
      </c>
      <c r="BS165" s="24">
        <f t="shared" si="169"/>
        <v>40.960837399734309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475</v>
      </c>
      <c r="BZ165" s="14">
        <f>BY165*VLOOKUP('Données projet'!$B$12,Paramètres!$A$1:$I$89,3,0)*VLOOKUP('Données projet'!$B$12,Paramètres!$A$1:$I$89,5,0)</f>
        <v>407.55</v>
      </c>
      <c r="CA165" s="14">
        <f t="shared" si="170"/>
        <v>93.305642095357683</v>
      </c>
      <c r="CB165" s="22">
        <f t="shared" si="171"/>
        <v>872.32357664941446</v>
      </c>
      <c r="CC165" s="62">
        <f t="shared" si="119"/>
        <v>1160.2743784479762</v>
      </c>
      <c r="CD165" s="62">
        <f ca="1">AVERAGE(OFFSET($CC$3,0,0,'Données projet'!$E$12+1,1))-AVERAGE(OFFSET($H$3,0,0,'Données projet'!$E$12+1,1))</f>
        <v>590.18141384962507</v>
      </c>
      <c r="CE165" s="62">
        <f t="shared" si="148"/>
        <v>331.25104323342907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133.46301881489055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133.46301881489055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4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-3.4705882352941178</v>
      </c>
      <c r="N166" s="14">
        <f>IF('Données projet'!$A$36&gt;35,N165+M166-V165,IF(A166&lt;'Données projet'!$A$36,$K$205^A166,IF(A166='Données projet'!$A$36,'Données projet'!$B$36,N165+M166-V165)))</f>
        <v>240.94117647058803</v>
      </c>
      <c r="O166" s="14">
        <f>N166*VLOOKUP('Données projet'!$B$9,Paramètres!$A$1:$I$89,3,0)*VLOOKUP('Données projet'!$B$9,Paramètres!$A$1:$I$89,5,0)</f>
        <v>218.00357647058803</v>
      </c>
      <c r="P166" s="14">
        <f t="shared" si="141"/>
        <v>53.680742984013051</v>
      </c>
      <c r="Q166" s="22">
        <f t="shared" si="162"/>
        <v>473.18352305009688</v>
      </c>
      <c r="R166" s="62">
        <f t="shared" si="109"/>
        <v>761.22769973724917</v>
      </c>
      <c r="S166" s="62">
        <f ca="1">AVERAGE(OFFSET($R$3,0,0,'Données projet'!$E$9+1,1))-AVERAGE(OFFSET($H$3,0,0,'Données projet'!$E$9+1,1))</f>
        <v>432.80275651765203</v>
      </c>
      <c r="T166" s="62">
        <f t="shared" si="142"/>
        <v>203.89279893419919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28.223160486500312</v>
      </c>
      <c r="AA166" s="23">
        <f>EXP(-LN(2)/25)*AA165+(1-EXP(-LN(2)/25))/(LN(2)/25)*Calculateur!V166*Calculateur!X166*VLOOKUP('Données projet'!$B$9,Paramètres!$A$1:$I$89,3,0)*0.475*44/12</f>
        <v>16.54380239033571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44.766962876836018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1.9895196601282805E-13</v>
      </c>
      <c r="AJ166" s="14">
        <f>AI166*VLOOKUP('Données projet'!$B$10,Paramètres!$A$1:$I$89,3,0)*VLOOKUP('Données projet'!$B$10,Paramètres!$A$1:$I$89,5,0)</f>
        <v>1.738044375088066E-13</v>
      </c>
      <c r="AK166" s="14">
        <f t="shared" si="164"/>
        <v>2.4483293633950478E-12</v>
      </c>
      <c r="AL166" s="22">
        <f t="shared" si="165"/>
        <v>4.566883036574213E-12</v>
      </c>
      <c r="AM166" s="62">
        <f t="shared" si="113"/>
        <v>288.04417668715678</v>
      </c>
      <c r="AN166" s="62">
        <f ca="1">AVERAGE(OFFSET($AM$3,0,0,'Données projet'!$E$10+1,1))-AVERAGE(OFFSET($H$3,0,0,'Données projet'!$E$10+1,1))</f>
        <v>341.62910675299065</v>
      </c>
      <c r="AO166" s="62">
        <f t="shared" si="144"/>
        <v>407.15938341104709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16.392599772881209</v>
      </c>
      <c r="AV166" s="23">
        <f>EXP(-LN(2)/25)*AV165+(1-EXP(-LN(2)/25))/(LN(2)/25)*Calculateur!AQ166*Calculateur!AS166*VLOOKUP('Données projet'!$B$10,Paramètres!$A$1:$I$89,3,0)*0.475*44/12</f>
        <v>4.2307863978140077</v>
      </c>
      <c r="AW166" s="23">
        <f>EXP(-LN(2)/2)*AW165+(1-EXP(-LN(2)/2))/(LN(2)/2)*AQ166*AT166*VLOOKUP('Données projet'!$B$10,Paramètres!$A$1:$I$89,3,0)*0.475*44/12</f>
        <v>4.2063097363437492E-15</v>
      </c>
      <c r="AX166" s="23">
        <f t="shared" si="166"/>
        <v>20.62338617069522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1.6405010683229191E-13</v>
      </c>
      <c r="BF166" s="14">
        <f t="shared" si="167"/>
        <v>2.3265121008813928E-12</v>
      </c>
      <c r="BG166" s="22">
        <f t="shared" si="168"/>
        <v>4.337729178434667E-12</v>
      </c>
      <c r="BH166" s="62">
        <f t="shared" si="116"/>
        <v>288.04417668715655</v>
      </c>
      <c r="BI166" s="62">
        <f ca="1">AVERAGE(OFFSET($BH$3,0,0,'Données projet'!$E$11+1,1))-AVERAGE(OFFSET($H$3,0,0,'Données projet'!$E$11+1,1))</f>
        <v>405.94837980869011</v>
      </c>
      <c r="BJ166" s="62">
        <f t="shared" si="146"/>
        <v>511.37583835090879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38.884700057634817</v>
      </c>
      <c r="BQ166" s="23">
        <f>EXP(-LN(2)/25)*BQ165+(1-EXP(-LN(2)/25))/(LN(2)/25)*Calculateur!BL166*Calculateur!BN166*VLOOKUP('Données projet'!$B$11,Paramètres!$A$1:$I$89,3,0)*0.475*44/12</f>
        <v>1.2628764689501082</v>
      </c>
      <c r="BR166" s="23">
        <f>EXP(-LN(2)/2)*BR165+(1-EXP(-LN(2)/2))/(LN(2)/2)*BL166*BO166*VLOOKUP('Données projet'!$B$11,Paramètres!$A$1:$I$89,3,0)*0.475*44/12</f>
        <v>7.6042330206319567E-18</v>
      </c>
      <c r="BS166" s="24">
        <f t="shared" si="169"/>
        <v>40.147576526584928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475</v>
      </c>
      <c r="BZ166" s="14">
        <f>BY166*VLOOKUP('Données projet'!$B$12,Paramètres!$A$1:$I$89,3,0)*VLOOKUP('Données projet'!$B$12,Paramètres!$A$1:$I$89,5,0)</f>
        <v>407.55</v>
      </c>
      <c r="CA166" s="14">
        <f t="shared" si="170"/>
        <v>93.305642095357683</v>
      </c>
      <c r="CB166" s="22">
        <f t="shared" si="171"/>
        <v>872.32357664941446</v>
      </c>
      <c r="CC166" s="62">
        <f t="shared" si="119"/>
        <v>1160.3677533365667</v>
      </c>
      <c r="CD166" s="62">
        <f ca="1">AVERAGE(OFFSET($CC$3,0,0,'Données projet'!$E$12+1,1))-AVERAGE(OFFSET($H$3,0,0,'Données projet'!$E$12+1,1))</f>
        <v>590.18141384962507</v>
      </c>
      <c r="CE166" s="62">
        <f t="shared" si="148"/>
        <v>331.25104323342907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130.845890420334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130.845890420334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4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-3.4705882352941178</v>
      </c>
      <c r="N167" s="14">
        <f>IF('Données projet'!$A$36&gt;35,N166+M167-V166,IF(A167&lt;'Données projet'!$A$36,$K$205^A167,IF(A167='Données projet'!$A$36,'Données projet'!$B$36,N166+M167-V166)))</f>
        <v>237.47058823529392</v>
      </c>
      <c r="O167" s="14">
        <f>N167*VLOOKUP('Données projet'!$B$9,Paramètres!$A$1:$I$89,3,0)*VLOOKUP('Données projet'!$B$9,Paramètres!$A$1:$I$89,5,0)</f>
        <v>214.86338823529394</v>
      </c>
      <c r="P167" s="14">
        <f t="shared" si="141"/>
        <v>52.996938123253891</v>
      </c>
      <c r="Q167" s="22">
        <f t="shared" si="162"/>
        <v>466.52340174113743</v>
      </c>
      <c r="R167" s="62">
        <f t="shared" si="109"/>
        <v>754.65933347131818</v>
      </c>
      <c r="S167" s="62">
        <f ca="1">AVERAGE(OFFSET($R$3,0,0,'Données projet'!$E$9+1,1))-AVERAGE(OFFSET($H$3,0,0,'Données projet'!$E$9+1,1))</f>
        <v>432.80275651765203</v>
      </c>
      <c r="T167" s="62">
        <f t="shared" si="142"/>
        <v>203.89279893419919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27.669721523788155</v>
      </c>
      <c r="AA167" s="23">
        <f>EXP(-LN(2)/25)*AA166+(1-EXP(-LN(2)/25))/(LN(2)/25)*Calculateur!V167*Calculateur!X167*VLOOKUP('Données projet'!$B$9,Paramètres!$A$1:$I$89,3,0)*0.475*44/12</f>
        <v>16.091411243971223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43.761132767759378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1.9895196601282805E-13</v>
      </c>
      <c r="AJ167" s="14">
        <f>AI167*VLOOKUP('Données projet'!$B$10,Paramètres!$A$1:$I$89,3,0)*VLOOKUP('Données projet'!$B$10,Paramètres!$A$1:$I$89,5,0)</f>
        <v>1.738044375088066E-13</v>
      </c>
      <c r="AK167" s="14">
        <f t="shared" si="164"/>
        <v>2.4483293633950478E-12</v>
      </c>
      <c r="AL167" s="22">
        <f t="shared" si="165"/>
        <v>4.566883036574213E-12</v>
      </c>
      <c r="AM167" s="62">
        <f t="shared" si="113"/>
        <v>288.13593173018523</v>
      </c>
      <c r="AN167" s="62">
        <f ca="1">AVERAGE(OFFSET($AM$3,0,0,'Données projet'!$E$10+1,1))-AVERAGE(OFFSET($H$3,0,0,'Données projet'!$E$10+1,1))</f>
        <v>341.62910675299065</v>
      </c>
      <c r="AO167" s="62">
        <f t="shared" si="144"/>
        <v>407.15938341104709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16.0711508898336</v>
      </c>
      <c r="AV167" s="23">
        <f>EXP(-LN(2)/25)*AV166+(1-EXP(-LN(2)/25))/(LN(2)/25)*Calculateur!AQ167*Calculateur!AS167*VLOOKUP('Données projet'!$B$10,Paramètres!$A$1:$I$89,3,0)*0.475*44/12</f>
        <v>4.1150953212783969</v>
      </c>
      <c r="AW167" s="23">
        <f>EXP(-LN(2)/2)*AW166+(1-EXP(-LN(2)/2))/(LN(2)/2)*AQ167*AT167*VLOOKUP('Données projet'!$B$10,Paramètres!$A$1:$I$89,3,0)*0.475*44/12</f>
        <v>2.9743101383396639E-15</v>
      </c>
      <c r="AX167" s="23">
        <f t="shared" si="166"/>
        <v>20.186246211112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1.6405010683229191E-13</v>
      </c>
      <c r="BF167" s="14">
        <f t="shared" si="167"/>
        <v>2.3265121008813928E-12</v>
      </c>
      <c r="BG167" s="22">
        <f t="shared" si="168"/>
        <v>4.337729178434667E-12</v>
      </c>
      <c r="BH167" s="62">
        <f t="shared" si="116"/>
        <v>288.13593173018501</v>
      </c>
      <c r="BI167" s="62">
        <f ca="1">AVERAGE(OFFSET($BH$3,0,0,'Données projet'!$E$11+1,1))-AVERAGE(OFFSET($H$3,0,0,'Données projet'!$E$11+1,1))</f>
        <v>405.94837980869011</v>
      </c>
      <c r="BJ167" s="62">
        <f t="shared" si="146"/>
        <v>511.37583835090879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38.122194806829739</v>
      </c>
      <c r="BQ167" s="23">
        <f>EXP(-LN(2)/25)*BQ166+(1-EXP(-LN(2)/25))/(LN(2)/25)*Calculateur!BL167*Calculateur!BN167*VLOOKUP('Données projet'!$B$11,Paramètres!$A$1:$I$89,3,0)*0.475*44/12</f>
        <v>1.2283430454948803</v>
      </c>
      <c r="BR167" s="23">
        <f>EXP(-LN(2)/2)*BR166+(1-EXP(-LN(2)/2))/(LN(2)/2)*BL167*BO167*VLOOKUP('Données projet'!$B$11,Paramètres!$A$1:$I$89,3,0)*0.475*44/12</f>
        <v>5.3770047346115204E-18</v>
      </c>
      <c r="BS167" s="24">
        <f t="shared" si="169"/>
        <v>39.350537852324621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475</v>
      </c>
      <c r="BZ167" s="14">
        <f>BY167*VLOOKUP('Données projet'!$B$12,Paramètres!$A$1:$I$89,3,0)*VLOOKUP('Données projet'!$B$12,Paramètres!$A$1:$I$89,5,0)</f>
        <v>407.55</v>
      </c>
      <c r="CA167" s="14">
        <f t="shared" si="170"/>
        <v>93.305642095357683</v>
      </c>
      <c r="CB167" s="22">
        <f t="shared" si="171"/>
        <v>872.32357664941446</v>
      </c>
      <c r="CC167" s="62">
        <f t="shared" si="119"/>
        <v>1160.4595083795953</v>
      </c>
      <c r="CD167" s="62">
        <f ca="1">AVERAGE(OFFSET($CC$3,0,0,'Données projet'!$E$12+1,1))-AVERAGE(OFFSET($H$3,0,0,'Données projet'!$E$12+1,1))</f>
        <v>590.18141384962507</v>
      </c>
      <c r="CE167" s="62">
        <f t="shared" si="148"/>
        <v>331.25104323342907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128.28008231730402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128.28008231730402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4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-3.4705882352941178</v>
      </c>
      <c r="N168" s="14">
        <f>IF('Données projet'!$A$36&gt;35,N167+M168-V167,IF(A168&lt;'Données projet'!$A$36,$K$205^A168,IF(A168='Données projet'!$A$36,'Données projet'!$B$36,N167+M168-V167)))</f>
        <v>233.9999999999998</v>
      </c>
      <c r="O168" s="14">
        <f>N168*VLOOKUP('Données projet'!$B$9,Paramètres!$A$1:$I$89,3,0)*VLOOKUP('Données projet'!$B$9,Paramètres!$A$1:$I$89,5,0)</f>
        <v>211.72319999999982</v>
      </c>
      <c r="P168" s="14">
        <f t="shared" si="141"/>
        <v>52.311968964212028</v>
      </c>
      <c r="Q168" s="22">
        <f t="shared" si="162"/>
        <v>459.86125261266892</v>
      </c>
      <c r="R168" s="62">
        <f t="shared" si="109"/>
        <v>748.08734764101507</v>
      </c>
      <c r="S168" s="62">
        <f ca="1">AVERAGE(OFFSET($R$3,0,0,'Données projet'!$E$9+1,1))-AVERAGE(OFFSET($H$3,0,0,'Données projet'!$E$9+1,1))</f>
        <v>432.80275651765203</v>
      </c>
      <c r="T168" s="62">
        <f t="shared" si="142"/>
        <v>203.89279893419919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27.127135161570347</v>
      </c>
      <c r="AA168" s="23">
        <f>EXP(-LN(2)/25)*AA167+(1-EXP(-LN(2)/25))/(LN(2)/25)*Calculateur!V168*Calculateur!X168*VLOOKUP('Données projet'!$B$9,Paramètres!$A$1:$I$89,3,0)*0.475*44/12</f>
        <v>15.651390757294291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42.778525918864638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1.9895196601282805E-13</v>
      </c>
      <c r="AJ168" s="14">
        <f>AI168*VLOOKUP('Données projet'!$B$10,Paramètres!$A$1:$I$89,3,0)*VLOOKUP('Données projet'!$B$10,Paramètres!$A$1:$I$89,5,0)</f>
        <v>1.738044375088066E-13</v>
      </c>
      <c r="AK168" s="14">
        <f t="shared" si="164"/>
        <v>2.4483293633950478E-12</v>
      </c>
      <c r="AL168" s="22">
        <f t="shared" si="165"/>
        <v>4.566883036574213E-12</v>
      </c>
      <c r="AM168" s="62">
        <f t="shared" si="113"/>
        <v>288.2260950283507</v>
      </c>
      <c r="AN168" s="62">
        <f ca="1">AVERAGE(OFFSET($AM$3,0,0,'Données projet'!$E$10+1,1))-AVERAGE(OFFSET($H$3,0,0,'Données projet'!$E$10+1,1))</f>
        <v>341.62910675299065</v>
      </c>
      <c r="AO168" s="62">
        <f t="shared" si="144"/>
        <v>407.15938341104709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15.756005423318095</v>
      </c>
      <c r="AV168" s="23">
        <f>EXP(-LN(2)/25)*AV167+(1-EXP(-LN(2)/25))/(LN(2)/25)*Calculateur!AQ168*Calculateur!AS168*VLOOKUP('Données projet'!$B$10,Paramètres!$A$1:$I$89,3,0)*0.475*44/12</f>
        <v>4.0025678233145818</v>
      </c>
      <c r="AW168" s="23">
        <f>EXP(-LN(2)/2)*AW167+(1-EXP(-LN(2)/2))/(LN(2)/2)*AQ168*AT168*VLOOKUP('Données projet'!$B$10,Paramètres!$A$1:$I$89,3,0)*0.475*44/12</f>
        <v>2.1031548681718746E-15</v>
      </c>
      <c r="AX168" s="23">
        <f t="shared" si="166"/>
        <v>19.758573246632682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1.6405010683229191E-13</v>
      </c>
      <c r="BF168" s="14">
        <f t="shared" si="167"/>
        <v>2.3265121008813928E-12</v>
      </c>
      <c r="BG168" s="22">
        <f t="shared" si="168"/>
        <v>4.337729178434667E-12</v>
      </c>
      <c r="BH168" s="62">
        <f t="shared" si="116"/>
        <v>288.22609502835047</v>
      </c>
      <c r="BI168" s="62">
        <f ca="1">AVERAGE(OFFSET($BH$3,0,0,'Données projet'!$E$11+1,1))-AVERAGE(OFFSET($H$3,0,0,'Données projet'!$E$11+1,1))</f>
        <v>405.94837980869011</v>
      </c>
      <c r="BJ168" s="62">
        <f t="shared" si="146"/>
        <v>511.37583835090879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37.374641818910675</v>
      </c>
      <c r="BQ168" s="23">
        <f>EXP(-LN(2)/25)*BQ167+(1-EXP(-LN(2)/25))/(LN(2)/25)*Calculateur!BL168*Calculateur!BN168*VLOOKUP('Données projet'!$B$11,Paramètres!$A$1:$I$89,3,0)*0.475*44/12</f>
        <v>1.1947539403200693</v>
      </c>
      <c r="BR168" s="23">
        <f>EXP(-LN(2)/2)*BR167+(1-EXP(-LN(2)/2))/(LN(2)/2)*BL168*BO168*VLOOKUP('Données projet'!$B$11,Paramètres!$A$1:$I$89,3,0)*0.475*44/12</f>
        <v>3.8021165103159784E-18</v>
      </c>
      <c r="BS168" s="24">
        <f t="shared" si="169"/>
        <v>38.569395759230744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475</v>
      </c>
      <c r="BZ168" s="14">
        <f>BY168*VLOOKUP('Données projet'!$B$12,Paramètres!$A$1:$I$89,3,0)*VLOOKUP('Données projet'!$B$12,Paramètres!$A$1:$I$89,5,0)</f>
        <v>407.55</v>
      </c>
      <c r="CA168" s="14">
        <f t="shared" si="170"/>
        <v>93.305642095357683</v>
      </c>
      <c r="CB168" s="22">
        <f t="shared" si="171"/>
        <v>872.32357664941446</v>
      </c>
      <c r="CC168" s="62">
        <f t="shared" si="119"/>
        <v>1160.5496716777607</v>
      </c>
      <c r="CD168" s="62">
        <f ca="1">AVERAGE(OFFSET($CC$3,0,0,'Données projet'!$E$12+1,1))-AVERAGE(OFFSET($H$3,0,0,'Données projet'!$E$12+1,1))</f>
        <v>590.18141384962507</v>
      </c>
      <c r="CE168" s="62">
        <f t="shared" si="148"/>
        <v>331.25104323342907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125.76458814618604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125.76458814618604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4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-3.4705882352941178</v>
      </c>
      <c r="N169" s="14">
        <f>IF('Données projet'!$A$36&gt;35,N168+M169-V168,IF(A169&lt;'Données projet'!$A$36,$K$205^A169,IF(A169='Données projet'!$A$36,'Données projet'!$B$36,N168+M169-V168)))</f>
        <v>230.52941176470569</v>
      </c>
      <c r="O169" s="14">
        <f>N169*VLOOKUP('Données projet'!$B$9,Paramètres!$A$1:$I$89,3,0)*VLOOKUP('Données projet'!$B$9,Paramètres!$A$1:$I$89,5,0)</f>
        <v>208.58301176470567</v>
      </c>
      <c r="P169" s="14">
        <f t="shared" si="141"/>
        <v>51.625816210416218</v>
      </c>
      <c r="Q169" s="22">
        <f t="shared" si="162"/>
        <v>453.19704205667063</v>
      </c>
      <c r="R169" s="62">
        <f t="shared" si="109"/>
        <v>741.5117362515341</v>
      </c>
      <c r="S169" s="62">
        <f ca="1">AVERAGE(OFFSET($R$3,0,0,'Données projet'!$E$9+1,1))-AVERAGE(OFFSET($H$3,0,0,'Données projet'!$E$9+1,1))</f>
        <v>432.80275651765203</v>
      </c>
      <c r="T169" s="62">
        <f t="shared" si="142"/>
        <v>203.89279893419919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26.595188586970629</v>
      </c>
      <c r="AA169" s="23">
        <f>EXP(-LN(2)/25)*AA168+(1-EXP(-LN(2)/25))/(LN(2)/25)*Calculateur!V169*Calculateur!X169*VLOOKUP('Données projet'!$B$9,Paramètres!$A$1:$I$89,3,0)*0.475*44/12</f>
        <v>15.223402653965209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41.818591240935838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1.9895196601282805E-13</v>
      </c>
      <c r="AJ169" s="14">
        <f>AI169*VLOOKUP('Données projet'!$B$10,Paramètres!$A$1:$I$89,3,0)*VLOOKUP('Données projet'!$B$10,Paramètres!$A$1:$I$89,5,0)</f>
        <v>1.738044375088066E-13</v>
      </c>
      <c r="AK169" s="14">
        <f t="shared" si="164"/>
        <v>2.4483293633950478E-12</v>
      </c>
      <c r="AL169" s="22">
        <f t="shared" si="165"/>
        <v>4.566883036574213E-12</v>
      </c>
      <c r="AM169" s="62">
        <f t="shared" si="113"/>
        <v>288.31469419486797</v>
      </c>
      <c r="AN169" s="62">
        <f ca="1">AVERAGE(OFFSET($AM$3,0,0,'Données projet'!$E$10+1,1))-AVERAGE(OFFSET($H$3,0,0,'Données projet'!$E$10+1,1))</f>
        <v>341.62910675299065</v>
      </c>
      <c r="AO169" s="62">
        <f t="shared" si="144"/>
        <v>407.15938341104709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15.447039767181206</v>
      </c>
      <c r="AV169" s="23">
        <f>EXP(-LN(2)/25)*AV168+(1-EXP(-LN(2)/25))/(LN(2)/25)*Calculateur!AQ169*Calculateur!AS169*VLOOKUP('Données projet'!$B$10,Paramètres!$A$1:$I$89,3,0)*0.475*44/12</f>
        <v>3.8931173957001506</v>
      </c>
      <c r="AW169" s="23">
        <f>EXP(-LN(2)/2)*AW168+(1-EXP(-LN(2)/2))/(LN(2)/2)*AQ169*AT169*VLOOKUP('Données projet'!$B$10,Paramètres!$A$1:$I$89,3,0)*0.475*44/12</f>
        <v>1.487155069169832E-15</v>
      </c>
      <c r="AX169" s="23">
        <f t="shared" si="166"/>
        <v>19.340157162881358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1.6405010683229191E-13</v>
      </c>
      <c r="BF169" s="14">
        <f t="shared" si="167"/>
        <v>2.3265121008813928E-12</v>
      </c>
      <c r="BG169" s="22">
        <f t="shared" si="168"/>
        <v>4.337729178434667E-12</v>
      </c>
      <c r="BH169" s="62">
        <f t="shared" si="116"/>
        <v>288.31469419486774</v>
      </c>
      <c r="BI169" s="62">
        <f ca="1">AVERAGE(OFFSET($BH$3,0,0,'Données projet'!$E$11+1,1))-AVERAGE(OFFSET($H$3,0,0,'Données projet'!$E$11+1,1))</f>
        <v>405.94837980869011</v>
      </c>
      <c r="BJ169" s="62">
        <f t="shared" si="146"/>
        <v>511.37583835090879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36.641747889122399</v>
      </c>
      <c r="BQ169" s="23">
        <f>EXP(-LN(2)/25)*BQ168+(1-EXP(-LN(2)/25))/(LN(2)/25)*Calculateur!BL169*Calculateur!BN169*VLOOKUP('Données projet'!$B$11,Paramètres!$A$1:$I$89,3,0)*0.475*44/12</f>
        <v>1.1620833309926379</v>
      </c>
      <c r="BR169" s="23">
        <f>EXP(-LN(2)/2)*BR168+(1-EXP(-LN(2)/2))/(LN(2)/2)*BL169*BO169*VLOOKUP('Données projet'!$B$11,Paramètres!$A$1:$I$89,3,0)*0.475*44/12</f>
        <v>2.6885023673057602E-18</v>
      </c>
      <c r="BS169" s="24">
        <f t="shared" si="169"/>
        <v>37.803831220115036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475</v>
      </c>
      <c r="BZ169" s="14">
        <f>BY169*VLOOKUP('Données projet'!$B$12,Paramètres!$A$1:$I$89,3,0)*VLOOKUP('Données projet'!$B$12,Paramètres!$A$1:$I$89,5,0)</f>
        <v>407.55</v>
      </c>
      <c r="CA169" s="14">
        <f t="shared" si="170"/>
        <v>93.305642095357683</v>
      </c>
      <c r="CB169" s="22">
        <f t="shared" si="171"/>
        <v>872.32357664941446</v>
      </c>
      <c r="CC169" s="62">
        <f t="shared" si="119"/>
        <v>1160.6382708442779</v>
      </c>
      <c r="CD169" s="62">
        <f ca="1">AVERAGE(OFFSET($CC$3,0,0,'Données projet'!$E$12+1,1))-AVERAGE(OFFSET($H$3,0,0,'Données projet'!$E$12+1,1))</f>
        <v>590.18141384962507</v>
      </c>
      <c r="CE169" s="62">
        <f t="shared" si="148"/>
        <v>331.25104323342907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123.29842128146373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123.29842128146373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4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-3.4705882352941178</v>
      </c>
      <c r="N170" s="14">
        <f>IF('Données projet'!$A$36&gt;35,N169+M170-V169,IF(A170&lt;'Données projet'!$A$36,$K$205^A170,IF(A170='Données projet'!$A$36,'Données projet'!$B$36,N169+M170-V169)))</f>
        <v>227.05882352941157</v>
      </c>
      <c r="O170" s="14">
        <f>N170*VLOOKUP('Données projet'!$B$9,Paramètres!$A$1:$I$89,3,0)*VLOOKUP('Données projet'!$B$9,Paramètres!$A$1:$I$89,5,0)</f>
        <v>205.44282352941158</v>
      </c>
      <c r="P170" s="14">
        <f t="shared" si="141"/>
        <v>50.938459949962592</v>
      </c>
      <c r="Q170" s="22">
        <f t="shared" si="162"/>
        <v>446.53073539324333</v>
      </c>
      <c r="R170" s="62">
        <f t="shared" si="109"/>
        <v>734.93249175716301</v>
      </c>
      <c r="S170" s="62">
        <f ca="1">AVERAGE(OFFSET($R$3,0,0,'Données projet'!$E$9+1,1))-AVERAGE(OFFSET($H$3,0,0,'Données projet'!$E$9+1,1))</f>
        <v>432.80275651765203</v>
      </c>
      <c r="T170" s="62">
        <f t="shared" si="142"/>
        <v>203.89279893419919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26.073673160243438</v>
      </c>
      <c r="AA170" s="23">
        <f>EXP(-LN(2)/25)*AA169+(1-EXP(-LN(2)/25))/(LN(2)/25)*Calculateur!V170*Calculateur!X170*VLOOKUP('Données projet'!$B$9,Paramètres!$A$1:$I$89,3,0)*0.475*44/12</f>
        <v>14.807117907828578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40.880791068072014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1.9895196601282805E-13</v>
      </c>
      <c r="AJ170" s="14">
        <f>AI170*VLOOKUP('Données projet'!$B$10,Paramètres!$A$1:$I$89,3,0)*VLOOKUP('Données projet'!$B$10,Paramètres!$A$1:$I$89,5,0)</f>
        <v>1.738044375088066E-13</v>
      </c>
      <c r="AK170" s="14">
        <f t="shared" si="164"/>
        <v>2.4483293633950478E-12</v>
      </c>
      <c r="AL170" s="22">
        <f t="shared" si="165"/>
        <v>4.566883036574213E-12</v>
      </c>
      <c r="AM170" s="62">
        <f t="shared" si="113"/>
        <v>288.40175636392416</v>
      </c>
      <c r="AN170" s="62">
        <f ca="1">AVERAGE(OFFSET($AM$3,0,0,'Données projet'!$E$10+1,1))-AVERAGE(OFFSET($H$3,0,0,'Données projet'!$E$10+1,1))</f>
        <v>341.62910675299065</v>
      </c>
      <c r="AO170" s="62">
        <f t="shared" si="144"/>
        <v>407.15938341104709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15.144132739110718</v>
      </c>
      <c r="AV170" s="23">
        <f>EXP(-LN(2)/25)*AV169+(1-EXP(-LN(2)/25))/(LN(2)/25)*Calculateur!AQ170*Calculateur!AS170*VLOOKUP('Données projet'!$B$10,Paramètres!$A$1:$I$89,3,0)*0.475*44/12</f>
        <v>3.7866598957845841</v>
      </c>
      <c r="AW170" s="23">
        <f>EXP(-LN(2)/2)*AW169+(1-EXP(-LN(2)/2))/(LN(2)/2)*AQ170*AT170*VLOOKUP('Données projet'!$B$10,Paramètres!$A$1:$I$89,3,0)*0.475*44/12</f>
        <v>1.0515774340859373E-15</v>
      </c>
      <c r="AX170" s="23">
        <f t="shared" si="166"/>
        <v>18.930792634895301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1.6405010683229191E-13</v>
      </c>
      <c r="BF170" s="14">
        <f t="shared" si="167"/>
        <v>2.3265121008813928E-12</v>
      </c>
      <c r="BG170" s="22">
        <f t="shared" si="168"/>
        <v>4.337729178434667E-12</v>
      </c>
      <c r="BH170" s="62">
        <f t="shared" si="116"/>
        <v>288.40175636392394</v>
      </c>
      <c r="BI170" s="62">
        <f ca="1">AVERAGE(OFFSET($BH$3,0,0,'Données projet'!$E$11+1,1))-AVERAGE(OFFSET($H$3,0,0,'Données projet'!$E$11+1,1))</f>
        <v>405.94837980869011</v>
      </c>
      <c r="BJ170" s="62">
        <f t="shared" si="146"/>
        <v>511.37583835090879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35.923225562276116</v>
      </c>
      <c r="BQ170" s="23">
        <f>EXP(-LN(2)/25)*BQ169+(1-EXP(-LN(2)/25))/(LN(2)/25)*Calculateur!BL170*Calculateur!BN170*VLOOKUP('Données projet'!$B$11,Paramètres!$A$1:$I$89,3,0)*0.475*44/12</f>
        <v>1.1303061011953379</v>
      </c>
      <c r="BR170" s="23">
        <f>EXP(-LN(2)/2)*BR169+(1-EXP(-LN(2)/2))/(LN(2)/2)*BL170*BO170*VLOOKUP('Données projet'!$B$11,Paramètres!$A$1:$I$89,3,0)*0.475*44/12</f>
        <v>1.9010582551579892E-18</v>
      </c>
      <c r="BS170" s="24">
        <f t="shared" si="169"/>
        <v>37.053531663471453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475</v>
      </c>
      <c r="BZ170" s="14">
        <f>BY170*VLOOKUP('Données projet'!$B$12,Paramètres!$A$1:$I$89,3,0)*VLOOKUP('Données projet'!$B$12,Paramètres!$A$1:$I$89,5,0)</f>
        <v>407.55</v>
      </c>
      <c r="CA170" s="14">
        <f t="shared" si="170"/>
        <v>93.305642095357683</v>
      </c>
      <c r="CB170" s="22">
        <f t="shared" si="171"/>
        <v>872.32357664941446</v>
      </c>
      <c r="CC170" s="62">
        <f t="shared" si="119"/>
        <v>1160.725333013334</v>
      </c>
      <c r="CD170" s="62">
        <f ca="1">AVERAGE(OFFSET($CC$3,0,0,'Données projet'!$E$12+1,1))-AVERAGE(OFFSET($H$3,0,0,'Données projet'!$E$12+1,1))</f>
        <v>590.18141384962507</v>
      </c>
      <c r="CE170" s="62">
        <f t="shared" si="148"/>
        <v>331.25104323342907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120.88061444474538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120.88061444474538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4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>
        <f>VLOOKUP(A171,'Données projet'!$A$35:$I$55,2,0)</f>
        <v>369</v>
      </c>
      <c r="L171" s="13">
        <f>VLOOKUP(A171,'Données projet'!$A$35:$I$55,9,0)</f>
        <v>-3.4705882352941178</v>
      </c>
      <c r="M171" s="13">
        <f t="array" ref="M171">INDEX(L:L,MIN(IF(ISNUMBER(L171:L367),ROW(L171:L367),"")))</f>
        <v>-3.4705882352941178</v>
      </c>
      <c r="N171" s="14">
        <f>IF('Données projet'!$A$36&gt;35,N170+M171-V170,IF(A171&lt;'Données projet'!$A$36,$K$205^A171,IF(A171='Données projet'!$A$36,'Données projet'!$B$36,N170+M171-V170)))</f>
        <v>223.58823529411745</v>
      </c>
      <c r="O171" s="14">
        <f>N171*VLOOKUP('Données projet'!$B$9,Paramètres!$A$1:$I$89,3,0)*VLOOKUP('Données projet'!$B$9,Paramètres!$A$1:$I$89,5,0)</f>
        <v>202.30263529411749</v>
      </c>
      <c r="P171" s="14">
        <f t="shared" si="141"/>
        <v>50.249879626168386</v>
      </c>
      <c r="Q171" s="22">
        <f t="shared" si="162"/>
        <v>439.86229681949789</v>
      </c>
      <c r="R171" s="62">
        <f t="shared" si="109"/>
        <v>728.34960501848241</v>
      </c>
      <c r="S171" s="62">
        <f ca="1">AVERAGE(OFFSET($R$3,0,0,'Données projet'!$E$9+1,1))-AVERAGE(OFFSET($H$3,0,0,'Données projet'!$E$9+1,1))</f>
        <v>432.80275651765203</v>
      </c>
      <c r="T171" s="62">
        <f t="shared" si="142"/>
        <v>203.89279893419919</v>
      </c>
      <c r="U171" s="16">
        <f>IF(ISNA(VLOOKUP(A171,'Données projet'!$A$35:$I$55,3,0)),0,VLOOKUP(A171,'Données projet'!$A$35:$I$55,3,0))</f>
        <v>13</v>
      </c>
      <c r="V171" s="16">
        <f>IF(ISNA(VLOOKUP(A171,'Données projet'!$A$35:$I$55,4,0)),0,VLOOKUP(A171,'Données projet'!$A$35:$I$55,4,0))</f>
        <v>41</v>
      </c>
      <c r="W171" s="17">
        <f>IF(ISNA(VLOOKUP(A171,'Données projet'!$A$35:$I$55,5,0)),0%,VLOOKUP(A171,'Données projet'!$A$35:$I$55,5,0)*VLOOKUP('Données projet'!$B$9,Paramètres!$A$1:$I$89,7,0))</f>
        <v>0.215</v>
      </c>
      <c r="X171" s="17">
        <f>IF(ISNA(VLOOKUP(A171,'Données projet'!$A$35:$I$55,6,0)),0%,VLOOKUP(A171,'Données projet'!$A$35:$I$55,6,0)*VLOOKUP('Données projet'!$B$9,Paramètres!$A$1:$I$89,7,0))</f>
        <v>0.17200000000000001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34.37940825166482</v>
      </c>
      <c r="AA171" s="23">
        <f>EXP(-LN(2)/25)*AA170+(1-EXP(-LN(2)/25))/(LN(2)/25)*Calculateur!V171*Calculateur!X171*VLOOKUP('Données projet'!$B$9,Paramètres!$A$1:$I$89,3,0)*0.475*44/12</f>
        <v>21.428062838771275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55.807471090436096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1.9895196601282805E-13</v>
      </c>
      <c r="AJ171" s="14">
        <f>AI171*VLOOKUP('Données projet'!$B$10,Paramètres!$A$1:$I$89,3,0)*VLOOKUP('Données projet'!$B$10,Paramètres!$A$1:$I$89,5,0)</f>
        <v>1.738044375088066E-13</v>
      </c>
      <c r="AK171" s="14">
        <f t="shared" si="164"/>
        <v>2.4483293633950478E-12</v>
      </c>
      <c r="AL171" s="22">
        <f t="shared" si="165"/>
        <v>4.566883036574213E-12</v>
      </c>
      <c r="AM171" s="62">
        <f t="shared" si="113"/>
        <v>288.48730819898907</v>
      </c>
      <c r="AN171" s="62">
        <f ca="1">AVERAGE(OFFSET($AM$3,0,0,'Données projet'!$E$10+1,1))-AVERAGE(OFFSET($H$3,0,0,'Données projet'!$E$10+1,1))</f>
        <v>341.62910675299065</v>
      </c>
      <c r="AO171" s="62">
        <f t="shared" si="144"/>
        <v>407.15938341104709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14.847165533105649</v>
      </c>
      <c r="AV171" s="23">
        <f>EXP(-LN(2)/25)*AV170+(1-EXP(-LN(2)/25))/(LN(2)/25)*Calculateur!AQ171*Calculateur!AS171*VLOOKUP('Données projet'!$B$10,Paramètres!$A$1:$I$89,3,0)*0.475*44/12</f>
        <v>3.683113481802565</v>
      </c>
      <c r="AW171" s="23">
        <f>EXP(-LN(2)/2)*AW170+(1-EXP(-LN(2)/2))/(LN(2)/2)*AQ171*AT171*VLOOKUP('Données projet'!$B$10,Paramètres!$A$1:$I$89,3,0)*0.475*44/12</f>
        <v>7.4357753458491598E-16</v>
      </c>
      <c r="AX171" s="23">
        <f t="shared" si="166"/>
        <v>18.530279014908213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1.6405010683229191E-13</v>
      </c>
      <c r="BF171" s="14">
        <f t="shared" si="167"/>
        <v>2.3265121008813928E-12</v>
      </c>
      <c r="BG171" s="22">
        <f t="shared" si="168"/>
        <v>4.337729178434667E-12</v>
      </c>
      <c r="BH171" s="62">
        <f t="shared" si="116"/>
        <v>288.48730819898884</v>
      </c>
      <c r="BI171" s="62">
        <f ca="1">AVERAGE(OFFSET($BH$3,0,0,'Données projet'!$E$11+1,1))-AVERAGE(OFFSET($H$3,0,0,'Données projet'!$E$11+1,1))</f>
        <v>405.94837980869011</v>
      </c>
      <c r="BJ171" s="62">
        <f t="shared" si="146"/>
        <v>511.37583835090879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35.218793020003943</v>
      </c>
      <c r="BQ171" s="23">
        <f>EXP(-LN(2)/25)*BQ170+(1-EXP(-LN(2)/25))/(LN(2)/25)*Calculateur!BL171*Calculateur!BN171*VLOOKUP('Données projet'!$B$11,Paramètres!$A$1:$I$89,3,0)*0.475*44/12</f>
        <v>1.099397821417937</v>
      </c>
      <c r="BR171" s="23">
        <f>EXP(-LN(2)/2)*BR170+(1-EXP(-LN(2)/2))/(LN(2)/2)*BL171*BO171*VLOOKUP('Données projet'!$B$11,Paramètres!$A$1:$I$89,3,0)*0.475*44/12</f>
        <v>1.3442511836528801E-18</v>
      </c>
      <c r="BS171" s="24">
        <f t="shared" si="169"/>
        <v>36.318190841421881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475</v>
      </c>
      <c r="BZ171" s="14">
        <f>BY171*VLOOKUP('Données projet'!$B$12,Paramètres!$A$1:$I$89,3,0)*VLOOKUP('Données projet'!$B$12,Paramètres!$A$1:$I$89,5,0)</f>
        <v>407.55</v>
      </c>
      <c r="CA171" s="14">
        <f t="shared" si="170"/>
        <v>93.305642095357683</v>
      </c>
      <c r="CB171" s="22">
        <f t="shared" si="171"/>
        <v>872.32357664941446</v>
      </c>
      <c r="CC171" s="62">
        <f t="shared" si="119"/>
        <v>1160.8108848483989</v>
      </c>
      <c r="CD171" s="62">
        <f ca="1">AVERAGE(OFFSET($CC$3,0,0,'Données projet'!$E$12+1,1))-AVERAGE(OFFSET($H$3,0,0,'Données projet'!$E$12+1,1))</f>
        <v>590.18141384962507</v>
      </c>
      <c r="CE171" s="62">
        <f t="shared" si="148"/>
        <v>331.25104323342907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118.51021932537851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118.51021932537851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4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3.3333333333333335</v>
      </c>
      <c r="N172" s="14">
        <f>IF('Données projet'!$A$36&gt;35,N171+M172-V171,IF(A172&lt;'Données projet'!$A$36,$K$205^A172,IF(A172='Données projet'!$A$36,'Données projet'!$B$36,N171+M172-V171)))</f>
        <v>185.9215686274508</v>
      </c>
      <c r="O172" s="14">
        <f>N172*VLOOKUP('Données projet'!$B$9,Paramètres!$A$1:$I$89,3,0)*VLOOKUP('Données projet'!$B$9,Paramètres!$A$1:$I$89,5,0)</f>
        <v>168.22183529411745</v>
      </c>
      <c r="P172" s="14">
        <f t="shared" si="141"/>
        <v>42.69153045558064</v>
      </c>
      <c r="Q172" s="22">
        <f t="shared" si="162"/>
        <v>367.34077868072421</v>
      </c>
      <c r="R172" s="62">
        <f t="shared" si="109"/>
        <v>655.91215458170063</v>
      </c>
      <c r="S172" s="62">
        <f ca="1">AVERAGE(OFFSET($R$3,0,0,'Données projet'!$E$9+1,1))-AVERAGE(OFFSET($H$3,0,0,'Données projet'!$E$9+1,1))</f>
        <v>432.80275651765203</v>
      </c>
      <c r="T172" s="62">
        <f t="shared" si="142"/>
        <v>203.89279893419919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33.705249025218151</v>
      </c>
      <c r="AA172" s="23">
        <f>EXP(-LN(2)/25)*AA171+(1-EXP(-LN(2)/25))/(LN(2)/25)*Calculateur!V172*Calculateur!X172*VLOOKUP('Données projet'!$B$9,Paramètres!$A$1:$I$89,3,0)*0.475*44/12</f>
        <v>20.842111333592225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54.54736035881038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1.9895196601282805E-13</v>
      </c>
      <c r="AJ172" s="14">
        <f>AI172*VLOOKUP('Données projet'!$B$10,Paramètres!$A$1:$I$89,3,0)*VLOOKUP('Données projet'!$B$10,Paramètres!$A$1:$I$89,5,0)</f>
        <v>1.738044375088066E-13</v>
      </c>
      <c r="AK172" s="14">
        <f t="shared" si="164"/>
        <v>2.4483293633950478E-12</v>
      </c>
      <c r="AL172" s="22">
        <f t="shared" si="165"/>
        <v>4.566883036574213E-12</v>
      </c>
      <c r="AM172" s="62">
        <f t="shared" si="113"/>
        <v>288.57137590098097</v>
      </c>
      <c r="AN172" s="62">
        <f ca="1">AVERAGE(OFFSET($AM$3,0,0,'Données projet'!$E$10+1,1))-AVERAGE(OFFSET($H$3,0,0,'Données projet'!$E$10+1,1))</f>
        <v>341.62910675299065</v>
      </c>
      <c r="AO172" s="62">
        <f t="shared" si="144"/>
        <v>407.15938341104709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14.556021672878229</v>
      </c>
      <c r="AV172" s="23">
        <f>EXP(-LN(2)/25)*AV171+(1-EXP(-LN(2)/25))/(LN(2)/25)*Calculateur!AQ172*Calculateur!AS172*VLOOKUP('Données projet'!$B$10,Paramètres!$A$1:$I$89,3,0)*0.475*44/12</f>
        <v>3.5823985499561539</v>
      </c>
      <c r="AW172" s="23">
        <f>EXP(-LN(2)/2)*AW171+(1-EXP(-LN(2)/2))/(LN(2)/2)*AQ172*AT172*VLOOKUP('Données projet'!$B$10,Paramètres!$A$1:$I$89,3,0)*0.475*44/12</f>
        <v>5.2578871704296865E-16</v>
      </c>
      <c r="AX172" s="23">
        <f t="shared" si="166"/>
        <v>18.138420222834384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1.6405010683229191E-13</v>
      </c>
      <c r="BF172" s="14">
        <f t="shared" si="167"/>
        <v>2.3265121008813928E-12</v>
      </c>
      <c r="BG172" s="22">
        <f t="shared" si="168"/>
        <v>4.337729178434667E-12</v>
      </c>
      <c r="BH172" s="62">
        <f t="shared" si="116"/>
        <v>288.57137590098074</v>
      </c>
      <c r="BI172" s="62">
        <f ca="1">AVERAGE(OFFSET($BH$3,0,0,'Données projet'!$E$11+1,1))-AVERAGE(OFFSET($H$3,0,0,'Données projet'!$E$11+1,1))</f>
        <v>405.94837980869011</v>
      </c>
      <c r="BJ172" s="62">
        <f t="shared" si="146"/>
        <v>511.37583835090879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34.528173970224302</v>
      </c>
      <c r="BQ172" s="23">
        <f>EXP(-LN(2)/25)*BQ171+(1-EXP(-LN(2)/25))/(LN(2)/25)*Calculateur!BL172*Calculateur!BN172*VLOOKUP('Données projet'!$B$11,Paramètres!$A$1:$I$89,3,0)*0.475*44/12</f>
        <v>1.0693347301764446</v>
      </c>
      <c r="BR172" s="23">
        <f>EXP(-LN(2)/2)*BR171+(1-EXP(-LN(2)/2))/(LN(2)/2)*BL172*BO172*VLOOKUP('Données projet'!$B$11,Paramètres!$A$1:$I$89,3,0)*0.475*44/12</f>
        <v>9.5052912757899459E-19</v>
      </c>
      <c r="BS172" s="24">
        <f t="shared" si="169"/>
        <v>35.597508700400745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475</v>
      </c>
      <c r="BZ172" s="14">
        <f>BY172*VLOOKUP('Données projet'!$B$12,Paramètres!$A$1:$I$89,3,0)*VLOOKUP('Données projet'!$B$12,Paramètres!$A$1:$I$89,5,0)</f>
        <v>407.55</v>
      </c>
      <c r="CA172" s="14">
        <f t="shared" si="170"/>
        <v>93.305642095357683</v>
      </c>
      <c r="CB172" s="22">
        <f t="shared" si="171"/>
        <v>872.32357664941446</v>
      </c>
      <c r="CC172" s="62">
        <f t="shared" si="119"/>
        <v>1160.8949525503908</v>
      </c>
      <c r="CD172" s="62">
        <f ca="1">AVERAGE(OFFSET($CC$3,0,0,'Données projet'!$E$12+1,1))-AVERAGE(OFFSET($H$3,0,0,'Données projet'!$E$12+1,1))</f>
        <v>590.18141384962507</v>
      </c>
      <c r="CE172" s="62">
        <f t="shared" si="148"/>
        <v>331.25104323342907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116.18630620850416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116.18630620850416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4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3.3333333333333335</v>
      </c>
      <c r="N173" s="14">
        <f>IF('Données projet'!$A$36&gt;35,N172+M173-V172,IF(A173&lt;'Données projet'!$A$36,$K$205^A173,IF(A173='Données projet'!$A$36,'Données projet'!$B$36,N172+M173-V172)))</f>
        <v>189.25490196078414</v>
      </c>
      <c r="O173" s="14">
        <f>N173*VLOOKUP('Données projet'!$B$9,Paramètres!$A$1:$I$89,3,0)*VLOOKUP('Données projet'!$B$9,Paramètres!$A$1:$I$89,5,0)</f>
        <v>171.23783529411747</v>
      </c>
      <c r="P173" s="14">
        <f t="shared" si="141"/>
        <v>43.367140345686025</v>
      </c>
      <c r="Q173" s="22">
        <f t="shared" si="162"/>
        <v>373.77033257265776</v>
      </c>
      <c r="R173" s="62">
        <f t="shared" si="109"/>
        <v>662.42431778894365</v>
      </c>
      <c r="S173" s="62">
        <f ca="1">AVERAGE(OFFSET($R$3,0,0,'Données projet'!$E$9+1,1))-AVERAGE(OFFSET($H$3,0,0,'Données projet'!$E$9+1,1))</f>
        <v>432.80275651765203</v>
      </c>
      <c r="T173" s="62">
        <f t="shared" si="142"/>
        <v>203.89279893419919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33.04430965000558</v>
      </c>
      <c r="AA173" s="23">
        <f>EXP(-LN(2)/25)*AA172+(1-EXP(-LN(2)/25))/(LN(2)/25)*Calculateur!V173*Calculateur!X173*VLOOKUP('Données projet'!$B$9,Paramètres!$A$1:$I$89,3,0)*0.475*44/12</f>
        <v>20.272182703136146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53.316492353141726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1.9895196601282805E-13</v>
      </c>
      <c r="AJ173" s="14">
        <f>AI173*VLOOKUP('Données projet'!$B$10,Paramètres!$A$1:$I$89,3,0)*VLOOKUP('Données projet'!$B$10,Paramètres!$A$1:$I$89,5,0)</f>
        <v>1.738044375088066E-13</v>
      </c>
      <c r="AK173" s="14">
        <f t="shared" si="164"/>
        <v>2.4483293633950478E-12</v>
      </c>
      <c r="AL173" s="22">
        <f t="shared" si="165"/>
        <v>4.566883036574213E-12</v>
      </c>
      <c r="AM173" s="62">
        <f t="shared" si="113"/>
        <v>288.65398521629044</v>
      </c>
      <c r="AN173" s="62">
        <f ca="1">AVERAGE(OFFSET($AM$3,0,0,'Données projet'!$E$10+1,1))-AVERAGE(OFFSET($H$3,0,0,'Données projet'!$E$10+1,1))</f>
        <v>341.62910675299065</v>
      </c>
      <c r="AO173" s="62">
        <f t="shared" si="144"/>
        <v>407.15938341104709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14.270586966169649</v>
      </c>
      <c r="AV173" s="23">
        <f>EXP(-LN(2)/25)*AV172+(1-EXP(-LN(2)/25))/(LN(2)/25)*Calculateur!AQ173*Calculateur!AS173*VLOOKUP('Données projet'!$B$10,Paramètres!$A$1:$I$89,3,0)*0.475*44/12</f>
        <v>3.4844376732174509</v>
      </c>
      <c r="AW173" s="23">
        <f>EXP(-LN(2)/2)*AW172+(1-EXP(-LN(2)/2))/(LN(2)/2)*AQ173*AT173*VLOOKUP('Données projet'!$B$10,Paramètres!$A$1:$I$89,3,0)*0.475*44/12</f>
        <v>3.7178876729245799E-16</v>
      </c>
      <c r="AX173" s="23">
        <f t="shared" si="166"/>
        <v>17.755024639387099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1.6405010683229191E-13</v>
      </c>
      <c r="BF173" s="14">
        <f t="shared" si="167"/>
        <v>2.3265121008813928E-12</v>
      </c>
      <c r="BG173" s="22">
        <f t="shared" si="168"/>
        <v>4.337729178434667E-12</v>
      </c>
      <c r="BH173" s="62">
        <f t="shared" si="116"/>
        <v>288.65398521629021</v>
      </c>
      <c r="BI173" s="62">
        <f ca="1">AVERAGE(OFFSET($BH$3,0,0,'Données projet'!$E$11+1,1))-AVERAGE(OFFSET($H$3,0,0,'Données projet'!$E$11+1,1))</f>
        <v>405.94837980869011</v>
      </c>
      <c r="BJ173" s="62">
        <f t="shared" si="146"/>
        <v>511.37583835090879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33.851097538774809</v>
      </c>
      <c r="BQ173" s="23">
        <f>EXP(-LN(2)/25)*BQ172+(1-EXP(-LN(2)/25))/(LN(2)/25)*Calculateur!BL173*Calculateur!BN173*VLOOKUP('Données projet'!$B$11,Paramètres!$A$1:$I$89,3,0)*0.475*44/12</f>
        <v>1.0400937157459003</v>
      </c>
      <c r="BR173" s="23">
        <f>EXP(-LN(2)/2)*BR172+(1-EXP(-LN(2)/2))/(LN(2)/2)*BL173*BO173*VLOOKUP('Données projet'!$B$11,Paramètres!$A$1:$I$89,3,0)*0.475*44/12</f>
        <v>6.7212559182644005E-19</v>
      </c>
      <c r="BS173" s="24">
        <f t="shared" si="169"/>
        <v>34.891191254520706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475</v>
      </c>
      <c r="BZ173" s="14">
        <f>BY173*VLOOKUP('Données projet'!$B$12,Paramètres!$A$1:$I$89,3,0)*VLOOKUP('Données projet'!$B$12,Paramètres!$A$1:$I$89,5,0)</f>
        <v>407.55</v>
      </c>
      <c r="CA173" s="14">
        <f t="shared" si="170"/>
        <v>93.305642095357683</v>
      </c>
      <c r="CB173" s="22">
        <f t="shared" si="171"/>
        <v>872.32357664941446</v>
      </c>
      <c r="CC173" s="62">
        <f t="shared" si="119"/>
        <v>1160.9775618657004</v>
      </c>
      <c r="CD173" s="62">
        <f ca="1">AVERAGE(OFFSET($CC$3,0,0,'Données projet'!$E$12+1,1))-AVERAGE(OFFSET($H$3,0,0,'Données projet'!$E$12+1,1))</f>
        <v>590.18141384962507</v>
      </c>
      <c r="CE173" s="62">
        <f t="shared" si="148"/>
        <v>331.25104323342907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113.90796361040468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113.90796361040468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4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3.3333333333333335</v>
      </c>
      <c r="N174" s="14">
        <f>IF('Données projet'!$A$36&gt;35,N173+M174-V173,IF(A174&lt;'Données projet'!$A$36,$K$205^A174,IF(A174='Données projet'!$A$36,'Données projet'!$B$36,N173+M174-V173)))</f>
        <v>192.58823529411748</v>
      </c>
      <c r="O174" s="14">
        <f>N174*VLOOKUP('Données projet'!$B$9,Paramètres!$A$1:$I$89,3,0)*VLOOKUP('Données projet'!$B$9,Paramètres!$A$1:$I$89,5,0)</f>
        <v>174.25383529411749</v>
      </c>
      <c r="P174" s="14">
        <f t="shared" si="141"/>
        <v>44.041366480741807</v>
      </c>
      <c r="Q174" s="22">
        <f t="shared" si="162"/>
        <v>380.19747642454655</v>
      </c>
      <c r="R174" s="62">
        <f t="shared" si="109"/>
        <v>668.93263786920807</v>
      </c>
      <c r="S174" s="62">
        <f ca="1">AVERAGE(OFFSET($R$3,0,0,'Données projet'!$E$9+1,1))-AVERAGE(OFFSET($H$3,0,0,'Données projet'!$E$9+1,1))</f>
        <v>432.80275651765203</v>
      </c>
      <c r="T174" s="62">
        <f t="shared" si="142"/>
        <v>203.89279893419919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32.396330892807711</v>
      </c>
      <c r="AA174" s="23">
        <f>EXP(-LN(2)/25)*AA173+(1-EXP(-LN(2)/25))/(LN(2)/25)*Calculateur!V174*Calculateur!X174*VLOOKUP('Données projet'!$B$9,Paramètres!$A$1:$I$89,3,0)*0.475*44/12</f>
        <v>19.717838801051133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52.114169693858841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1.9895196601282805E-13</v>
      </c>
      <c r="AJ174" s="14">
        <f>AI174*VLOOKUP('Données projet'!$B$10,Paramètres!$A$1:$I$89,3,0)*VLOOKUP('Données projet'!$B$10,Paramètres!$A$1:$I$89,5,0)</f>
        <v>1.738044375088066E-13</v>
      </c>
      <c r="AK174" s="14">
        <f t="shared" si="164"/>
        <v>2.4483293633950478E-12</v>
      </c>
      <c r="AL174" s="22">
        <f t="shared" si="165"/>
        <v>4.566883036574213E-12</v>
      </c>
      <c r="AM174" s="62">
        <f t="shared" si="113"/>
        <v>288.73516144466606</v>
      </c>
      <c r="AN174" s="62">
        <f ca="1">AVERAGE(OFFSET($AM$3,0,0,'Données projet'!$E$10+1,1))-AVERAGE(OFFSET($H$3,0,0,'Données projet'!$E$10+1,1))</f>
        <v>341.62910675299065</v>
      </c>
      <c r="AO174" s="62">
        <f t="shared" si="144"/>
        <v>407.15938341104709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13.990749459961643</v>
      </c>
      <c r="AV174" s="23">
        <f>EXP(-LN(2)/25)*AV173+(1-EXP(-LN(2)/25))/(LN(2)/25)*Calculateur!AQ174*Calculateur!AS174*VLOOKUP('Données projet'!$B$10,Paramètres!$A$1:$I$89,3,0)*0.475*44/12</f>
        <v>3.3891555418047061</v>
      </c>
      <c r="AW174" s="23">
        <f>EXP(-LN(2)/2)*AW173+(1-EXP(-LN(2)/2))/(LN(2)/2)*AQ174*AT174*VLOOKUP('Données projet'!$B$10,Paramètres!$A$1:$I$89,3,0)*0.475*44/12</f>
        <v>2.6289435852148432E-16</v>
      </c>
      <c r="AX174" s="23">
        <f t="shared" si="166"/>
        <v>17.37990500176635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1.6405010683229191E-13</v>
      </c>
      <c r="BF174" s="14">
        <f t="shared" si="167"/>
        <v>2.3265121008813928E-12</v>
      </c>
      <c r="BG174" s="22">
        <f t="shared" si="168"/>
        <v>4.337729178434667E-12</v>
      </c>
      <c r="BH174" s="62">
        <f t="shared" si="116"/>
        <v>288.73516144466583</v>
      </c>
      <c r="BI174" s="62">
        <f ca="1">AVERAGE(OFFSET($BH$3,0,0,'Données projet'!$E$11+1,1))-AVERAGE(OFFSET($H$3,0,0,'Données projet'!$E$11+1,1))</f>
        <v>405.94837980869011</v>
      </c>
      <c r="BJ174" s="62">
        <f t="shared" si="146"/>
        <v>511.37583835090879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33.187298163170198</v>
      </c>
      <c r="BQ174" s="23">
        <f>EXP(-LN(2)/25)*BQ173+(1-EXP(-LN(2)/25))/(LN(2)/25)*Calculateur!BL174*Calculateur!BN174*VLOOKUP('Données projet'!$B$11,Paramètres!$A$1:$I$89,3,0)*0.475*44/12</f>
        <v>1.0116522983926772</v>
      </c>
      <c r="BR174" s="23">
        <f>EXP(-LN(2)/2)*BR173+(1-EXP(-LN(2)/2))/(LN(2)/2)*BL174*BO174*VLOOKUP('Données projet'!$B$11,Paramètres!$A$1:$I$89,3,0)*0.475*44/12</f>
        <v>4.752645637894973E-19</v>
      </c>
      <c r="BS174" s="24">
        <f t="shared" si="169"/>
        <v>34.198950461562873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475</v>
      </c>
      <c r="BZ174" s="14">
        <f>BY174*VLOOKUP('Données projet'!$B$12,Paramètres!$A$1:$I$89,3,0)*VLOOKUP('Données projet'!$B$12,Paramètres!$A$1:$I$89,5,0)</f>
        <v>407.55</v>
      </c>
      <c r="CA174" s="14">
        <f t="shared" si="170"/>
        <v>93.305642095357683</v>
      </c>
      <c r="CB174" s="22">
        <f t="shared" si="171"/>
        <v>872.32357664941446</v>
      </c>
      <c r="CC174" s="62">
        <f t="shared" si="119"/>
        <v>1161.058738094076</v>
      </c>
      <c r="CD174" s="62">
        <f ca="1">AVERAGE(OFFSET($CC$3,0,0,'Données projet'!$E$12+1,1))-AVERAGE(OFFSET($H$3,0,0,'Données projet'!$E$12+1,1))</f>
        <v>590.18141384962507</v>
      </c>
      <c r="CE174" s="62">
        <f t="shared" si="148"/>
        <v>331.25104323342907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111.67429792100216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111.67429792100216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4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3.3333333333333335</v>
      </c>
      <c r="N175" s="14">
        <f>IF('Données projet'!$A$36&gt;35,N174+M175-V174,IF(A175&lt;'Données projet'!$A$36,$K$205^A175,IF(A175='Données projet'!$A$36,'Données projet'!$B$36,N174+M175-V174)))</f>
        <v>195.92156862745082</v>
      </c>
      <c r="O175" s="14">
        <f>N175*VLOOKUP('Données projet'!$B$9,Paramètres!$A$1:$I$89,3,0)*VLOOKUP('Données projet'!$B$9,Paramètres!$A$1:$I$89,5,0)</f>
        <v>177.26983529411751</v>
      </c>
      <c r="P175" s="14">
        <f t="shared" si="141"/>
        <v>44.714235574466507</v>
      </c>
      <c r="Q175" s="22">
        <f t="shared" si="162"/>
        <v>386.62225676278376</v>
      </c>
      <c r="R175" s="62">
        <f t="shared" si="109"/>
        <v>675.43718620974141</v>
      </c>
      <c r="S175" s="62">
        <f ca="1">AVERAGE(OFFSET($R$3,0,0,'Données projet'!$E$9+1,1))-AVERAGE(OFFSET($H$3,0,0,'Données projet'!$E$9+1,1))</f>
        <v>432.80275651765203</v>
      </c>
      <c r="T175" s="62">
        <f t="shared" si="142"/>
        <v>203.89279893419919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31.761058603810476</v>
      </c>
      <c r="AA175" s="23">
        <f>EXP(-LN(2)/25)*AA174+(1-EXP(-LN(2)/25))/(LN(2)/25)*Calculateur!V175*Calculateur!X175*VLOOKUP('Données projet'!$B$9,Paramètres!$A$1:$I$89,3,0)*0.475*44/12</f>
        <v>19.178653462120312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50.939712065930792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1.9895196601282805E-13</v>
      </c>
      <c r="AJ175" s="14">
        <f>AI175*VLOOKUP('Données projet'!$B$10,Paramètres!$A$1:$I$89,3,0)*VLOOKUP('Données projet'!$B$10,Paramètres!$A$1:$I$89,5,0)</f>
        <v>1.738044375088066E-13</v>
      </c>
      <c r="AK175" s="14">
        <f t="shared" si="164"/>
        <v>2.4483293633950478E-12</v>
      </c>
      <c r="AL175" s="22">
        <f t="shared" si="165"/>
        <v>4.566883036574213E-12</v>
      </c>
      <c r="AM175" s="62">
        <f t="shared" si="113"/>
        <v>288.8149294469622</v>
      </c>
      <c r="AN175" s="62">
        <f ca="1">AVERAGE(OFFSET($AM$3,0,0,'Données projet'!$E$10+1,1))-AVERAGE(OFFSET($H$3,0,0,'Données projet'!$E$10+1,1))</f>
        <v>341.62910675299065</v>
      </c>
      <c r="AO175" s="62">
        <f t="shared" si="144"/>
        <v>407.15938341104709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13.71639939656635</v>
      </c>
      <c r="AV175" s="23">
        <f>EXP(-LN(2)/25)*AV174+(1-EXP(-LN(2)/25))/(LN(2)/25)*Calculateur!AQ175*Calculateur!AS175*VLOOKUP('Données projet'!$B$10,Paramètres!$A$1:$I$89,3,0)*0.475*44/12</f>
        <v>3.2964789052861123</v>
      </c>
      <c r="AW175" s="23">
        <f>EXP(-LN(2)/2)*AW174+(1-EXP(-LN(2)/2))/(LN(2)/2)*AQ175*AT175*VLOOKUP('Données projet'!$B$10,Paramètres!$A$1:$I$89,3,0)*0.475*44/12</f>
        <v>1.85894383646229E-16</v>
      </c>
      <c r="AX175" s="23">
        <f t="shared" si="166"/>
        <v>17.012878301852464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1.6405010683229191E-13</v>
      </c>
      <c r="BF175" s="14">
        <f t="shared" si="167"/>
        <v>2.3265121008813928E-12</v>
      </c>
      <c r="BG175" s="22">
        <f t="shared" si="168"/>
        <v>4.337729178434667E-12</v>
      </c>
      <c r="BH175" s="62">
        <f t="shared" si="116"/>
        <v>288.81492944696197</v>
      </c>
      <c r="BI175" s="62">
        <f ca="1">AVERAGE(OFFSET($BH$3,0,0,'Données projet'!$E$11+1,1))-AVERAGE(OFFSET($H$3,0,0,'Données projet'!$E$11+1,1))</f>
        <v>405.94837980869011</v>
      </c>
      <c r="BJ175" s="62">
        <f t="shared" si="146"/>
        <v>511.37583835090879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32.536515488443555</v>
      </c>
      <c r="BQ175" s="23">
        <f>EXP(-LN(2)/25)*BQ174+(1-EXP(-LN(2)/25))/(LN(2)/25)*Calculateur!BL175*Calculateur!BN175*VLOOKUP('Données projet'!$B$11,Paramètres!$A$1:$I$89,3,0)*0.475*44/12</f>
        <v>0.98398861309264729</v>
      </c>
      <c r="BR175" s="23">
        <f>EXP(-LN(2)/2)*BR174+(1-EXP(-LN(2)/2))/(LN(2)/2)*BL175*BO175*VLOOKUP('Données projet'!$B$11,Paramètres!$A$1:$I$89,3,0)*0.475*44/12</f>
        <v>3.3606279591322003E-19</v>
      </c>
      <c r="BS175" s="24">
        <f t="shared" si="169"/>
        <v>33.520504101536204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475</v>
      </c>
      <c r="BZ175" s="14">
        <f>BY175*VLOOKUP('Données projet'!$B$12,Paramètres!$A$1:$I$89,3,0)*VLOOKUP('Données projet'!$B$12,Paramètres!$A$1:$I$89,5,0)</f>
        <v>407.55</v>
      </c>
      <c r="CA175" s="14">
        <f t="shared" si="170"/>
        <v>93.305642095357683</v>
      </c>
      <c r="CB175" s="22">
        <f t="shared" si="171"/>
        <v>872.32357664941446</v>
      </c>
      <c r="CC175" s="62">
        <f t="shared" si="119"/>
        <v>1161.1385060963721</v>
      </c>
      <c r="CD175" s="62">
        <f ca="1">AVERAGE(OFFSET($CC$3,0,0,'Données projet'!$E$12+1,1))-AVERAGE(OFFSET($H$3,0,0,'Données projet'!$E$12+1,1))</f>
        <v>590.18141384962507</v>
      </c>
      <c r="CE175" s="62">
        <f t="shared" si="148"/>
        <v>331.25104323342907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109.48443305336728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109.48443305336728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4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3.3333333333333335</v>
      </c>
      <c r="N176" s="14">
        <f>IF('Données projet'!$A$36&gt;35,N175+M176-V175,IF(A176&lt;'Données projet'!$A$36,$K$205^A176,IF(A176='Données projet'!$A$36,'Données projet'!$B$36,N175+M176-V175)))</f>
        <v>199.25490196078417</v>
      </c>
      <c r="O176" s="14">
        <f>N176*VLOOKUP('Données projet'!$B$9,Paramètres!$A$1:$I$89,3,0)*VLOOKUP('Données projet'!$B$9,Paramètres!$A$1:$I$89,5,0)</f>
        <v>180.2858352941175</v>
      </c>
      <c r="P176" s="14">
        <f t="shared" si="141"/>
        <v>45.385773379494488</v>
      </c>
      <c r="Q176" s="22">
        <f t="shared" si="162"/>
        <v>393.0447184398742</v>
      </c>
      <c r="R176" s="62">
        <f t="shared" si="109"/>
        <v>681.93803209262273</v>
      </c>
      <c r="S176" s="62">
        <f ca="1">AVERAGE(OFFSET($R$3,0,0,'Données projet'!$E$9+1,1))-AVERAGE(OFFSET($H$3,0,0,'Données projet'!$E$9+1,1))</f>
        <v>432.80275651765203</v>
      </c>
      <c r="T176" s="62">
        <f t="shared" si="142"/>
        <v>203.89279893419919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31.13824361692264</v>
      </c>
      <c r="AA176" s="23">
        <f>EXP(-LN(2)/25)*AA175+(1-EXP(-LN(2)/25))/(LN(2)/25)*Calculateur!V176*Calculateur!X176*VLOOKUP('Données projet'!$B$9,Paramètres!$A$1:$I$89,3,0)*0.475*44/12</f>
        <v>18.654212174637081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49.792455791559718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1.9895196601282805E-13</v>
      </c>
      <c r="AJ176" s="14">
        <f>AI176*VLOOKUP('Données projet'!$B$10,Paramètres!$A$1:$I$89,3,0)*VLOOKUP('Données projet'!$B$10,Paramètres!$A$1:$I$89,5,0)</f>
        <v>1.738044375088066E-13</v>
      </c>
      <c r="AK176" s="14">
        <f t="shared" si="164"/>
        <v>2.4483293633950478E-12</v>
      </c>
      <c r="AL176" s="22">
        <f t="shared" si="165"/>
        <v>4.566883036574213E-12</v>
      </c>
      <c r="AM176" s="62">
        <f t="shared" si="113"/>
        <v>288.89331365275302</v>
      </c>
      <c r="AN176" s="62">
        <f ca="1">AVERAGE(OFFSET($AM$3,0,0,'Données projet'!$E$10+1,1))-AVERAGE(OFFSET($H$3,0,0,'Données projet'!$E$10+1,1))</f>
        <v>341.62910675299065</v>
      </c>
      <c r="AO176" s="62">
        <f t="shared" si="144"/>
        <v>407.15938341104709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13.447429170577225</v>
      </c>
      <c r="AV176" s="23">
        <f>EXP(-LN(2)/25)*AV175+(1-EXP(-LN(2)/25))/(LN(2)/25)*Calculateur!AQ176*Calculateur!AS176*VLOOKUP('Données projet'!$B$10,Paramètres!$A$1:$I$89,3,0)*0.475*44/12</f>
        <v>3.2063365162667723</v>
      </c>
      <c r="AW176" s="23">
        <f>EXP(-LN(2)/2)*AW175+(1-EXP(-LN(2)/2))/(LN(2)/2)*AQ176*AT176*VLOOKUP('Données projet'!$B$10,Paramètres!$A$1:$I$89,3,0)*0.475*44/12</f>
        <v>1.3144717926074216E-16</v>
      </c>
      <c r="AX176" s="23">
        <f t="shared" si="166"/>
        <v>16.653765686843997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1.6405010683229191E-13</v>
      </c>
      <c r="BF176" s="14">
        <f t="shared" si="167"/>
        <v>2.3265121008813928E-12</v>
      </c>
      <c r="BG176" s="22">
        <f t="shared" si="168"/>
        <v>4.337729178434667E-12</v>
      </c>
      <c r="BH176" s="62">
        <f t="shared" si="116"/>
        <v>288.89331365275279</v>
      </c>
      <c r="BI176" s="62">
        <f ca="1">AVERAGE(OFFSET($BH$3,0,0,'Données projet'!$E$11+1,1))-AVERAGE(OFFSET($H$3,0,0,'Données projet'!$E$11+1,1))</f>
        <v>405.94837980869011</v>
      </c>
      <c r="BJ176" s="62">
        <f t="shared" si="146"/>
        <v>511.37583835090879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31.898494265030063</v>
      </c>
      <c r="BQ176" s="23">
        <f>EXP(-LN(2)/25)*BQ175+(1-EXP(-LN(2)/25))/(LN(2)/25)*Calculateur!BL176*Calculateur!BN176*VLOOKUP('Données projet'!$B$11,Paramètres!$A$1:$I$89,3,0)*0.475*44/12</f>
        <v>0.95708139272191661</v>
      </c>
      <c r="BR176" s="23">
        <f>EXP(-LN(2)/2)*BR175+(1-EXP(-LN(2)/2))/(LN(2)/2)*BL176*BO176*VLOOKUP('Données projet'!$B$11,Paramètres!$A$1:$I$89,3,0)*0.475*44/12</f>
        <v>2.3763228189474865E-19</v>
      </c>
      <c r="BS176" s="24">
        <f t="shared" si="169"/>
        <v>32.855575657751977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475</v>
      </c>
      <c r="BZ176" s="14">
        <f>BY176*VLOOKUP('Données projet'!$B$12,Paramètres!$A$1:$I$89,3,0)*VLOOKUP('Données projet'!$B$12,Paramètres!$A$1:$I$89,5,0)</f>
        <v>407.55</v>
      </c>
      <c r="CA176" s="14">
        <f t="shared" si="170"/>
        <v>93.305642095357683</v>
      </c>
      <c r="CB176" s="22">
        <f t="shared" si="171"/>
        <v>872.32357664941446</v>
      </c>
      <c r="CC176" s="62">
        <f t="shared" si="119"/>
        <v>1161.2168903021629</v>
      </c>
      <c r="CD176" s="62">
        <f ca="1">AVERAGE(OFFSET($CC$3,0,0,'Données projet'!$E$12+1,1))-AVERAGE(OFFSET($H$3,0,0,'Données projet'!$E$12+1,1))</f>
        <v>590.18141384962507</v>
      </c>
      <c r="CE176" s="62">
        <f t="shared" si="148"/>
        <v>331.25104323342907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107.33751010010104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107.33751010010104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4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3.3333333333333335</v>
      </c>
      <c r="N177" s="14">
        <f>IF('Données projet'!$A$36&gt;35,N176+M177-V176,IF(A177&lt;'Données projet'!$A$36,$K$205^A177,IF(A177='Données projet'!$A$36,'Données projet'!$B$36,N176+M177-V176)))</f>
        <v>202.58823529411751</v>
      </c>
      <c r="O177" s="14">
        <f>N177*VLOOKUP('Données projet'!$B$9,Paramètres!$A$1:$I$89,3,0)*VLOOKUP('Données projet'!$B$9,Paramètres!$A$1:$I$89,5,0)</f>
        <v>183.30183529411752</v>
      </c>
      <c r="P177" s="14">
        <f t="shared" si="141"/>
        <v>46.056004737442407</v>
      </c>
      <c r="Q177" s="22">
        <f t="shared" si="162"/>
        <v>399.4649047216335</v>
      </c>
      <c r="R177" s="62">
        <f t="shared" si="109"/>
        <v>688.43524278944324</v>
      </c>
      <c r="S177" s="62">
        <f ca="1">AVERAGE(OFFSET($R$3,0,0,'Données projet'!$E$9+1,1))-AVERAGE(OFFSET($H$3,0,0,'Données projet'!$E$9+1,1))</f>
        <v>432.80275651765203</v>
      </c>
      <c r="T177" s="62">
        <f t="shared" si="142"/>
        <v>203.89279893419919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30.527641652048043</v>
      </c>
      <c r="AA177" s="23">
        <f>EXP(-LN(2)/25)*AA176+(1-EXP(-LN(2)/25))/(LN(2)/25)*Calculateur!V177*Calculateur!X177*VLOOKUP('Données projet'!$B$9,Paramètres!$A$1:$I$89,3,0)*0.475*44/12</f>
        <v>18.144111761739246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48.671753413787286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1.9895196601282805E-13</v>
      </c>
      <c r="AJ177" s="14">
        <f>AI177*VLOOKUP('Données projet'!$B$10,Paramètres!$A$1:$I$89,3,0)*VLOOKUP('Données projet'!$B$10,Paramètres!$A$1:$I$89,5,0)</f>
        <v>1.738044375088066E-13</v>
      </c>
      <c r="AK177" s="14">
        <f t="shared" si="164"/>
        <v>2.4483293633950478E-12</v>
      </c>
      <c r="AL177" s="22">
        <f t="shared" si="165"/>
        <v>4.566883036574213E-12</v>
      </c>
      <c r="AM177" s="62">
        <f t="shared" si="113"/>
        <v>288.97033806781428</v>
      </c>
      <c r="AN177" s="62">
        <f ca="1">AVERAGE(OFFSET($AM$3,0,0,'Données projet'!$E$10+1,1))-AVERAGE(OFFSET($H$3,0,0,'Données projet'!$E$10+1,1))</f>
        <v>341.62910675299065</v>
      </c>
      <c r="AO177" s="62">
        <f t="shared" si="144"/>
        <v>407.15938341104709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13.183733286664108</v>
      </c>
      <c r="AV177" s="23">
        <f>EXP(-LN(2)/25)*AV176+(1-EXP(-LN(2)/25))/(LN(2)/25)*Calculateur!AQ177*Calculateur!AS177*VLOOKUP('Données projet'!$B$10,Paramètres!$A$1:$I$89,3,0)*0.475*44/12</f>
        <v>3.1186590756155481</v>
      </c>
      <c r="AW177" s="23">
        <f>EXP(-LN(2)/2)*AW176+(1-EXP(-LN(2)/2))/(LN(2)/2)*AQ177*AT177*VLOOKUP('Données projet'!$B$10,Paramètres!$A$1:$I$89,3,0)*0.475*44/12</f>
        <v>9.2947191823114498E-17</v>
      </c>
      <c r="AX177" s="23">
        <f t="shared" si="166"/>
        <v>16.302392362279654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1.6405010683229191E-13</v>
      </c>
      <c r="BF177" s="14">
        <f t="shared" si="167"/>
        <v>2.3265121008813928E-12</v>
      </c>
      <c r="BG177" s="22">
        <f t="shared" si="168"/>
        <v>4.337729178434667E-12</v>
      </c>
      <c r="BH177" s="62">
        <f t="shared" si="116"/>
        <v>288.97033806781405</v>
      </c>
      <c r="BI177" s="62">
        <f ca="1">AVERAGE(OFFSET($BH$3,0,0,'Données projet'!$E$11+1,1))-AVERAGE(OFFSET($H$3,0,0,'Données projet'!$E$11+1,1))</f>
        <v>405.94837980869011</v>
      </c>
      <c r="BJ177" s="62">
        <f t="shared" si="146"/>
        <v>511.37583835090879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31.272984248653188</v>
      </c>
      <c r="BQ177" s="23">
        <f>EXP(-LN(2)/25)*BQ176+(1-EXP(-LN(2)/25))/(LN(2)/25)*Calculateur!BL177*Calculateur!BN177*VLOOKUP('Données projet'!$B$11,Paramètres!$A$1:$I$89,3,0)*0.475*44/12</f>
        <v>0.9309099517072128</v>
      </c>
      <c r="BR177" s="23">
        <f>EXP(-LN(2)/2)*BR176+(1-EXP(-LN(2)/2))/(LN(2)/2)*BL177*BO177*VLOOKUP('Données projet'!$B$11,Paramètres!$A$1:$I$89,3,0)*0.475*44/12</f>
        <v>1.6803139795661001E-19</v>
      </c>
      <c r="BS177" s="24">
        <f t="shared" si="169"/>
        <v>32.203894200360402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475</v>
      </c>
      <c r="BZ177" s="14">
        <f>BY177*VLOOKUP('Données projet'!$B$12,Paramètres!$A$1:$I$89,3,0)*VLOOKUP('Données projet'!$B$12,Paramètres!$A$1:$I$89,5,0)</f>
        <v>407.55</v>
      </c>
      <c r="CA177" s="14">
        <f t="shared" si="170"/>
        <v>93.305642095357683</v>
      </c>
      <c r="CB177" s="22">
        <f t="shared" si="171"/>
        <v>872.32357664941446</v>
      </c>
      <c r="CC177" s="62">
        <f t="shared" si="119"/>
        <v>1161.2939147172242</v>
      </c>
      <c r="CD177" s="62">
        <f ca="1">AVERAGE(OFFSET($CC$3,0,0,'Données projet'!$E$12+1,1))-AVERAGE(OFFSET($H$3,0,0,'Données projet'!$E$12+1,1))</f>
        <v>590.18141384962507</v>
      </c>
      <c r="CE177" s="62">
        <f t="shared" si="148"/>
        <v>331.25104323342907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105.23268699645466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105.23268699645466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4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3.3333333333333335</v>
      </c>
      <c r="N178" s="14">
        <f>IF('Données projet'!$A$36&gt;35,N177+M178-V177,IF(A178&lt;'Données projet'!$A$36,$K$205^A178,IF(A178='Données projet'!$A$36,'Données projet'!$B$36,N177+M178-V177)))</f>
        <v>205.92156862745085</v>
      </c>
      <c r="O178" s="14">
        <f>N178*VLOOKUP('Données projet'!$B$9,Paramètres!$A$1:$I$89,3,0)*VLOOKUP('Données projet'!$B$9,Paramètres!$A$1:$I$89,5,0)</f>
        <v>186.31783529411751</v>
      </c>
      <c r="P178" s="14">
        <f t="shared" si="141"/>
        <v>46.724953625586231</v>
      </c>
      <c r="Q178" s="22">
        <f t="shared" si="162"/>
        <v>405.88285736848405</v>
      </c>
      <c r="R178" s="62">
        <f t="shared" si="109"/>
        <v>694.92888364995451</v>
      </c>
      <c r="S178" s="62">
        <f ca="1">AVERAGE(OFFSET($R$3,0,0,'Données projet'!$E$9+1,1))-AVERAGE(OFFSET($H$3,0,0,'Données projet'!$E$9+1,1))</f>
        <v>432.80275651765203</v>
      </c>
      <c r="T178" s="62">
        <f t="shared" si="142"/>
        <v>203.89279893419919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29.929013219274214</v>
      </c>
      <c r="AA178" s="23">
        <f>EXP(-LN(2)/25)*AA177+(1-EXP(-LN(2)/25))/(LN(2)/25)*Calculateur!V178*Calculateur!X178*VLOOKUP('Données projet'!$B$9,Paramètres!$A$1:$I$89,3,0)*0.475*44/12</f>
        <v>17.647960071457117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47.576973290731331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1.9895196601282805E-13</v>
      </c>
      <c r="AJ178" s="14">
        <f>AI178*VLOOKUP('Données projet'!$B$10,Paramètres!$A$1:$I$89,3,0)*VLOOKUP('Données projet'!$B$10,Paramètres!$A$1:$I$89,5,0)</f>
        <v>1.738044375088066E-13</v>
      </c>
      <c r="AK178" s="14">
        <f t="shared" si="164"/>
        <v>2.4483293633950478E-12</v>
      </c>
      <c r="AL178" s="22">
        <f t="shared" si="165"/>
        <v>4.566883036574213E-12</v>
      </c>
      <c r="AM178" s="62">
        <f t="shared" si="113"/>
        <v>289.04602628147495</v>
      </c>
      <c r="AN178" s="62">
        <f ca="1">AVERAGE(OFFSET($AM$3,0,0,'Données projet'!$E$10+1,1))-AVERAGE(OFFSET($H$3,0,0,'Données projet'!$E$10+1,1))</f>
        <v>341.62910675299065</v>
      </c>
      <c r="AO178" s="62">
        <f t="shared" si="144"/>
        <v>407.15938341104709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12.925208318195919</v>
      </c>
      <c r="AV178" s="23">
        <f>EXP(-LN(2)/25)*AV177+(1-EXP(-LN(2)/25))/(LN(2)/25)*Calculateur!AQ178*Calculateur!AS178*VLOOKUP('Données projet'!$B$10,Paramètres!$A$1:$I$89,3,0)*0.475*44/12</f>
        <v>3.033379179189688</v>
      </c>
      <c r="AW178" s="23">
        <f>EXP(-LN(2)/2)*AW177+(1-EXP(-LN(2)/2))/(LN(2)/2)*AQ178*AT178*VLOOKUP('Données projet'!$B$10,Paramètres!$A$1:$I$89,3,0)*0.475*44/12</f>
        <v>6.5723589630371081E-17</v>
      </c>
      <c r="AX178" s="23">
        <f t="shared" si="166"/>
        <v>15.958587497385608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1.6405010683229191E-13</v>
      </c>
      <c r="BF178" s="14">
        <f t="shared" si="167"/>
        <v>2.3265121008813928E-12</v>
      </c>
      <c r="BG178" s="22">
        <f t="shared" si="168"/>
        <v>4.337729178434667E-12</v>
      </c>
      <c r="BH178" s="62">
        <f t="shared" si="116"/>
        <v>289.04602628147472</v>
      </c>
      <c r="BI178" s="62">
        <f ca="1">AVERAGE(OFFSET($BH$3,0,0,'Données projet'!$E$11+1,1))-AVERAGE(OFFSET($H$3,0,0,'Données projet'!$E$11+1,1))</f>
        <v>405.94837980869011</v>
      </c>
      <c r="BJ178" s="62">
        <f t="shared" si="146"/>
        <v>511.37583835090879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30.659740102174027</v>
      </c>
      <c r="BQ178" s="23">
        <f>EXP(-LN(2)/25)*BQ177+(1-EXP(-LN(2)/25))/(LN(2)/25)*Calculateur!BL178*Calculateur!BN178*VLOOKUP('Données projet'!$B$11,Paramètres!$A$1:$I$89,3,0)*0.475*44/12</f>
        <v>0.90545417012335228</v>
      </c>
      <c r="BR178" s="23">
        <f>EXP(-LN(2)/2)*BR177+(1-EXP(-LN(2)/2))/(LN(2)/2)*BL178*BO178*VLOOKUP('Données projet'!$B$11,Paramètres!$A$1:$I$89,3,0)*0.475*44/12</f>
        <v>1.1881614094737432E-19</v>
      </c>
      <c r="BS178" s="24">
        <f t="shared" si="169"/>
        <v>31.565194272297379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475</v>
      </c>
      <c r="BZ178" s="14">
        <f>BY178*VLOOKUP('Données projet'!$B$12,Paramètres!$A$1:$I$89,3,0)*VLOOKUP('Données projet'!$B$12,Paramètres!$A$1:$I$89,5,0)</f>
        <v>407.55</v>
      </c>
      <c r="CA178" s="14">
        <f t="shared" si="170"/>
        <v>93.305642095357683</v>
      </c>
      <c r="CB178" s="22">
        <f t="shared" si="171"/>
        <v>872.32357664941446</v>
      </c>
      <c r="CC178" s="62">
        <f t="shared" si="119"/>
        <v>1161.3696029308849</v>
      </c>
      <c r="CD178" s="62">
        <f ca="1">AVERAGE(OFFSET($CC$3,0,0,'Données projet'!$E$12+1,1))-AVERAGE(OFFSET($H$3,0,0,'Données projet'!$E$12+1,1))</f>
        <v>590.18141384962507</v>
      </c>
      <c r="CE178" s="62">
        <f t="shared" si="148"/>
        <v>331.25104323342907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103.16913819005545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103.16913819005545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4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3.3333333333333335</v>
      </c>
      <c r="N179" s="14">
        <f>IF('Données projet'!$A$36&gt;35,N178+M179-V178,IF(A179&lt;'Données projet'!$A$36,$K$205^A179,IF(A179='Données projet'!$A$36,'Données projet'!$B$36,N178+M179-V178)))</f>
        <v>209.2549019607842</v>
      </c>
      <c r="O179" s="14">
        <f>N179*VLOOKUP('Données projet'!$B$9,Paramètres!$A$1:$I$89,3,0)*VLOOKUP('Données projet'!$B$9,Paramètres!$A$1:$I$89,5,0)</f>
        <v>189.33383529411753</v>
      </c>
      <c r="P179" s="14">
        <f t="shared" si="141"/>
        <v>47.392643200430875</v>
      </c>
      <c r="Q179" s="22">
        <f t="shared" si="162"/>
        <v>412.29861671133852</v>
      </c>
      <c r="R179" s="62">
        <f t="shared" si="109"/>
        <v>701.41901818517613</v>
      </c>
      <c r="S179" s="62">
        <f ca="1">AVERAGE(OFFSET($R$3,0,0,'Données projet'!$E$9+1,1))-AVERAGE(OFFSET($H$3,0,0,'Données projet'!$E$9+1,1))</f>
        <v>432.80275651765203</v>
      </c>
      <c r="T179" s="62">
        <f t="shared" si="142"/>
        <v>203.89279893419919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29.34212352493979</v>
      </c>
      <c r="AA179" s="23">
        <f>EXP(-LN(2)/25)*AA178+(1-EXP(-LN(2)/25))/(LN(2)/25)*Calculateur!V179*Calculateur!X179*VLOOKUP('Données projet'!$B$9,Paramètres!$A$1:$I$89,3,0)*0.475*44/12</f>
        <v>17.165375675237236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46.507499200177023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1.9895196601282805E-13</v>
      </c>
      <c r="AJ179" s="14">
        <f>AI179*VLOOKUP('Données projet'!$B$10,Paramètres!$A$1:$I$89,3,0)*VLOOKUP('Données projet'!$B$10,Paramètres!$A$1:$I$89,5,0)</f>
        <v>1.738044375088066E-13</v>
      </c>
      <c r="AK179" s="14">
        <f t="shared" si="164"/>
        <v>2.4483293633950478E-12</v>
      </c>
      <c r="AL179" s="22">
        <f t="shared" si="165"/>
        <v>4.566883036574213E-12</v>
      </c>
      <c r="AM179" s="62">
        <f t="shared" si="113"/>
        <v>289.12040147384215</v>
      </c>
      <c r="AN179" s="62">
        <f ca="1">AVERAGE(OFFSET($AM$3,0,0,'Données projet'!$E$10+1,1))-AVERAGE(OFFSET($H$3,0,0,'Données projet'!$E$10+1,1))</f>
        <v>341.62910675299065</v>
      </c>
      <c r="AO179" s="62">
        <f t="shared" si="144"/>
        <v>407.15938341104709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12.67175286667473</v>
      </c>
      <c r="AV179" s="23">
        <f>EXP(-LN(2)/25)*AV178+(1-EXP(-LN(2)/25))/(LN(2)/25)*Calculateur!AQ179*Calculateur!AS179*VLOOKUP('Données projet'!$B$10,Paramètres!$A$1:$I$89,3,0)*0.475*44/12</f>
        <v>2.9504312660162677</v>
      </c>
      <c r="AW179" s="23">
        <f>EXP(-LN(2)/2)*AW178+(1-EXP(-LN(2)/2))/(LN(2)/2)*AQ179*AT179*VLOOKUP('Données projet'!$B$10,Paramètres!$A$1:$I$89,3,0)*0.475*44/12</f>
        <v>4.6473595911557249E-17</v>
      </c>
      <c r="AX179" s="23">
        <f t="shared" si="166"/>
        <v>15.622184132690997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1.6405010683229191E-13</v>
      </c>
      <c r="BF179" s="14">
        <f t="shared" si="167"/>
        <v>2.3265121008813928E-12</v>
      </c>
      <c r="BG179" s="22">
        <f t="shared" si="168"/>
        <v>4.337729178434667E-12</v>
      </c>
      <c r="BH179" s="62">
        <f t="shared" si="116"/>
        <v>289.12040147384192</v>
      </c>
      <c r="BI179" s="62">
        <f ca="1">AVERAGE(OFFSET($BH$3,0,0,'Données projet'!$E$11+1,1))-AVERAGE(OFFSET($H$3,0,0,'Données projet'!$E$11+1,1))</f>
        <v>405.94837980869011</v>
      </c>
      <c r="BJ179" s="62">
        <f t="shared" si="146"/>
        <v>511.37583835090879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30.058521299365324</v>
      </c>
      <c r="BQ179" s="23">
        <f>EXP(-LN(2)/25)*BQ178+(1-EXP(-LN(2)/25))/(LN(2)/25)*Calculateur!BL179*Calculateur!BN179*VLOOKUP('Données projet'!$B$11,Paramètres!$A$1:$I$89,3,0)*0.475*44/12</f>
        <v>0.88069447822556379</v>
      </c>
      <c r="BR179" s="23">
        <f>EXP(-LN(2)/2)*BR178+(1-EXP(-LN(2)/2))/(LN(2)/2)*BL179*BO179*VLOOKUP('Données projet'!$B$11,Paramètres!$A$1:$I$89,3,0)*0.475*44/12</f>
        <v>8.4015698978305007E-20</v>
      </c>
      <c r="BS179" s="24">
        <f t="shared" si="169"/>
        <v>30.939215777590888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475</v>
      </c>
      <c r="BZ179" s="14">
        <f>BY179*VLOOKUP('Données projet'!$B$12,Paramètres!$A$1:$I$89,3,0)*VLOOKUP('Données projet'!$B$12,Paramètres!$A$1:$I$89,5,0)</f>
        <v>407.55</v>
      </c>
      <c r="CA179" s="14">
        <f t="shared" si="170"/>
        <v>93.305642095357683</v>
      </c>
      <c r="CB179" s="22">
        <f t="shared" si="171"/>
        <v>872.32357664941446</v>
      </c>
      <c r="CC179" s="62">
        <f t="shared" si="119"/>
        <v>1161.443978123252</v>
      </c>
      <c r="CD179" s="62">
        <f ca="1">AVERAGE(OFFSET($CC$3,0,0,'Données projet'!$E$12+1,1))-AVERAGE(OFFSET($H$3,0,0,'Données projet'!$E$12+1,1))</f>
        <v>590.18141384962507</v>
      </c>
      <c r="CE179" s="62">
        <f t="shared" si="148"/>
        <v>331.25104323342907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101.14605431710923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101.14605431710923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4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3.3333333333333335</v>
      </c>
      <c r="N180" s="14">
        <f>IF('Données projet'!$A$36&gt;35,N179+M180-V179,IF(A180&lt;'Données projet'!$A$36,$K$205^A180,IF(A180='Données projet'!$A$36,'Données projet'!$B$36,N179+M180-V179)))</f>
        <v>212.58823529411754</v>
      </c>
      <c r="O180" s="14">
        <f>N180*VLOOKUP('Données projet'!$B$9,Paramètres!$A$1:$I$89,3,0)*VLOOKUP('Données projet'!$B$9,Paramètres!$A$1:$I$89,5,0)</f>
        <v>192.34983529411753</v>
      </c>
      <c r="P180" s="14">
        <f t="shared" si="141"/>
        <v>48.05909583842439</v>
      </c>
      <c r="Q180" s="22">
        <f t="shared" si="162"/>
        <v>418.71222172251049</v>
      </c>
      <c r="R180" s="62">
        <f t="shared" si="109"/>
        <v>707.9057081454057</v>
      </c>
      <c r="S180" s="62">
        <f ca="1">AVERAGE(OFFSET($R$3,0,0,'Données projet'!$E$9+1,1))-AVERAGE(OFFSET($H$3,0,0,'Données projet'!$E$9+1,1))</f>
        <v>432.80275651765203</v>
      </c>
      <c r="T180" s="62">
        <f t="shared" si="142"/>
        <v>203.89279893419919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28.766742379543896</v>
      </c>
      <c r="AA180" s="23">
        <f>EXP(-LN(2)/25)*AA179+(1-EXP(-LN(2)/25))/(LN(2)/25)*Calculateur!V180*Calculateur!X180*VLOOKUP('Données projet'!$B$9,Paramètres!$A$1:$I$89,3,0)*0.475*44/12</f>
        <v>16.695987574709999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45.462729954253895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1.9895196601282805E-13</v>
      </c>
      <c r="AJ180" s="14">
        <f>AI180*VLOOKUP('Données projet'!$B$10,Paramètres!$A$1:$I$89,3,0)*VLOOKUP('Données projet'!$B$10,Paramètres!$A$1:$I$89,5,0)</f>
        <v>1.738044375088066E-13</v>
      </c>
      <c r="AK180" s="14">
        <f t="shared" si="164"/>
        <v>2.4483293633950478E-12</v>
      </c>
      <c r="AL180" s="22">
        <f t="shared" si="165"/>
        <v>4.566883036574213E-12</v>
      </c>
      <c r="AM180" s="62">
        <f t="shared" si="113"/>
        <v>289.19348642289981</v>
      </c>
      <c r="AN180" s="62">
        <f ca="1">AVERAGE(OFFSET($AM$3,0,0,'Données projet'!$E$10+1,1))-AVERAGE(OFFSET($H$3,0,0,'Données projet'!$E$10+1,1))</f>
        <v>341.62910675299065</v>
      </c>
      <c r="AO180" s="62">
        <f t="shared" si="144"/>
        <v>407.15938341104709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12.423267521965311</v>
      </c>
      <c r="AV180" s="23">
        <f>EXP(-LN(2)/25)*AV179+(1-EXP(-LN(2)/25))/(LN(2)/25)*Calculateur!AQ180*Calculateur!AS180*VLOOKUP('Données projet'!$B$10,Paramètres!$A$1:$I$89,3,0)*0.475*44/12</f>
        <v>2.8697515678906158</v>
      </c>
      <c r="AW180" s="23">
        <f>EXP(-LN(2)/2)*AW179+(1-EXP(-LN(2)/2))/(LN(2)/2)*AQ180*AT180*VLOOKUP('Données projet'!$B$10,Paramètres!$A$1:$I$89,3,0)*0.475*44/12</f>
        <v>3.286179481518554E-17</v>
      </c>
      <c r="AX180" s="23">
        <f t="shared" si="166"/>
        <v>15.293019089855926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1.6405010683229191E-13</v>
      </c>
      <c r="BF180" s="14">
        <f t="shared" si="167"/>
        <v>2.3265121008813928E-12</v>
      </c>
      <c r="BG180" s="22">
        <f t="shared" si="168"/>
        <v>4.337729178434667E-12</v>
      </c>
      <c r="BH180" s="62">
        <f t="shared" si="116"/>
        <v>289.19348642289958</v>
      </c>
      <c r="BI180" s="62">
        <f ca="1">AVERAGE(OFFSET($BH$3,0,0,'Données projet'!$E$11+1,1))-AVERAGE(OFFSET($H$3,0,0,'Données projet'!$E$11+1,1))</f>
        <v>405.94837980869011</v>
      </c>
      <c r="BJ180" s="62">
        <f t="shared" si="146"/>
        <v>511.37583835090879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29.46909203057244</v>
      </c>
      <c r="BQ180" s="23">
        <f>EXP(-LN(2)/25)*BQ179+(1-EXP(-LN(2)/25))/(LN(2)/25)*Calculateur!BL180*Calculateur!BN180*VLOOKUP('Données projet'!$B$11,Paramètres!$A$1:$I$89,3,0)*0.475*44/12</f>
        <v>0.85661184140477598</v>
      </c>
      <c r="BR180" s="23">
        <f>EXP(-LN(2)/2)*BR179+(1-EXP(-LN(2)/2))/(LN(2)/2)*BL180*BO180*VLOOKUP('Données projet'!$B$11,Paramètres!$A$1:$I$89,3,0)*0.475*44/12</f>
        <v>5.9408070473687162E-20</v>
      </c>
      <c r="BS180" s="24">
        <f t="shared" si="169"/>
        <v>30.325703871977215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475</v>
      </c>
      <c r="BZ180" s="14">
        <f>BY180*VLOOKUP('Données projet'!$B$12,Paramètres!$A$1:$I$89,3,0)*VLOOKUP('Données projet'!$B$12,Paramètres!$A$1:$I$89,5,0)</f>
        <v>407.55</v>
      </c>
      <c r="CA180" s="14">
        <f t="shared" si="170"/>
        <v>93.305642095357683</v>
      </c>
      <c r="CB180" s="22">
        <f t="shared" si="171"/>
        <v>872.32357664941446</v>
      </c>
      <c r="CC180" s="62">
        <f t="shared" si="119"/>
        <v>1161.5170630723096</v>
      </c>
      <c r="CD180" s="62">
        <f ca="1">AVERAGE(OFFSET($CC$3,0,0,'Données projet'!$E$12+1,1))-AVERAGE(OFFSET($H$3,0,0,'Données projet'!$E$12+1,1))</f>
        <v>590.18141384962507</v>
      </c>
      <c r="CE180" s="62">
        <f t="shared" si="148"/>
        <v>331.25104323342907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99.16264188495218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99.16264188495218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4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3.3333333333333335</v>
      </c>
      <c r="N181" s="14">
        <f>IF('Données projet'!$A$36&gt;35,N180+M181-V180,IF(A181&lt;'Données projet'!$A$36,$K$205^A181,IF(A181='Données projet'!$A$36,'Données projet'!$B$36,N180+M181-V180)))</f>
        <v>215.92156862745088</v>
      </c>
      <c r="O181" s="14">
        <f>N181*VLOOKUP('Données projet'!$B$9,Paramètres!$A$1:$I$89,3,0)*VLOOKUP('Données projet'!$B$9,Paramètres!$A$1:$I$89,5,0)</f>
        <v>195.36583529411755</v>
      </c>
      <c r="P181" s="14">
        <f t="shared" si="141"/>
        <v>48.724333174046777</v>
      </c>
      <c r="Q181" s="22">
        <f t="shared" si="162"/>
        <v>425.12371008205287</v>
      </c>
      <c r="R181" s="62">
        <f t="shared" si="109"/>
        <v>714.38901359353304</v>
      </c>
      <c r="S181" s="62">
        <f ca="1">AVERAGE(OFFSET($R$3,0,0,'Données projet'!$E$9+1,1))-AVERAGE(OFFSET($H$3,0,0,'Données projet'!$E$9+1,1))</f>
        <v>432.80275651765203</v>
      </c>
      <c r="T181" s="62">
        <f t="shared" si="142"/>
        <v>203.89279893419919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28.202644107461371</v>
      </c>
      <c r="AA181" s="23">
        <f>EXP(-LN(2)/25)*AA180+(1-EXP(-LN(2)/25))/(LN(2)/25)*Calculateur!V181*Calculateur!X181*VLOOKUP('Données projet'!$B$9,Paramètres!$A$1:$I$89,3,0)*0.475*44/12</f>
        <v>16.239434916475727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44.442079023937097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1.9895196601282805E-13</v>
      </c>
      <c r="AJ181" s="14">
        <f>AI181*VLOOKUP('Données projet'!$B$10,Paramètres!$A$1:$I$89,3,0)*VLOOKUP('Données projet'!$B$10,Paramètres!$A$1:$I$89,5,0)</f>
        <v>1.738044375088066E-13</v>
      </c>
      <c r="AK181" s="14">
        <f t="shared" si="164"/>
        <v>2.4483293633950478E-12</v>
      </c>
      <c r="AL181" s="22">
        <f t="shared" si="165"/>
        <v>4.566883036574213E-12</v>
      </c>
      <c r="AM181" s="62">
        <f t="shared" si="113"/>
        <v>289.26530351148472</v>
      </c>
      <c r="AN181" s="62">
        <f ca="1">AVERAGE(OFFSET($AM$3,0,0,'Données projet'!$E$10+1,1))-AVERAGE(OFFSET($H$3,0,0,'Données projet'!$E$10+1,1))</f>
        <v>341.62910675299065</v>
      </c>
      <c r="AO181" s="62">
        <f t="shared" si="144"/>
        <v>407.15938341104709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12.179654823304549</v>
      </c>
      <c r="AV181" s="23">
        <f>EXP(-LN(2)/25)*AV180+(1-EXP(-LN(2)/25))/(LN(2)/25)*Calculateur!AQ181*Calculateur!AS181*VLOOKUP('Données projet'!$B$10,Paramètres!$A$1:$I$89,3,0)*0.475*44/12</f>
        <v>2.7912780603529708</v>
      </c>
      <c r="AW181" s="23">
        <f>EXP(-LN(2)/2)*AW180+(1-EXP(-LN(2)/2))/(LN(2)/2)*AQ181*AT181*VLOOKUP('Données projet'!$B$10,Paramètres!$A$1:$I$89,3,0)*0.475*44/12</f>
        <v>2.3236797955778624E-17</v>
      </c>
      <c r="AX181" s="23">
        <f t="shared" si="166"/>
        <v>14.97093288365752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1.6405010683229191E-13</v>
      </c>
      <c r="BF181" s="14">
        <f t="shared" si="167"/>
        <v>2.3265121008813928E-12</v>
      </c>
      <c r="BG181" s="22">
        <f t="shared" si="168"/>
        <v>4.337729178434667E-12</v>
      </c>
      <c r="BH181" s="62">
        <f t="shared" si="116"/>
        <v>289.26530351148449</v>
      </c>
      <c r="BI181" s="62">
        <f ca="1">AVERAGE(OFFSET($BH$3,0,0,'Données projet'!$E$11+1,1))-AVERAGE(OFFSET($H$3,0,0,'Données projet'!$E$11+1,1))</f>
        <v>405.94837980869011</v>
      </c>
      <c r="BJ181" s="62">
        <f t="shared" si="146"/>
        <v>511.37583835090879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28.891221110224233</v>
      </c>
      <c r="BQ181" s="23">
        <f>EXP(-LN(2)/25)*BQ180+(1-EXP(-LN(2)/25))/(LN(2)/25)*Calculateur!BL181*Calculateur!BN181*VLOOKUP('Données projet'!$B$11,Paramètres!$A$1:$I$89,3,0)*0.475*44/12</f>
        <v>0.83318774555430342</v>
      </c>
      <c r="BR181" s="23">
        <f>EXP(-LN(2)/2)*BR180+(1-EXP(-LN(2)/2))/(LN(2)/2)*BL181*BO181*VLOOKUP('Données projet'!$B$11,Paramètres!$A$1:$I$89,3,0)*0.475*44/12</f>
        <v>4.2007849489152503E-20</v>
      </c>
      <c r="BS181" s="24">
        <f t="shared" si="169"/>
        <v>29.724408855778538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475</v>
      </c>
      <c r="BZ181" s="14">
        <f>BY181*VLOOKUP('Données projet'!$B$12,Paramètres!$A$1:$I$89,3,0)*VLOOKUP('Données projet'!$B$12,Paramètres!$A$1:$I$89,5,0)</f>
        <v>407.55</v>
      </c>
      <c r="CA181" s="14">
        <f t="shared" si="170"/>
        <v>93.305642095357683</v>
      </c>
      <c r="CB181" s="22">
        <f t="shared" si="171"/>
        <v>872.32357664941446</v>
      </c>
      <c r="CC181" s="62">
        <f t="shared" si="119"/>
        <v>1161.5888801608946</v>
      </c>
      <c r="CD181" s="62">
        <f ca="1">AVERAGE(OFFSET($CC$3,0,0,'Données projet'!$E$12+1,1))-AVERAGE(OFFSET($H$3,0,0,'Données projet'!$E$12+1,1))</f>
        <v>590.18141384962507</v>
      </c>
      <c r="CE181" s="62">
        <f t="shared" si="148"/>
        <v>331.25104323342907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97.2181229608276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97.2181229608276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4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3.3333333333333335</v>
      </c>
      <c r="N182" s="14">
        <f>IF('Données projet'!$A$36&gt;35,N181+M182-V181,IF(A182&lt;'Données projet'!$A$36,$K$205^A182,IF(A182='Données projet'!$A$36,'Données projet'!$B$36,N181+M182-V181)))</f>
        <v>219.25490196078422</v>
      </c>
      <c r="O182" s="14">
        <f>N182*VLOOKUP('Données projet'!$B$9,Paramètres!$A$1:$I$89,3,0)*VLOOKUP('Données projet'!$B$9,Paramètres!$A$1:$I$89,5,0)</f>
        <v>198.38183529411754</v>
      </c>
      <c r="P182" s="14">
        <f t="shared" si="141"/>
        <v>49.388376135479355</v>
      </c>
      <c r="Q182" s="22">
        <f t="shared" si="162"/>
        <v>431.53311823988116</v>
      </c>
      <c r="R182" s="62">
        <f t="shared" si="109"/>
        <v>720.86899297401828</v>
      </c>
      <c r="S182" s="62">
        <f ca="1">AVERAGE(OFFSET($R$3,0,0,'Données projet'!$E$9+1,1))-AVERAGE(OFFSET($H$3,0,0,'Données projet'!$E$9+1,1))</f>
        <v>432.80275651765203</v>
      </c>
      <c r="T182" s="62">
        <f t="shared" si="142"/>
        <v>203.89279893419919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27.64960745842841</v>
      </c>
      <c r="AA182" s="23">
        <f>EXP(-LN(2)/25)*AA181+(1-EXP(-LN(2)/25))/(LN(2)/25)*Calculateur!V182*Calculateur!X182*VLOOKUP('Données projet'!$B$9,Paramètres!$A$1:$I$89,3,0)*0.475*44/12</f>
        <v>15.795366714689932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43.444974173118339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1.9895196601282805E-13</v>
      </c>
      <c r="AJ182" s="14">
        <f>AI182*VLOOKUP('Données projet'!$B$10,Paramètres!$A$1:$I$89,3,0)*VLOOKUP('Données projet'!$B$10,Paramètres!$A$1:$I$89,5,0)</f>
        <v>1.738044375088066E-13</v>
      </c>
      <c r="AK182" s="14">
        <f t="shared" si="164"/>
        <v>2.4483293633950478E-12</v>
      </c>
      <c r="AL182" s="22">
        <f t="shared" si="165"/>
        <v>4.566883036574213E-12</v>
      </c>
      <c r="AM182" s="62">
        <f t="shared" si="113"/>
        <v>289.33587473414167</v>
      </c>
      <c r="AN182" s="62">
        <f ca="1">AVERAGE(OFFSET($AM$3,0,0,'Données projet'!$E$10+1,1))-AVERAGE(OFFSET($H$3,0,0,'Données projet'!$E$10+1,1))</f>
        <v>341.62910675299065</v>
      </c>
      <c r="AO182" s="62">
        <f t="shared" si="144"/>
        <v>407.15938341104709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11.940819221075451</v>
      </c>
      <c r="AV182" s="23">
        <f>EXP(-LN(2)/25)*AV181+(1-EXP(-LN(2)/25))/(LN(2)/25)*Calculateur!AQ182*Calculateur!AS182*VLOOKUP('Données projet'!$B$10,Paramètres!$A$1:$I$89,3,0)*0.475*44/12</f>
        <v>2.7149504150056853</v>
      </c>
      <c r="AW182" s="23">
        <f>EXP(-LN(2)/2)*AW181+(1-EXP(-LN(2)/2))/(LN(2)/2)*AQ182*AT182*VLOOKUP('Données projet'!$B$10,Paramètres!$A$1:$I$89,3,0)*0.475*44/12</f>
        <v>1.643089740759277E-17</v>
      </c>
      <c r="AX182" s="23">
        <f t="shared" si="166"/>
        <v>14.655769636081136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1.6405010683229191E-13</v>
      </c>
      <c r="BF182" s="14">
        <f t="shared" si="167"/>
        <v>2.3265121008813928E-12</v>
      </c>
      <c r="BG182" s="22">
        <f t="shared" si="168"/>
        <v>4.337729178434667E-12</v>
      </c>
      <c r="BH182" s="62">
        <f t="shared" si="116"/>
        <v>289.33587473414144</v>
      </c>
      <c r="BI182" s="62">
        <f ca="1">AVERAGE(OFFSET($BH$3,0,0,'Données projet'!$E$11+1,1))-AVERAGE(OFFSET($H$3,0,0,'Données projet'!$E$11+1,1))</f>
        <v>405.94837980869011</v>
      </c>
      <c r="BJ182" s="62">
        <f t="shared" si="146"/>
        <v>511.37583835090879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28.324681886157595</v>
      </c>
      <c r="BQ182" s="23">
        <f>EXP(-LN(2)/25)*BQ181+(1-EXP(-LN(2)/25))/(LN(2)/25)*Calculateur!BL182*Calculateur!BN182*VLOOKUP('Données projet'!$B$11,Paramètres!$A$1:$I$89,3,0)*0.475*44/12</f>
        <v>0.8104041828366817</v>
      </c>
      <c r="BR182" s="23">
        <f>EXP(-LN(2)/2)*BR181+(1-EXP(-LN(2)/2))/(LN(2)/2)*BL182*BO182*VLOOKUP('Données projet'!$B$11,Paramètres!$A$1:$I$89,3,0)*0.475*44/12</f>
        <v>2.9704035236843581E-20</v>
      </c>
      <c r="BS182" s="24">
        <f t="shared" si="169"/>
        <v>29.135086068994276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475</v>
      </c>
      <c r="BZ182" s="14">
        <f>BY182*VLOOKUP('Données projet'!$B$12,Paramètres!$A$1:$I$89,3,0)*VLOOKUP('Données projet'!$B$12,Paramètres!$A$1:$I$89,5,0)</f>
        <v>407.55</v>
      </c>
      <c r="CA182" s="14">
        <f t="shared" si="170"/>
        <v>93.305642095357683</v>
      </c>
      <c r="CB182" s="22">
        <f t="shared" si="171"/>
        <v>872.32357664941446</v>
      </c>
      <c r="CC182" s="62">
        <f t="shared" si="119"/>
        <v>1161.6594513835516</v>
      </c>
      <c r="CD182" s="62">
        <f ca="1">AVERAGE(OFFSET($CC$3,0,0,'Données projet'!$E$12+1,1))-AVERAGE(OFFSET($H$3,0,0,'Données projet'!$E$12+1,1))</f>
        <v>590.18141384962507</v>
      </c>
      <c r="CE182" s="62">
        <f t="shared" si="148"/>
        <v>331.25104323342907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95.311734866765661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95.311734866765661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4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>
        <f>VLOOKUP(A183,'Données projet'!$A$35:$I$55,2,0)</f>
        <v>368</v>
      </c>
      <c r="L183" s="13">
        <f>VLOOKUP(A183,'Données projet'!$A$35:$I$55,9,0)</f>
        <v>3.3333333333333335</v>
      </c>
      <c r="M183" s="13">
        <f t="array" ref="M183">INDEX(L:L,MIN(IF(ISNUMBER(L183:L379),ROW(L183:L379),"")))</f>
        <v>3.3333333333333335</v>
      </c>
      <c r="N183" s="14">
        <f>IF('Données projet'!$A$36&gt;35,N182+M183-V182,IF(A183&lt;'Données projet'!$A$36,$K$205^A183,IF(A183='Données projet'!$A$36,'Données projet'!$B$36,N182+M183-V182)))</f>
        <v>222.58823529411757</v>
      </c>
      <c r="O183" s="14">
        <f>N183*VLOOKUP('Données projet'!$B$9,Paramètres!$A$1:$I$89,3,0)*VLOOKUP('Données projet'!$B$9,Paramètres!$A$1:$I$89,5,0)</f>
        <v>201.39783529411756</v>
      </c>
      <c r="P183" s="14">
        <f t="shared" si="141"/>
        <v>50.051244978044025</v>
      </c>
      <c r="Q183" s="22">
        <f t="shared" si="162"/>
        <v>437.9404814740148</v>
      </c>
      <c r="R183" s="62">
        <f t="shared" si="109"/>
        <v>727.34570317786938</v>
      </c>
      <c r="S183" s="62">
        <f ca="1">AVERAGE(OFFSET($R$3,0,0,'Données projet'!$E$9+1,1))-AVERAGE(OFFSET($H$3,0,0,'Données projet'!$E$9+1,1))</f>
        <v>432.80275651765203</v>
      </c>
      <c r="T183" s="62">
        <f t="shared" si="142"/>
        <v>203.89279893419919</v>
      </c>
      <c r="U183" s="16" t="str">
        <f>IF(ISNA(VLOOKUP(A183,'Données projet'!$A$35:$I$55,3,0)),0,VLOOKUP(A183,'Données projet'!$A$35:$I$55,3,0))</f>
        <v>CR</v>
      </c>
      <c r="V183" s="16">
        <f>IF(ISNA(VLOOKUP(A183,'Données projet'!$A$35:$I$55,4,0)),0,VLOOKUP(A183,'Données projet'!$A$35:$I$55,4,0))</f>
        <v>368</v>
      </c>
      <c r="W183" s="17">
        <f>IF(ISNA(VLOOKUP(A183,'Données projet'!$A$35:$I$55,5,0)),0%,VLOOKUP(A183,'Données projet'!$A$35:$I$55,5,0)*VLOOKUP('Données projet'!$B$9,Paramètres!$A$1:$I$89,7,0))</f>
        <v>0.43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185.3837473300436</v>
      </c>
      <c r="AA183" s="23">
        <f>EXP(-LN(2)/25)*AA182+(1-EXP(-LN(2)/25))/(LN(2)/25)*Calculateur!V183*Calculateur!X183*VLOOKUP('Données projet'!$B$9,Paramètres!$A$1:$I$89,3,0)*0.475*44/12</f>
        <v>15.3634415812345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200.7471889112781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1.9895196601282805E-13</v>
      </c>
      <c r="AJ183" s="14">
        <f>AI183*VLOOKUP('Données projet'!$B$10,Paramètres!$A$1:$I$89,3,0)*VLOOKUP('Données projet'!$B$10,Paramètres!$A$1:$I$89,5,0)</f>
        <v>1.738044375088066E-13</v>
      </c>
      <c r="AK183" s="14">
        <f t="shared" si="164"/>
        <v>2.4483293633950478E-12</v>
      </c>
      <c r="AL183" s="22">
        <f t="shared" si="165"/>
        <v>4.566883036574213E-12</v>
      </c>
      <c r="AM183" s="62">
        <f t="shared" si="113"/>
        <v>289.40522170385918</v>
      </c>
      <c r="AN183" s="62">
        <f ca="1">AVERAGE(OFFSET($AM$3,0,0,'Données projet'!$E$10+1,1))-AVERAGE(OFFSET($H$3,0,0,'Données projet'!$E$10+1,1))</f>
        <v>341.62910675299065</v>
      </c>
      <c r="AO183" s="62">
        <f t="shared" si="144"/>
        <v>407.15938341104709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11.706667039330732</v>
      </c>
      <c r="AV183" s="23">
        <f>EXP(-LN(2)/25)*AV182+(1-EXP(-LN(2)/25))/(LN(2)/25)*Calculateur!AQ183*Calculateur!AS183*VLOOKUP('Données projet'!$B$10,Paramètres!$A$1:$I$89,3,0)*0.475*44/12</f>
        <v>2.6407099531343174</v>
      </c>
      <c r="AW183" s="23">
        <f>EXP(-LN(2)/2)*AW182+(1-EXP(-LN(2)/2))/(LN(2)/2)*AQ183*AT183*VLOOKUP('Données projet'!$B$10,Paramètres!$A$1:$I$89,3,0)*0.475*44/12</f>
        <v>1.1618398977889312E-17</v>
      </c>
      <c r="AX183" s="23">
        <f t="shared" si="166"/>
        <v>14.347376992465049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1.6405010683229191E-13</v>
      </c>
      <c r="BF183" s="14">
        <f t="shared" si="167"/>
        <v>2.3265121008813928E-12</v>
      </c>
      <c r="BG183" s="22">
        <f t="shared" si="168"/>
        <v>4.337729178434667E-12</v>
      </c>
      <c r="BH183" s="62">
        <f t="shared" si="116"/>
        <v>289.40522170385896</v>
      </c>
      <c r="BI183" s="62">
        <f ca="1">AVERAGE(OFFSET($BH$3,0,0,'Données projet'!$E$11+1,1))-AVERAGE(OFFSET($H$3,0,0,'Données projet'!$E$11+1,1))</f>
        <v>405.94837980869011</v>
      </c>
      <c r="BJ183" s="62">
        <f t="shared" si="146"/>
        <v>511.37583835090879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27.769252150720096</v>
      </c>
      <c r="BQ183" s="23">
        <f>EXP(-LN(2)/25)*BQ182+(1-EXP(-LN(2)/25))/(LN(2)/25)*Calculateur!BL183*Calculateur!BN183*VLOOKUP('Données projet'!$B$11,Paramètres!$A$1:$I$89,3,0)*0.475*44/12</f>
        <v>0.78824363783970885</v>
      </c>
      <c r="BR183" s="23">
        <f>EXP(-LN(2)/2)*BR182+(1-EXP(-LN(2)/2))/(LN(2)/2)*BL183*BO183*VLOOKUP('Données projet'!$B$11,Paramètres!$A$1:$I$89,3,0)*0.475*44/12</f>
        <v>2.1003924744576252E-20</v>
      </c>
      <c r="BS183" s="24">
        <f t="shared" si="169"/>
        <v>28.557495788559805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475</v>
      </c>
      <c r="BZ183" s="14">
        <f>BY183*VLOOKUP('Données projet'!$B$12,Paramètres!$A$1:$I$89,3,0)*VLOOKUP('Données projet'!$B$12,Paramètres!$A$1:$I$89,5,0)</f>
        <v>407.55</v>
      </c>
      <c r="CA183" s="14">
        <f t="shared" si="170"/>
        <v>93.305642095357683</v>
      </c>
      <c r="CB183" s="22">
        <f t="shared" si="171"/>
        <v>872.32357664941446</v>
      </c>
      <c r="CC183" s="62">
        <f t="shared" si="119"/>
        <v>1161.7287983532692</v>
      </c>
      <c r="CD183" s="62">
        <f ca="1">AVERAGE(OFFSET($CC$3,0,0,'Données projet'!$E$12+1,1))-AVERAGE(OFFSET($H$3,0,0,'Données projet'!$E$12+1,1))</f>
        <v>590.18141384962507</v>
      </c>
      <c r="CE183" s="62">
        <f t="shared" si="148"/>
        <v>331.25104323342907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93.442729880446365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93.442729880446365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4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1.5675675675675675</v>
      </c>
      <c r="N184" s="14">
        <f>IF('Données projet'!$A$36&gt;35,N183+M184-V183,IF(A184&lt;'Données projet'!$A$36,$K$205^A184,IF(A184='Données projet'!$A$36,'Données projet'!$B$36,N183+M184-V183)))</f>
        <v>-143.84419713831485</v>
      </c>
      <c r="O184" s="14">
        <f>N184*VLOOKUP('Données projet'!$B$9,Paramètres!$A$1:$I$89,3,0)*VLOOKUP('Données projet'!$B$9,Paramètres!$A$1:$I$89,5,0)</f>
        <v>-130.15022957074726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432.80275651765203</v>
      </c>
      <c r="T184" s="62">
        <f t="shared" si="142"/>
        <v>203.89279893419919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181.7484851178223</v>
      </c>
      <c r="AA184" s="23">
        <f>EXP(-LN(2)/25)*AA183+(1-EXP(-LN(2)/25))/(LN(2)/25)*Calculateur!V184*Calculateur!X184*VLOOKUP('Données projet'!$B$9,Paramètres!$A$1:$I$89,3,0)*0.475*44/12</f>
        <v>14.943327463267364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196.69181258108966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1.9895196601282805E-13</v>
      </c>
      <c r="AJ184" s="14">
        <f>AI184*VLOOKUP('Données projet'!$B$10,Paramètres!$A$1:$I$89,3,0)*VLOOKUP('Données projet'!$B$10,Paramètres!$A$1:$I$89,5,0)</f>
        <v>1.738044375088066E-13</v>
      </c>
      <c r="AK184" s="14">
        <f t="shared" si="164"/>
        <v>2.4483293633950478E-12</v>
      </c>
      <c r="AL184" s="22">
        <f t="shared" si="165"/>
        <v>4.566883036574213E-12</v>
      </c>
      <c r="AM184" s="62">
        <f t="shared" si="113"/>
        <v>289.47336565868864</v>
      </c>
      <c r="AN184" s="62">
        <f ca="1">AVERAGE(OFFSET($AM$3,0,0,'Données projet'!$E$10+1,1))-AVERAGE(OFFSET($H$3,0,0,'Données projet'!$E$10+1,1))</f>
        <v>341.62910675299065</v>
      </c>
      <c r="AO184" s="62">
        <f t="shared" si="144"/>
        <v>407.15938341104709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11.477106439051298</v>
      </c>
      <c r="AV184" s="23">
        <f>EXP(-LN(2)/25)*AV183+(1-EXP(-LN(2)/25))/(LN(2)/25)*Calculateur!AQ184*Calculateur!AS184*VLOOKUP('Données projet'!$B$10,Paramètres!$A$1:$I$89,3,0)*0.475*44/12</f>
        <v>2.5684996005969585</v>
      </c>
      <c r="AW184" s="23">
        <f>EXP(-LN(2)/2)*AW183+(1-EXP(-LN(2)/2))/(LN(2)/2)*AQ184*AT184*VLOOKUP('Données projet'!$B$10,Paramètres!$A$1:$I$89,3,0)*0.475*44/12</f>
        <v>8.2154487037963851E-18</v>
      </c>
      <c r="AX184" s="23">
        <f t="shared" si="166"/>
        <v>14.045606039648256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1.6405010683229191E-13</v>
      </c>
      <c r="BF184" s="14">
        <f t="shared" si="167"/>
        <v>2.3265121008813928E-12</v>
      </c>
      <c r="BG184" s="22">
        <f t="shared" si="168"/>
        <v>4.337729178434667E-12</v>
      </c>
      <c r="BH184" s="62">
        <f t="shared" si="116"/>
        <v>289.47336565868841</v>
      </c>
      <c r="BI184" s="62">
        <f ca="1">AVERAGE(OFFSET($BH$3,0,0,'Données projet'!$E$11+1,1))-AVERAGE(OFFSET($H$3,0,0,'Données projet'!$E$11+1,1))</f>
        <v>405.94837980869011</v>
      </c>
      <c r="BJ184" s="62">
        <f t="shared" si="146"/>
        <v>511.37583835090879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27.224714053615841</v>
      </c>
      <c r="BQ184" s="23">
        <f>EXP(-LN(2)/25)*BQ183+(1-EXP(-LN(2)/25))/(LN(2)/25)*Calculateur!BL184*Calculateur!BN184*VLOOKUP('Données projet'!$B$11,Paramètres!$A$1:$I$89,3,0)*0.475*44/12</f>
        <v>0.76668907411105069</v>
      </c>
      <c r="BR184" s="23">
        <f>EXP(-LN(2)/2)*BR183+(1-EXP(-LN(2)/2))/(LN(2)/2)*BL184*BO184*VLOOKUP('Données projet'!$B$11,Paramètres!$A$1:$I$89,3,0)*0.475*44/12</f>
        <v>1.485201761842179E-20</v>
      </c>
      <c r="BS184" s="24">
        <f t="shared" si="169"/>
        <v>27.99140312772689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475</v>
      </c>
      <c r="BZ184" s="14">
        <f>BY184*VLOOKUP('Données projet'!$B$12,Paramètres!$A$1:$I$89,3,0)*VLOOKUP('Données projet'!$B$12,Paramètres!$A$1:$I$89,5,0)</f>
        <v>407.55</v>
      </c>
      <c r="CA184" s="14">
        <f t="shared" si="170"/>
        <v>93.305642095357683</v>
      </c>
      <c r="CB184" s="22">
        <f t="shared" si="171"/>
        <v>872.32357664941446</v>
      </c>
      <c r="CC184" s="62">
        <f t="shared" si="119"/>
        <v>1161.7969423080986</v>
      </c>
      <c r="CD184" s="62">
        <f ca="1">AVERAGE(OFFSET($CC$3,0,0,'Données projet'!$E$12+1,1))-AVERAGE(OFFSET($H$3,0,0,'Données projet'!$E$12+1,1))</f>
        <v>590.18141384962507</v>
      </c>
      <c r="CE184" s="62">
        <f t="shared" si="148"/>
        <v>331.25104323342907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91.610374941928299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91.610374941928299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4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1.5675675675675675</v>
      </c>
      <c r="N185" s="14">
        <f>IF('Données projet'!$A$36&gt;35,N184+M185-V184,IF(A185&lt;'Données projet'!$A$36,$K$205^A185,IF(A185='Données projet'!$A$36,'Données projet'!$B$36,N184+M185-V184)))</f>
        <v>-142.27662957074728</v>
      </c>
      <c r="O185" s="14">
        <f>N185*VLOOKUP('Données projet'!$B$9,Paramètres!$A$1:$I$89,3,0)*VLOOKUP('Données projet'!$B$9,Paramètres!$A$1:$I$89,5,0)</f>
        <v>-128.73189443561213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432.80275651765203</v>
      </c>
      <c r="T185" s="62">
        <f t="shared" si="142"/>
        <v>203.89279893419919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178.18450818029163</v>
      </c>
      <c r="AA185" s="23">
        <f>EXP(-LN(2)/25)*AA184+(1-EXP(-LN(2)/25))/(LN(2)/25)*Calculateur!V185*Calculateur!X185*VLOOKUP('Données projet'!$B$9,Paramètres!$A$1:$I$89,3,0)*0.475*44/12</f>
        <v>14.53470138794888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192.7192095682405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1.9895196601282805E-13</v>
      </c>
      <c r="AJ185" s="14">
        <f>AI185*VLOOKUP('Données projet'!$B$10,Paramètres!$A$1:$I$89,3,0)*VLOOKUP('Données projet'!$B$10,Paramètres!$A$1:$I$89,5,0)</f>
        <v>1.738044375088066E-13</v>
      </c>
      <c r="AK185" s="14">
        <f t="shared" si="164"/>
        <v>2.4483293633950478E-12</v>
      </c>
      <c r="AL185" s="22">
        <f t="shared" si="165"/>
        <v>4.566883036574213E-12</v>
      </c>
      <c r="AM185" s="62">
        <f t="shared" si="113"/>
        <v>289.54032746824896</v>
      </c>
      <c r="AN185" s="62">
        <f ca="1">AVERAGE(OFFSET($AM$3,0,0,'Données projet'!$E$10+1,1))-AVERAGE(OFFSET($H$3,0,0,'Données projet'!$E$10+1,1))</f>
        <v>341.62910675299065</v>
      </c>
      <c r="AO185" s="62">
        <f t="shared" si="144"/>
        <v>407.15938341104709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11.252047382125204</v>
      </c>
      <c r="AV185" s="23">
        <f>EXP(-LN(2)/25)*AV184+(1-EXP(-LN(2)/25))/(LN(2)/25)*Calculateur!AQ185*Calculateur!AS185*VLOOKUP('Données projet'!$B$10,Paramètres!$A$1:$I$89,3,0)*0.475*44/12</f>
        <v>2.498263843947111</v>
      </c>
      <c r="AW185" s="23">
        <f>EXP(-LN(2)/2)*AW184+(1-EXP(-LN(2)/2))/(LN(2)/2)*AQ185*AT185*VLOOKUP('Données projet'!$B$10,Paramètres!$A$1:$I$89,3,0)*0.475*44/12</f>
        <v>5.8091994889446561E-18</v>
      </c>
      <c r="AX185" s="23">
        <f t="shared" si="166"/>
        <v>13.750311226072315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1.6405010683229191E-13</v>
      </c>
      <c r="BF185" s="14">
        <f t="shared" si="167"/>
        <v>2.3265121008813928E-12</v>
      </c>
      <c r="BG185" s="22">
        <f t="shared" si="168"/>
        <v>4.337729178434667E-12</v>
      </c>
      <c r="BH185" s="62">
        <f t="shared" si="116"/>
        <v>289.54032746824873</v>
      </c>
      <c r="BI185" s="62">
        <f ca="1">AVERAGE(OFFSET($BH$3,0,0,'Données projet'!$E$11+1,1))-AVERAGE(OFFSET($H$3,0,0,'Données projet'!$E$11+1,1))</f>
        <v>405.94837980869011</v>
      </c>
      <c r="BJ185" s="62">
        <f t="shared" si="146"/>
        <v>511.37583835090879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26.690854016460356</v>
      </c>
      <c r="BQ185" s="23">
        <f>EXP(-LN(2)/25)*BQ184+(1-EXP(-LN(2)/25))/(LN(2)/25)*Calculateur!BL185*Calculateur!BN185*VLOOKUP('Données projet'!$B$11,Paramètres!$A$1:$I$89,3,0)*0.475*44/12</f>
        <v>0.74572392106105789</v>
      </c>
      <c r="BR185" s="23">
        <f>EXP(-LN(2)/2)*BR184+(1-EXP(-LN(2)/2))/(LN(2)/2)*BL185*BO185*VLOOKUP('Données projet'!$B$11,Paramètres!$A$1:$I$89,3,0)*0.475*44/12</f>
        <v>1.0501962372288126E-20</v>
      </c>
      <c r="BS185" s="24">
        <f t="shared" si="169"/>
        <v>27.436577937521413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475</v>
      </c>
      <c r="BZ185" s="14">
        <f>BY185*VLOOKUP('Données projet'!$B$12,Paramètres!$A$1:$I$89,3,0)*VLOOKUP('Données projet'!$B$12,Paramètres!$A$1:$I$89,5,0)</f>
        <v>407.55</v>
      </c>
      <c r="CA185" s="14">
        <f t="shared" si="170"/>
        <v>93.305642095357683</v>
      </c>
      <c r="CB185" s="22">
        <f t="shared" si="171"/>
        <v>872.32357664941446</v>
      </c>
      <c r="CC185" s="62">
        <f t="shared" si="119"/>
        <v>1161.8639041176589</v>
      </c>
      <c r="CD185" s="62">
        <f ca="1">AVERAGE(OFFSET($CC$3,0,0,'Données projet'!$E$12+1,1))-AVERAGE(OFFSET($H$3,0,0,'Données projet'!$E$12+1,1))</f>
        <v>590.18141384962507</v>
      </c>
      <c r="CE185" s="62">
        <f t="shared" si="148"/>
        <v>331.25104323342907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89.813951366128421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89.813951366128421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4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1.5675675675675675</v>
      </c>
      <c r="N186" s="14">
        <f>IF('Données projet'!$A$36&gt;35,N185+M186-V185,IF(A186&lt;'Données projet'!$A$36,$K$205^A186,IF(A186='Données projet'!$A$36,'Données projet'!$B$36,N185+M186-V185)))</f>
        <v>-140.7090620031797</v>
      </c>
      <c r="O186" s="14">
        <f>N186*VLOOKUP('Données projet'!$B$9,Paramètres!$A$1:$I$89,3,0)*VLOOKUP('Données projet'!$B$9,Paramètres!$A$1:$I$89,5,0)</f>
        <v>-127.313559300477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432.80275651765203</v>
      </c>
      <c r="T186" s="62">
        <f t="shared" si="142"/>
        <v>203.89279893419919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174.69041865669467</v>
      </c>
      <c r="AA186" s="23">
        <f>EXP(-LN(2)/25)*AA185+(1-EXP(-LN(2)/25))/(LN(2)/25)*Calculateur!V186*Calculateur!X186*VLOOKUP('Données projet'!$B$9,Paramètres!$A$1:$I$89,3,0)*0.475*44/12</f>
        <v>14.137249214148692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188.82766787084336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1.9895196601282805E-13</v>
      </c>
      <c r="AJ186" s="14">
        <f>AI186*VLOOKUP('Données projet'!$B$10,Paramètres!$A$1:$I$89,3,0)*VLOOKUP('Données projet'!$B$10,Paramètres!$A$1:$I$89,5,0)</f>
        <v>1.738044375088066E-13</v>
      </c>
      <c r="AK186" s="14">
        <f t="shared" si="164"/>
        <v>2.4483293633950478E-12</v>
      </c>
      <c r="AL186" s="22">
        <f t="shared" si="165"/>
        <v>4.566883036574213E-12</v>
      </c>
      <c r="AM186" s="62">
        <f t="shared" si="113"/>
        <v>289.60612764011751</v>
      </c>
      <c r="AN186" s="62">
        <f ca="1">AVERAGE(OFFSET($AM$3,0,0,'Données projet'!$E$10+1,1))-AVERAGE(OFFSET($H$3,0,0,'Données projet'!$E$10+1,1))</f>
        <v>341.62910675299065</v>
      </c>
      <c r="AO186" s="62">
        <f t="shared" si="144"/>
        <v>407.15938341104709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11.031401596032959</v>
      </c>
      <c r="AV186" s="23">
        <f>EXP(-LN(2)/25)*AV185+(1-EXP(-LN(2)/25))/(LN(2)/25)*Calculateur!AQ186*Calculateur!AS186*VLOOKUP('Données projet'!$B$10,Paramètres!$A$1:$I$89,3,0)*0.475*44/12</f>
        <v>2.4299486877563914</v>
      </c>
      <c r="AW186" s="23">
        <f>EXP(-LN(2)/2)*AW185+(1-EXP(-LN(2)/2))/(LN(2)/2)*AQ186*AT186*VLOOKUP('Données projet'!$B$10,Paramètres!$A$1:$I$89,3,0)*0.475*44/12</f>
        <v>4.1077243518981926E-18</v>
      </c>
      <c r="AX186" s="23">
        <f t="shared" si="166"/>
        <v>13.461350283789351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1.6405010683229191E-13</v>
      </c>
      <c r="BF186" s="14">
        <f t="shared" si="167"/>
        <v>2.3265121008813928E-12</v>
      </c>
      <c r="BG186" s="22">
        <f t="shared" si="168"/>
        <v>4.337729178434667E-12</v>
      </c>
      <c r="BH186" s="62">
        <f t="shared" si="116"/>
        <v>289.60612764011728</v>
      </c>
      <c r="BI186" s="62">
        <f ca="1">AVERAGE(OFFSET($BH$3,0,0,'Données projet'!$E$11+1,1))-AVERAGE(OFFSET($H$3,0,0,'Données projet'!$E$11+1,1))</f>
        <v>405.94837980869011</v>
      </c>
      <c r="BJ186" s="62">
        <f t="shared" si="146"/>
        <v>511.37583835090879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26.167462649011021</v>
      </c>
      <c r="BQ186" s="23">
        <f>EXP(-LN(2)/25)*BQ185+(1-EXP(-LN(2)/25))/(LN(2)/25)*Calculateur!BL186*Calculateur!BN186*VLOOKUP('Données projet'!$B$11,Paramètres!$A$1:$I$89,3,0)*0.475*44/12</f>
        <v>0.72533206122372662</v>
      </c>
      <c r="BR186" s="23">
        <f>EXP(-LN(2)/2)*BR185+(1-EXP(-LN(2)/2))/(LN(2)/2)*BL186*BO186*VLOOKUP('Données projet'!$B$11,Paramètres!$A$1:$I$89,3,0)*0.475*44/12</f>
        <v>7.4260088092108952E-21</v>
      </c>
      <c r="BS186" s="24">
        <f t="shared" si="169"/>
        <v>26.89279471023475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475</v>
      </c>
      <c r="BZ186" s="14">
        <f>BY186*VLOOKUP('Données projet'!$B$12,Paramètres!$A$1:$I$89,3,0)*VLOOKUP('Données projet'!$B$12,Paramètres!$A$1:$I$89,5,0)</f>
        <v>407.55</v>
      </c>
      <c r="CA186" s="14">
        <f t="shared" si="170"/>
        <v>93.305642095357683</v>
      </c>
      <c r="CB186" s="22">
        <f t="shared" si="171"/>
        <v>872.32357664941446</v>
      </c>
      <c r="CC186" s="62">
        <f t="shared" si="119"/>
        <v>1161.9297042895273</v>
      </c>
      <c r="CD186" s="62">
        <f ca="1">AVERAGE(OFFSET($CC$3,0,0,'Données projet'!$E$12+1,1))-AVERAGE(OFFSET($H$3,0,0,'Données projet'!$E$12+1,1))</f>
        <v>590.18141384962507</v>
      </c>
      <c r="CE186" s="62">
        <f t="shared" si="148"/>
        <v>331.25104323342907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88.052754560939789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88.052754560939789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4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1.5675675675675675</v>
      </c>
      <c r="N187" s="14">
        <f>IF('Données projet'!$A$36&gt;35,N186+M187-V186,IF(A187&lt;'Données projet'!$A$36,$K$205^A187,IF(A187='Données projet'!$A$36,'Données projet'!$B$36,N186+M187-V186)))</f>
        <v>-139.14149443561212</v>
      </c>
      <c r="O187" s="14">
        <f>N187*VLOOKUP('Données projet'!$B$9,Paramètres!$A$1:$I$89,3,0)*VLOOKUP('Données projet'!$B$9,Paramètres!$A$1:$I$89,5,0)</f>
        <v>-125.89522416534183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432.80275651765203</v>
      </c>
      <c r="T187" s="62">
        <f t="shared" si="142"/>
        <v>203.89279893419919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171.26484609747126</v>
      </c>
      <c r="AA187" s="23">
        <f>EXP(-LN(2)/25)*AA186+(1-EXP(-LN(2)/25))/(LN(2)/25)*Calculateur!V187*Calculateur!X187*VLOOKUP('Données projet'!$B$9,Paramètres!$A$1:$I$89,3,0)*0.475*44/12</f>
        <v>13.750665390942171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185.01551148841344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1.9895196601282805E-13</v>
      </c>
      <c r="AJ187" s="14">
        <f>AI187*VLOOKUP('Données projet'!$B$10,Paramètres!$A$1:$I$89,3,0)*VLOOKUP('Données projet'!$B$10,Paramètres!$A$1:$I$89,5,0)</f>
        <v>1.738044375088066E-13</v>
      </c>
      <c r="AK187" s="14">
        <f t="shared" si="164"/>
        <v>2.4483293633950478E-12</v>
      </c>
      <c r="AL187" s="22">
        <f t="shared" si="165"/>
        <v>4.566883036574213E-12</v>
      </c>
      <c r="AM187" s="62">
        <f t="shared" si="113"/>
        <v>289.67078632611128</v>
      </c>
      <c r="AN187" s="62">
        <f ca="1">AVERAGE(OFFSET($AM$3,0,0,'Données projet'!$E$10+1,1))-AVERAGE(OFFSET($H$3,0,0,'Données projet'!$E$10+1,1))</f>
        <v>341.62910675299065</v>
      </c>
      <c r="AO187" s="62">
        <f t="shared" si="144"/>
        <v>407.15938341104709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10.815082539225342</v>
      </c>
      <c r="AV187" s="23">
        <f>EXP(-LN(2)/25)*AV186+(1-EXP(-LN(2)/25))/(LN(2)/25)*Calculateur!AQ187*Calculateur!AS187*VLOOKUP('Données projet'!$B$10,Paramètres!$A$1:$I$89,3,0)*0.475*44/12</f>
        <v>2.363501613104245</v>
      </c>
      <c r="AW187" s="23">
        <f>EXP(-LN(2)/2)*AW186+(1-EXP(-LN(2)/2))/(LN(2)/2)*AQ187*AT187*VLOOKUP('Données projet'!$B$10,Paramètres!$A$1:$I$89,3,0)*0.475*44/12</f>
        <v>2.9045997444723281E-18</v>
      </c>
      <c r="AX187" s="23">
        <f t="shared" si="166"/>
        <v>13.178584152329588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1.6405010683229191E-13</v>
      </c>
      <c r="BF187" s="14">
        <f t="shared" si="167"/>
        <v>2.3265121008813928E-12</v>
      </c>
      <c r="BG187" s="22">
        <f t="shared" si="168"/>
        <v>4.337729178434667E-12</v>
      </c>
      <c r="BH187" s="62">
        <f t="shared" si="116"/>
        <v>289.67078632611106</v>
      </c>
      <c r="BI187" s="62">
        <f ca="1">AVERAGE(OFFSET($BH$3,0,0,'Données projet'!$E$11+1,1))-AVERAGE(OFFSET($H$3,0,0,'Données projet'!$E$11+1,1))</f>
        <v>405.94837980869011</v>
      </c>
      <c r="BJ187" s="62">
        <f t="shared" si="146"/>
        <v>511.37583835090879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25.654334667040157</v>
      </c>
      <c r="BQ187" s="23">
        <f>EXP(-LN(2)/25)*BQ186+(1-EXP(-LN(2)/25))/(LN(2)/25)*Calculateur!BL187*Calculateur!BN187*VLOOKUP('Données projet'!$B$11,Paramètres!$A$1:$I$89,3,0)*0.475*44/12</f>
        <v>0.70549781786600851</v>
      </c>
      <c r="BR187" s="23">
        <f>EXP(-LN(2)/2)*BR186+(1-EXP(-LN(2)/2))/(LN(2)/2)*BL187*BO187*VLOOKUP('Données projet'!$B$11,Paramètres!$A$1:$I$89,3,0)*0.475*44/12</f>
        <v>5.2509811861440629E-21</v>
      </c>
      <c r="BS187" s="24">
        <f t="shared" si="169"/>
        <v>26.359832484906164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475</v>
      </c>
      <c r="BZ187" s="14">
        <f>BY187*VLOOKUP('Données projet'!$B$12,Paramètres!$A$1:$I$89,3,0)*VLOOKUP('Données projet'!$B$12,Paramètres!$A$1:$I$89,5,0)</f>
        <v>407.55</v>
      </c>
      <c r="CA187" s="14">
        <f t="shared" si="170"/>
        <v>93.305642095357683</v>
      </c>
      <c r="CB187" s="22">
        <f t="shared" si="171"/>
        <v>872.32357664941446</v>
      </c>
      <c r="CC187" s="62">
        <f t="shared" si="119"/>
        <v>1161.9943629755212</v>
      </c>
      <c r="CD187" s="62">
        <f ca="1">AVERAGE(OFFSET($CC$3,0,0,'Données projet'!$E$12+1,1))-AVERAGE(OFFSET($H$3,0,0,'Données projet'!$E$12+1,1))</f>
        <v>590.18141384962507</v>
      </c>
      <c r="CE187" s="62">
        <f t="shared" si="148"/>
        <v>331.25104323342907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86.326093750876922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86.326093750876922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4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>
        <f>VLOOKUP(A188,'Données projet'!$A$35:$I$55,2,0)</f>
        <v>351</v>
      </c>
      <c r="L188" s="13">
        <f>VLOOKUP(A188,'Données projet'!$A$35:$I$55,9,0)</f>
        <v>1.5675675675675675</v>
      </c>
      <c r="M188" s="13">
        <f t="array" ref="M188">INDEX(L:L,MIN(IF(ISNUMBER(L188:L384),ROW(L188:L384),"")))</f>
        <v>1.5675675675675675</v>
      </c>
      <c r="N188" s="14">
        <f>IF('Données projet'!$A$36&gt;35,N187+M188-V187,IF(A188&lt;'Données projet'!$A$36,$K$205^A188,IF(A188='Données projet'!$A$36,'Données projet'!$B$36,N187+M188-V187)))</f>
        <v>-137.57392686804454</v>
      </c>
      <c r="O188" s="14">
        <f>N188*VLOOKUP('Données projet'!$B$9,Paramètres!$A$1:$I$89,3,0)*VLOOKUP('Données projet'!$B$9,Paramètres!$A$1:$I$89,5,0)</f>
        <v>-124.47688903020669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432.80275651765203</v>
      </c>
      <c r="T188" s="62">
        <f t="shared" si="142"/>
        <v>203.89279893419919</v>
      </c>
      <c r="U188" s="16">
        <f>IF(ISNA(VLOOKUP(A188,'Données projet'!$A$35:$I$55,3,0)),0,VLOOKUP(A188,'Données projet'!$A$35:$I$55,3,0))</f>
        <v>12</v>
      </c>
      <c r="V188" s="16">
        <f>IF(ISNA(VLOOKUP(A188,'Données projet'!$A$35:$I$55,4,0)),0,VLOOKUP(A188,'Données projet'!$A$35:$I$55,4,0))</f>
        <v>41</v>
      </c>
      <c r="W188" s="17">
        <f>IF(ISNA(VLOOKUP(A188,'Données projet'!$A$35:$I$55,5,0)),0%,VLOOKUP(A188,'Données projet'!$A$35:$I$55,5,0)*VLOOKUP('Données projet'!$B$9,Paramètres!$A$1:$I$89,7,0))</f>
        <v>0.215</v>
      </c>
      <c r="X188" s="17">
        <f>IF(ISNA(VLOOKUP(A188,'Données projet'!$A$35:$I$55,6,0)),0%,VLOOKUP(A188,'Données projet'!$A$35:$I$55,6,0)*VLOOKUP('Données projet'!$B$9,Paramètres!$A$1:$I$89,7,0))</f>
        <v>0.17200000000000001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176.72347084546473</v>
      </c>
      <c r="AA188" s="23">
        <f>EXP(-LN(2)/25)*AA187+(1-EXP(-LN(2)/25))/(LN(2)/25)*Calculateur!V188*Calculateur!X188*VLOOKUP('Données projet'!$B$9,Paramètres!$A$1:$I$89,3,0)*0.475*44/12</f>
        <v>20.400499071515551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197.12396991698029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1.9895196601282805E-13</v>
      </c>
      <c r="AJ188" s="14">
        <f>AI188*VLOOKUP('Données projet'!$B$10,Paramètres!$A$1:$I$89,3,0)*VLOOKUP('Données projet'!$B$10,Paramètres!$A$1:$I$89,5,0)</f>
        <v>1.738044375088066E-13</v>
      </c>
      <c r="AK188" s="14">
        <f t="shared" si="164"/>
        <v>2.4483293633950478E-12</v>
      </c>
      <c r="AL188" s="22">
        <f t="shared" si="165"/>
        <v>4.566883036574213E-12</v>
      </c>
      <c r="AM188" s="62">
        <f t="shared" si="113"/>
        <v>289.73432332845829</v>
      </c>
      <c r="AN188" s="62">
        <f ca="1">AVERAGE(OFFSET($AM$3,0,0,'Données projet'!$E$10+1,1))-AVERAGE(OFFSET($H$3,0,0,'Données projet'!$E$10+1,1))</f>
        <v>341.62910675299065</v>
      </c>
      <c r="AO188" s="62">
        <f t="shared" si="144"/>
        <v>407.15938341104709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10.603005367180128</v>
      </c>
      <c r="AV188" s="23">
        <f>EXP(-LN(2)/25)*AV187+(1-EXP(-LN(2)/25))/(LN(2)/25)*Calculateur!AQ188*Calculateur!AS188*VLOOKUP('Données projet'!$B$10,Paramètres!$A$1:$I$89,3,0)*0.475*44/12</f>
        <v>2.2988715372027615</v>
      </c>
      <c r="AW188" s="23">
        <f>EXP(-LN(2)/2)*AW187+(1-EXP(-LN(2)/2))/(LN(2)/2)*AQ188*AT188*VLOOKUP('Données projet'!$B$10,Paramètres!$A$1:$I$89,3,0)*0.475*44/12</f>
        <v>2.0538621759490963E-18</v>
      </c>
      <c r="AX188" s="23">
        <f t="shared" si="166"/>
        <v>12.901876904382888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1.6405010683229191E-13</v>
      </c>
      <c r="BF188" s="14">
        <f t="shared" si="167"/>
        <v>2.3265121008813928E-12</v>
      </c>
      <c r="BG188" s="22">
        <f t="shared" si="168"/>
        <v>4.337729178434667E-12</v>
      </c>
      <c r="BH188" s="62">
        <f t="shared" si="116"/>
        <v>289.73432332845806</v>
      </c>
      <c r="BI188" s="62">
        <f ca="1">AVERAGE(OFFSET($BH$3,0,0,'Données projet'!$E$11+1,1))-AVERAGE(OFFSET($H$3,0,0,'Données projet'!$E$11+1,1))</f>
        <v>405.94837980869011</v>
      </c>
      <c r="BJ188" s="62">
        <f t="shared" si="146"/>
        <v>511.37583835090879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25.151268811818575</v>
      </c>
      <c r="BQ188" s="23">
        <f>EXP(-LN(2)/25)*BQ187+(1-EXP(-LN(2)/25))/(LN(2)/25)*Calculateur!BL188*Calculateur!BN188*VLOOKUP('Données projet'!$B$11,Paramètres!$A$1:$I$89,3,0)*0.475*44/12</f>
        <v>0.68620594293594472</v>
      </c>
      <c r="BR188" s="23">
        <f>EXP(-LN(2)/2)*BR187+(1-EXP(-LN(2)/2))/(LN(2)/2)*BL188*BO188*VLOOKUP('Données projet'!$B$11,Paramètres!$A$1:$I$89,3,0)*0.475*44/12</f>
        <v>3.7130044046054476E-21</v>
      </c>
      <c r="BS188" s="24">
        <f t="shared" si="169"/>
        <v>25.83747475475452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475</v>
      </c>
      <c r="BZ188" s="14">
        <f>BY188*VLOOKUP('Données projet'!$B$12,Paramètres!$A$1:$I$89,3,0)*VLOOKUP('Données projet'!$B$12,Paramètres!$A$1:$I$89,5,0)</f>
        <v>407.55</v>
      </c>
      <c r="CA188" s="14">
        <f t="shared" si="170"/>
        <v>93.305642095357683</v>
      </c>
      <c r="CB188" s="22">
        <f t="shared" si="171"/>
        <v>872.32357664941446</v>
      </c>
      <c r="CC188" s="62">
        <f t="shared" si="119"/>
        <v>1162.0578999778681</v>
      </c>
      <c r="CD188" s="62">
        <f ca="1">AVERAGE(OFFSET($CC$3,0,0,'Données projet'!$E$12+1,1))-AVERAGE(OFFSET($H$3,0,0,'Données projet'!$E$12+1,1))</f>
        <v>590.18141384962507</v>
      </c>
      <c r="CE188" s="62">
        <f t="shared" si="148"/>
        <v>331.25104323342907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84.633291706140284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84.633291706140284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4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-178.57392686804454</v>
      </c>
      <c r="O189" s="14">
        <f>N189*VLOOKUP('Données projet'!$B$9,Paramètres!$A$1:$I$89,3,0)*VLOOKUP('Données projet'!$B$9,Paramètres!$A$1:$I$89,5,0)</f>
        <v>-161.57368903020668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432.80275651765203</v>
      </c>
      <c r="T189" s="62">
        <f t="shared" si="142"/>
        <v>203.89279893419919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173.25803137285894</v>
      </c>
      <c r="AA189" s="23">
        <f>EXP(-LN(2)/25)*AA188+(1-EXP(-LN(2)/25))/(LN(2)/25)*Calculateur!V189*Calculateur!X189*VLOOKUP('Données projet'!$B$9,Paramètres!$A$1:$I$89,3,0)*0.475*44/12</f>
        <v>19.842646351589337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193.10067772444827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1.9895196601282805E-13</v>
      </c>
      <c r="AJ189" s="14">
        <f>AI189*VLOOKUP('Données projet'!$B$10,Paramètres!$A$1:$I$89,3,0)*VLOOKUP('Données projet'!$B$10,Paramètres!$A$1:$I$89,5,0)</f>
        <v>1.738044375088066E-13</v>
      </c>
      <c r="AK189" s="14">
        <f t="shared" si="164"/>
        <v>2.4483293633950478E-12</v>
      </c>
      <c r="AL189" s="22">
        <f t="shared" si="165"/>
        <v>4.566883036574213E-12</v>
      </c>
      <c r="AM189" s="62">
        <f t="shared" si="113"/>
        <v>289.79675810586195</v>
      </c>
      <c r="AN189" s="62">
        <f ca="1">AVERAGE(OFFSET($AM$3,0,0,'Données projet'!$E$10+1,1))-AVERAGE(OFFSET($H$3,0,0,'Données projet'!$E$10+1,1))</f>
        <v>341.62910675299065</v>
      </c>
      <c r="AO189" s="62">
        <f t="shared" si="144"/>
        <v>407.15938341104709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10.395086899124417</v>
      </c>
      <c r="AV189" s="23">
        <f>EXP(-LN(2)/25)*AV188+(1-EXP(-LN(2)/25))/(LN(2)/25)*Calculateur!AQ189*Calculateur!AS189*VLOOKUP('Données projet'!$B$10,Paramètres!$A$1:$I$89,3,0)*0.475*44/12</f>
        <v>2.2360087741255521</v>
      </c>
      <c r="AW189" s="23">
        <f>EXP(-LN(2)/2)*AW188+(1-EXP(-LN(2)/2))/(LN(2)/2)*AQ189*AT189*VLOOKUP('Données projet'!$B$10,Paramètres!$A$1:$I$89,3,0)*0.475*44/12</f>
        <v>1.452299872236164E-18</v>
      </c>
      <c r="AX189" s="23">
        <f t="shared" si="166"/>
        <v>12.63109567324997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1.6405010683229191E-13</v>
      </c>
      <c r="BF189" s="14">
        <f t="shared" si="167"/>
        <v>2.3265121008813928E-12</v>
      </c>
      <c r="BG189" s="22">
        <f t="shared" si="168"/>
        <v>4.337729178434667E-12</v>
      </c>
      <c r="BH189" s="62">
        <f t="shared" si="116"/>
        <v>289.79675810586173</v>
      </c>
      <c r="BI189" s="62">
        <f ca="1">AVERAGE(OFFSET($BH$3,0,0,'Données projet'!$E$11+1,1))-AVERAGE(OFFSET($H$3,0,0,'Données projet'!$E$11+1,1))</f>
        <v>405.94837980869011</v>
      </c>
      <c r="BJ189" s="62">
        <f t="shared" si="146"/>
        <v>511.37583835090879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24.658067771178015</v>
      </c>
      <c r="BQ189" s="23">
        <f>EXP(-LN(2)/25)*BQ188+(1-EXP(-LN(2)/25))/(LN(2)/25)*Calculateur!BL189*Calculateur!BN189*VLOOKUP('Données projet'!$B$11,Paramètres!$A$1:$I$89,3,0)*0.475*44/12</f>
        <v>0.66744160534035912</v>
      </c>
      <c r="BR189" s="23">
        <f>EXP(-LN(2)/2)*BR188+(1-EXP(-LN(2)/2))/(LN(2)/2)*BL189*BO189*VLOOKUP('Données projet'!$B$11,Paramètres!$A$1:$I$89,3,0)*0.475*44/12</f>
        <v>2.6254905930720315E-21</v>
      </c>
      <c r="BS189" s="24">
        <f t="shared" si="169"/>
        <v>25.325509376518372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475</v>
      </c>
      <c r="BZ189" s="14">
        <f>BY189*VLOOKUP('Données projet'!$B$12,Paramètres!$A$1:$I$89,3,0)*VLOOKUP('Données projet'!$B$12,Paramètres!$A$1:$I$89,5,0)</f>
        <v>407.55</v>
      </c>
      <c r="CA189" s="14">
        <f t="shared" si="170"/>
        <v>93.305642095357683</v>
      </c>
      <c r="CB189" s="22">
        <f t="shared" si="171"/>
        <v>872.32357664941446</v>
      </c>
      <c r="CC189" s="62">
        <f t="shared" si="119"/>
        <v>1162.1203347552719</v>
      </c>
      <c r="CD189" s="62">
        <f ca="1">AVERAGE(OFFSET($CC$3,0,0,'Données projet'!$E$12+1,1))-AVERAGE(OFFSET($H$3,0,0,'Données projet'!$E$12+1,1))</f>
        <v>590.18141384962507</v>
      </c>
      <c r="CE189" s="62">
        <f t="shared" si="148"/>
        <v>331.25104323342907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82.97368447699364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82.97368447699364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4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-178.57392686804454</v>
      </c>
      <c r="O190" s="14">
        <f>N190*VLOOKUP('Données projet'!$B$9,Paramètres!$A$1:$I$89,3,0)*VLOOKUP('Données projet'!$B$9,Paramètres!$A$1:$I$89,5,0)</f>
        <v>-161.57368903020668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432.80275651765203</v>
      </c>
      <c r="T190" s="62">
        <f t="shared" si="142"/>
        <v>203.89279893419919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169.86054705460157</v>
      </c>
      <c r="AA190" s="23">
        <f>EXP(-LN(2)/25)*AA189+(1-EXP(-LN(2)/25))/(LN(2)/25)*Calculateur!V190*Calculateur!X190*VLOOKUP('Données projet'!$B$9,Paramètres!$A$1:$I$89,3,0)*0.475*44/12</f>
        <v>19.300048143625705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189.16059519822727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1.9895196601282805E-13</v>
      </c>
      <c r="AJ190" s="14">
        <f>AI190*VLOOKUP('Données projet'!$B$10,Paramètres!$A$1:$I$89,3,0)*VLOOKUP('Données projet'!$B$10,Paramètres!$A$1:$I$89,5,0)</f>
        <v>1.738044375088066E-13</v>
      </c>
      <c r="AK190" s="14">
        <f t="shared" si="164"/>
        <v>2.4483293633950478E-12</v>
      </c>
      <c r="AL190" s="22">
        <f t="shared" si="165"/>
        <v>4.566883036574213E-12</v>
      </c>
      <c r="AM190" s="62">
        <f t="shared" si="113"/>
        <v>289.85810977946096</v>
      </c>
      <c r="AN190" s="62">
        <f ca="1">AVERAGE(OFFSET($AM$3,0,0,'Données projet'!$E$10+1,1))-AVERAGE(OFFSET($H$3,0,0,'Données projet'!$E$10+1,1))</f>
        <v>341.62910675299065</v>
      </c>
      <c r="AO190" s="62">
        <f t="shared" si="144"/>
        <v>407.15938341104709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10.191245585409535</v>
      </c>
      <c r="AV190" s="23">
        <f>EXP(-LN(2)/25)*AV189+(1-EXP(-LN(2)/25))/(LN(2)/25)*Calculateur!AQ190*Calculateur!AS190*VLOOKUP('Données projet'!$B$10,Paramètres!$A$1:$I$89,3,0)*0.475*44/12</f>
        <v>2.174864996610498</v>
      </c>
      <c r="AW190" s="23">
        <f>EXP(-LN(2)/2)*AW189+(1-EXP(-LN(2)/2))/(LN(2)/2)*AQ190*AT190*VLOOKUP('Données projet'!$B$10,Paramètres!$A$1:$I$89,3,0)*0.475*44/12</f>
        <v>1.0269310879745481E-18</v>
      </c>
      <c r="AX190" s="23">
        <f t="shared" si="166"/>
        <v>12.366110582020033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1.6405010683229191E-13</v>
      </c>
      <c r="BF190" s="14">
        <f t="shared" si="167"/>
        <v>2.3265121008813928E-12</v>
      </c>
      <c r="BG190" s="22">
        <f t="shared" si="168"/>
        <v>4.337729178434667E-12</v>
      </c>
      <c r="BH190" s="62">
        <f t="shared" si="116"/>
        <v>289.85810977946073</v>
      </c>
      <c r="BI190" s="62">
        <f ca="1">AVERAGE(OFFSET($BH$3,0,0,'Données projet'!$E$11+1,1))-AVERAGE(OFFSET($H$3,0,0,'Données projet'!$E$11+1,1))</f>
        <v>405.94837980869011</v>
      </c>
      <c r="BJ190" s="62">
        <f t="shared" si="146"/>
        <v>511.37583835090879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24.174538102121485</v>
      </c>
      <c r="BQ190" s="23">
        <f>EXP(-LN(2)/25)*BQ189+(1-EXP(-LN(2)/25))/(LN(2)/25)*Calculateur!BL190*Calculateur!BN190*VLOOKUP('Données projet'!$B$11,Paramètres!$A$1:$I$89,3,0)*0.475*44/12</f>
        <v>0.64919037954309844</v>
      </c>
      <c r="BR190" s="23">
        <f>EXP(-LN(2)/2)*BR189+(1-EXP(-LN(2)/2))/(LN(2)/2)*BL190*BO190*VLOOKUP('Données projet'!$B$11,Paramètres!$A$1:$I$89,3,0)*0.475*44/12</f>
        <v>1.8565022023027238E-21</v>
      </c>
      <c r="BS190" s="24">
        <f t="shared" si="169"/>
        <v>24.823728481664585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475</v>
      </c>
      <c r="BZ190" s="14">
        <f>BY190*VLOOKUP('Données projet'!$B$12,Paramètres!$A$1:$I$89,3,0)*VLOOKUP('Données projet'!$B$12,Paramètres!$A$1:$I$89,5,0)</f>
        <v>407.55</v>
      </c>
      <c r="CA190" s="14">
        <f t="shared" si="170"/>
        <v>93.305642095357683</v>
      </c>
      <c r="CB190" s="22">
        <f t="shared" si="171"/>
        <v>872.32357664941446</v>
      </c>
      <c r="CC190" s="62">
        <f t="shared" si="119"/>
        <v>1162.1816864288708</v>
      </c>
      <c r="CD190" s="62">
        <f ca="1">AVERAGE(OFFSET($CC$3,0,0,'Données projet'!$E$12+1,1))-AVERAGE(OFFSET($H$3,0,0,'Données projet'!$E$12+1,1))</f>
        <v>590.18141384962507</v>
      </c>
      <c r="CE190" s="62">
        <f t="shared" si="148"/>
        <v>331.25104323342907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81.346621133350112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81.346621133350112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4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-178.57392686804454</v>
      </c>
      <c r="O191" s="14">
        <f>N191*VLOOKUP('Données projet'!$B$9,Paramètres!$A$1:$I$89,3,0)*VLOOKUP('Données projet'!$B$9,Paramètres!$A$1:$I$89,5,0)</f>
        <v>-161.57368903020668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432.80275651765203</v>
      </c>
      <c r="T191" s="62">
        <f t="shared" si="142"/>
        <v>203.89279893419919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166.52968533156442</v>
      </c>
      <c r="AA191" s="23">
        <f>EXP(-LN(2)/25)*AA190+(1-EXP(-LN(2)/25))/(LN(2)/25)*Calculateur!V191*Calculateur!X191*VLOOKUP('Données projet'!$B$9,Paramètres!$A$1:$I$89,3,0)*0.475*44/12</f>
        <v>18.772287312192841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185.30197264375727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1.9895196601282805E-13</v>
      </c>
      <c r="AJ191" s="14">
        <f>AI191*VLOOKUP('Données projet'!$B$10,Paramètres!$A$1:$I$89,3,0)*VLOOKUP('Données projet'!$B$10,Paramètres!$A$1:$I$89,5,0)</f>
        <v>1.738044375088066E-13</v>
      </c>
      <c r="AK191" s="14">
        <f t="shared" si="164"/>
        <v>2.4483293633950478E-12</v>
      </c>
      <c r="AL191" s="22">
        <f t="shared" si="165"/>
        <v>4.566883036574213E-12</v>
      </c>
      <c r="AM191" s="62">
        <f t="shared" si="113"/>
        <v>289.91839713868478</v>
      </c>
      <c r="AN191" s="62">
        <f ca="1">AVERAGE(OFFSET($AM$3,0,0,'Données projet'!$E$10+1,1))-AVERAGE(OFFSET($H$3,0,0,'Données projet'!$E$10+1,1))</f>
        <v>341.62910675299065</v>
      </c>
      <c r="AO191" s="62">
        <f t="shared" si="144"/>
        <v>407.15938341104709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9.9914014755256773</v>
      </c>
      <c r="AV191" s="23">
        <f>EXP(-LN(2)/25)*AV190+(1-EXP(-LN(2)/25))/(LN(2)/25)*Calculateur!AQ191*Calculateur!AS191*VLOOKUP('Données projet'!$B$10,Paramètres!$A$1:$I$89,3,0)*0.475*44/12</f>
        <v>2.1153931989070047</v>
      </c>
      <c r="AW191" s="23">
        <f>EXP(-LN(2)/2)*AW190+(1-EXP(-LN(2)/2))/(LN(2)/2)*AQ191*AT191*VLOOKUP('Données projet'!$B$10,Paramètres!$A$1:$I$89,3,0)*0.475*44/12</f>
        <v>7.2614993611808201E-19</v>
      </c>
      <c r="AX191" s="23">
        <f t="shared" si="166"/>
        <v>12.106794674432681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1.6405010683229191E-13</v>
      </c>
      <c r="BF191" s="14">
        <f t="shared" si="167"/>
        <v>2.3265121008813928E-12</v>
      </c>
      <c r="BG191" s="22">
        <f t="shared" si="168"/>
        <v>4.337729178434667E-12</v>
      </c>
      <c r="BH191" s="62">
        <f t="shared" si="116"/>
        <v>289.91839713868455</v>
      </c>
      <c r="BI191" s="62">
        <f ca="1">AVERAGE(OFFSET($BH$3,0,0,'Données projet'!$E$11+1,1))-AVERAGE(OFFSET($H$3,0,0,'Données projet'!$E$11+1,1))</f>
        <v>405.94837980869011</v>
      </c>
      <c r="BJ191" s="62">
        <f t="shared" si="146"/>
        <v>511.37583835090879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23.700490154951176</v>
      </c>
      <c r="BQ191" s="23">
        <f>EXP(-LN(2)/25)*BQ190+(1-EXP(-LN(2)/25))/(LN(2)/25)*Calculateur!BL191*Calculateur!BN191*VLOOKUP('Données projet'!$B$11,Paramètres!$A$1:$I$89,3,0)*0.475*44/12</f>
        <v>0.63143823447505409</v>
      </c>
      <c r="BR191" s="23">
        <f>EXP(-LN(2)/2)*BR190+(1-EXP(-LN(2)/2))/(LN(2)/2)*BL191*BO191*VLOOKUP('Données projet'!$B$11,Paramètres!$A$1:$I$89,3,0)*0.475*44/12</f>
        <v>1.3127452965360157E-21</v>
      </c>
      <c r="BS191" s="24">
        <f t="shared" si="169"/>
        <v>24.331928389426231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475</v>
      </c>
      <c r="BZ191" s="14">
        <f>BY191*VLOOKUP('Données projet'!$B$12,Paramètres!$A$1:$I$89,3,0)*VLOOKUP('Données projet'!$B$12,Paramètres!$A$1:$I$89,5,0)</f>
        <v>407.55</v>
      </c>
      <c r="CA191" s="14">
        <f t="shared" si="170"/>
        <v>93.305642095357683</v>
      </c>
      <c r="CB191" s="22">
        <f t="shared" si="171"/>
        <v>872.32357664941446</v>
      </c>
      <c r="CC191" s="62">
        <f t="shared" si="119"/>
        <v>1162.2419737880946</v>
      </c>
      <c r="CD191" s="62">
        <f ca="1">AVERAGE(OFFSET($CC$3,0,0,'Données projet'!$E$12+1,1))-AVERAGE(OFFSET($H$3,0,0,'Données projet'!$E$12+1,1))</f>
        <v>590.18141384962507</v>
      </c>
      <c r="CE191" s="62">
        <f t="shared" si="148"/>
        <v>331.25104323342907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79.751463509464784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79.751463509464784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4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-178.57392686804454</v>
      </c>
      <c r="O192" s="14">
        <f>N192*VLOOKUP('Données projet'!$B$9,Paramètres!$A$1:$I$89,3,0)*VLOOKUP('Données projet'!$B$9,Paramètres!$A$1:$I$89,5,0)</f>
        <v>-161.57368903020668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432.80275651765203</v>
      </c>
      <c r="T192" s="62">
        <f t="shared" si="142"/>
        <v>203.89279893419919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163.264139775291</v>
      </c>
      <c r="AA192" s="23">
        <f>EXP(-LN(2)/25)*AA191+(1-EXP(-LN(2)/25))/(LN(2)/25)*Calculateur!V192*Calculateur!X192*VLOOKUP('Données projet'!$B$9,Paramètres!$A$1:$I$89,3,0)*0.475*44/12</f>
        <v>18.258958128449244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181.52309790374025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1.9895196601282805E-13</v>
      </c>
      <c r="AJ192" s="14">
        <f>AI192*VLOOKUP('Données projet'!$B$10,Paramètres!$A$1:$I$89,3,0)*VLOOKUP('Données projet'!$B$10,Paramètres!$A$1:$I$89,5,0)</f>
        <v>1.738044375088066E-13</v>
      </c>
      <c r="AK192" s="14">
        <f t="shared" si="164"/>
        <v>2.4483293633950478E-12</v>
      </c>
      <c r="AL192" s="22">
        <f t="shared" si="165"/>
        <v>4.566883036574213E-12</v>
      </c>
      <c r="AM192" s="62">
        <f t="shared" si="113"/>
        <v>289.9776386470084</v>
      </c>
      <c r="AN192" s="62">
        <f ca="1">AVERAGE(OFFSET($AM$3,0,0,'Données projet'!$E$10+1,1))-AVERAGE(OFFSET($H$3,0,0,'Données projet'!$E$10+1,1))</f>
        <v>341.62910675299065</v>
      </c>
      <c r="AO192" s="62">
        <f t="shared" si="144"/>
        <v>407.15938341104709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9.7954761867437714</v>
      </c>
      <c r="AV192" s="23">
        <f>EXP(-LN(2)/25)*AV191+(1-EXP(-LN(2)/25))/(LN(2)/25)*Calculateur!AQ192*Calculateur!AS192*VLOOKUP('Données projet'!$B$10,Paramètres!$A$1:$I$89,3,0)*0.475*44/12</f>
        <v>2.0575476606391994</v>
      </c>
      <c r="AW192" s="23">
        <f>EXP(-LN(2)/2)*AW191+(1-EXP(-LN(2)/2))/(LN(2)/2)*AQ192*AT192*VLOOKUP('Données projet'!$B$10,Paramètres!$A$1:$I$89,3,0)*0.475*44/12</f>
        <v>5.1346554398727407E-19</v>
      </c>
      <c r="AX192" s="23">
        <f t="shared" si="166"/>
        <v>11.853023847382971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1.6405010683229191E-13</v>
      </c>
      <c r="BF192" s="14">
        <f t="shared" si="167"/>
        <v>2.3265121008813928E-12</v>
      </c>
      <c r="BG192" s="22">
        <f t="shared" si="168"/>
        <v>4.337729178434667E-12</v>
      </c>
      <c r="BH192" s="62">
        <f t="shared" si="116"/>
        <v>289.97763864700818</v>
      </c>
      <c r="BI192" s="62">
        <f ca="1">AVERAGE(OFFSET($BH$3,0,0,'Données projet'!$E$11+1,1))-AVERAGE(OFFSET($H$3,0,0,'Données projet'!$E$11+1,1))</f>
        <v>405.94837980869011</v>
      </c>
      <c r="BJ192" s="62">
        <f t="shared" si="146"/>
        <v>511.37583835090879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23.235737998884179</v>
      </c>
      <c r="BQ192" s="23">
        <f>EXP(-LN(2)/25)*BQ191+(1-EXP(-LN(2)/25))/(LN(2)/25)*Calculateur!BL192*Calculateur!BN192*VLOOKUP('Données projet'!$B$11,Paramètres!$A$1:$I$89,3,0)*0.475*44/12</f>
        <v>0.61417152274744014</v>
      </c>
      <c r="BR192" s="23">
        <f>EXP(-LN(2)/2)*BR191+(1-EXP(-LN(2)/2))/(LN(2)/2)*BL192*BO192*VLOOKUP('Données projet'!$B$11,Paramètres!$A$1:$I$89,3,0)*0.475*44/12</f>
        <v>9.2825110115136191E-22</v>
      </c>
      <c r="BS192" s="24">
        <f t="shared" si="169"/>
        <v>23.84990952163162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475</v>
      </c>
      <c r="BZ192" s="14">
        <f>BY192*VLOOKUP('Données projet'!$B$12,Paramètres!$A$1:$I$89,3,0)*VLOOKUP('Données projet'!$B$12,Paramètres!$A$1:$I$89,5,0)</f>
        <v>407.55</v>
      </c>
      <c r="CA192" s="14">
        <f t="shared" si="170"/>
        <v>93.305642095357683</v>
      </c>
      <c r="CB192" s="22">
        <f t="shared" si="171"/>
        <v>872.32357664941446</v>
      </c>
      <c r="CC192" s="62">
        <f t="shared" si="119"/>
        <v>1162.3012152964184</v>
      </c>
      <c r="CD192" s="62">
        <f ca="1">AVERAGE(OFFSET($CC$3,0,0,'Données projet'!$E$12+1,1))-AVERAGE(OFFSET($H$3,0,0,'Données projet'!$E$12+1,1))</f>
        <v>590.18141384962507</v>
      </c>
      <c r="CE192" s="62">
        <f t="shared" si="148"/>
        <v>331.25104323342907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78.187585953633771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78.187585953633771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4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-178.57392686804454</v>
      </c>
      <c r="O193" s="14">
        <f>N193*VLOOKUP('Données projet'!$B$9,Paramètres!$A$1:$I$89,3,0)*VLOOKUP('Données projet'!$B$9,Paramètres!$A$1:$I$89,5,0)</f>
        <v>-161.57368903020668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432.80275651765203</v>
      </c>
      <c r="T193" s="62">
        <f t="shared" si="142"/>
        <v>203.89279893419919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160.06262957558997</v>
      </c>
      <c r="AA193" s="23">
        <f>EXP(-LN(2)/25)*AA192+(1-EXP(-LN(2)/25))/(LN(2)/25)*Calculateur!V193*Calculateur!X193*VLOOKUP('Données projet'!$B$9,Paramètres!$A$1:$I$89,3,0)*0.475*44/12</f>
        <v>17.759665958229924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177.8222955338199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1.9895196601282805E-13</v>
      </c>
      <c r="AJ193" s="14">
        <f>AI193*VLOOKUP('Données projet'!$B$10,Paramètres!$A$1:$I$89,3,0)*VLOOKUP('Données projet'!$B$10,Paramètres!$A$1:$I$89,5,0)</f>
        <v>1.738044375088066E-13</v>
      </c>
      <c r="AK193" s="14">
        <f t="shared" si="164"/>
        <v>2.4483293633950478E-12</v>
      </c>
      <c r="AL193" s="22">
        <f t="shared" si="165"/>
        <v>4.566883036574213E-12</v>
      </c>
      <c r="AM193" s="62">
        <f t="shared" si="113"/>
        <v>290.03585244760683</v>
      </c>
      <c r="AN193" s="62">
        <f ca="1">AVERAGE(OFFSET($AM$3,0,0,'Données projet'!$E$10+1,1))-AVERAGE(OFFSET($H$3,0,0,'Données projet'!$E$10+1,1))</f>
        <v>341.62910675299065</v>
      </c>
      <c r="AO193" s="62">
        <f t="shared" si="144"/>
        <v>407.15938341104709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9.6033928733722522</v>
      </c>
      <c r="AV193" s="23">
        <f>EXP(-LN(2)/25)*AV192+(1-EXP(-LN(2)/25))/(LN(2)/25)*Calculateur!AQ193*Calculateur!AS193*VLOOKUP('Données projet'!$B$10,Paramètres!$A$1:$I$89,3,0)*0.475*44/12</f>
        <v>2.0012839116572914</v>
      </c>
      <c r="AW193" s="23">
        <f>EXP(-LN(2)/2)*AW192+(1-EXP(-LN(2)/2))/(LN(2)/2)*AQ193*AT193*VLOOKUP('Données projet'!$B$10,Paramètres!$A$1:$I$89,3,0)*0.475*44/12</f>
        <v>3.6307496805904101E-19</v>
      </c>
      <c r="AX193" s="23">
        <f t="shared" si="166"/>
        <v>11.604676785029543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1.6405010683229191E-13</v>
      </c>
      <c r="BF193" s="14">
        <f t="shared" si="167"/>
        <v>2.3265121008813928E-12</v>
      </c>
      <c r="BG193" s="22">
        <f t="shared" si="168"/>
        <v>4.337729178434667E-12</v>
      </c>
      <c r="BH193" s="62">
        <f t="shared" si="116"/>
        <v>290.0358524476066</v>
      </c>
      <c r="BI193" s="62">
        <f ca="1">AVERAGE(OFFSET($BH$3,0,0,'Données projet'!$E$11+1,1))-AVERAGE(OFFSET($H$3,0,0,'Données projet'!$E$11+1,1))</f>
        <v>405.94837980869011</v>
      </c>
      <c r="BJ193" s="62">
        <f t="shared" si="146"/>
        <v>511.37583835090879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22.780099349126832</v>
      </c>
      <c r="BQ193" s="23">
        <f>EXP(-LN(2)/25)*BQ192+(1-EXP(-LN(2)/25))/(LN(2)/25)*Calculateur!BL193*Calculateur!BN193*VLOOKUP('Données projet'!$B$11,Paramètres!$A$1:$I$89,3,0)*0.475*44/12</f>
        <v>0.59737697016003466</v>
      </c>
      <c r="BR193" s="23">
        <f>EXP(-LN(2)/2)*BR192+(1-EXP(-LN(2)/2))/(LN(2)/2)*BL193*BO193*VLOOKUP('Données projet'!$B$11,Paramètres!$A$1:$I$89,3,0)*0.475*44/12</f>
        <v>6.5637264826800786E-22</v>
      </c>
      <c r="BS193" s="24">
        <f t="shared" si="169"/>
        <v>23.377476319286867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475</v>
      </c>
      <c r="BZ193" s="14">
        <f>BY193*VLOOKUP('Données projet'!$B$12,Paramètres!$A$1:$I$89,3,0)*VLOOKUP('Données projet'!$B$12,Paramètres!$A$1:$I$89,5,0)</f>
        <v>407.55</v>
      </c>
      <c r="CA193" s="14">
        <f t="shared" si="170"/>
        <v>93.305642095357683</v>
      </c>
      <c r="CB193" s="22">
        <f t="shared" si="171"/>
        <v>872.32357664941446</v>
      </c>
      <c r="CC193" s="62">
        <f t="shared" si="119"/>
        <v>1162.3594290970168</v>
      </c>
      <c r="CD193" s="62">
        <f ca="1">AVERAGE(OFFSET($CC$3,0,0,'Données projet'!$E$12+1,1))-AVERAGE(OFFSET($H$3,0,0,'Données projet'!$E$12+1,1))</f>
        <v>590.18141384962507</v>
      </c>
      <c r="CE193" s="62">
        <f t="shared" si="148"/>
        <v>331.25104323342907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76.654375082801479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76.654375082801479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4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-178.57392686804454</v>
      </c>
      <c r="O194" s="14">
        <f>N194*VLOOKUP('Données projet'!$B$9,Paramètres!$A$1:$I$89,3,0)*VLOOKUP('Données projet'!$B$9,Paramètres!$A$1:$I$89,5,0)</f>
        <v>-161.57368903020668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432.80275651765203</v>
      </c>
      <c r="T194" s="62">
        <f t="shared" si="142"/>
        <v>203.89279893419919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156.92389903817667</v>
      </c>
      <c r="AA194" s="23">
        <f>EXP(-LN(2)/25)*AA193+(1-EXP(-LN(2)/25))/(LN(2)/25)*Calculateur!V194*Calculateur!X194*VLOOKUP('Données projet'!$B$9,Paramètres!$A$1:$I$89,3,0)*0.475*44/12</f>
        <v>17.274026958661885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174.19792599683856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1.9895196601282805E-13</v>
      </c>
      <c r="AJ194" s="14">
        <f>AI194*VLOOKUP('Données projet'!$B$10,Paramètres!$A$1:$I$89,3,0)*VLOOKUP('Données projet'!$B$10,Paramètres!$A$1:$I$89,5,0)</f>
        <v>1.738044375088066E-13</v>
      </c>
      <c r="AK194" s="14">
        <f t="shared" si="164"/>
        <v>2.4483293633950478E-12</v>
      </c>
      <c r="AL194" s="22">
        <f t="shared" si="165"/>
        <v>4.566883036574213E-12</v>
      </c>
      <c r="AM194" s="62">
        <f t="shared" si="113"/>
        <v>290.09305636891139</v>
      </c>
      <c r="AN194" s="62">
        <f ca="1">AVERAGE(OFFSET($AM$3,0,0,'Données projet'!$E$10+1,1))-AVERAGE(OFFSET($H$3,0,0,'Données projet'!$E$10+1,1))</f>
        <v>341.62910675299065</v>
      </c>
      <c r="AO194" s="62">
        <f t="shared" si="144"/>
        <v>407.15938341104709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9.4150761966166954</v>
      </c>
      <c r="AV194" s="23">
        <f>EXP(-LN(2)/25)*AV193+(1-EXP(-LN(2)/25))/(LN(2)/25)*Calculateur!AQ194*Calculateur!AS194*VLOOKUP('Données projet'!$B$10,Paramètres!$A$1:$I$89,3,0)*0.475*44/12</f>
        <v>1.9465586978500757</v>
      </c>
      <c r="AW194" s="23">
        <f>EXP(-LN(2)/2)*AW193+(1-EXP(-LN(2)/2))/(LN(2)/2)*AQ194*AT194*VLOOKUP('Données projet'!$B$10,Paramètres!$A$1:$I$89,3,0)*0.475*44/12</f>
        <v>2.5673277199363703E-19</v>
      </c>
      <c r="AX194" s="23">
        <f t="shared" si="166"/>
        <v>11.361634894466771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1.6405010683229191E-13</v>
      </c>
      <c r="BF194" s="14">
        <f t="shared" si="167"/>
        <v>2.3265121008813928E-12</v>
      </c>
      <c r="BG194" s="22">
        <f t="shared" si="168"/>
        <v>4.337729178434667E-12</v>
      </c>
      <c r="BH194" s="62">
        <f t="shared" si="116"/>
        <v>290.09305636891116</v>
      </c>
      <c r="BI194" s="62">
        <f ca="1">AVERAGE(OFFSET($BH$3,0,0,'Données projet'!$E$11+1,1))-AVERAGE(OFFSET($H$3,0,0,'Données projet'!$E$11+1,1))</f>
        <v>405.94837980869011</v>
      </c>
      <c r="BJ194" s="62">
        <f t="shared" si="146"/>
        <v>511.37583835090879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22.33339549537909</v>
      </c>
      <c r="BQ194" s="23">
        <f>EXP(-LN(2)/25)*BQ193+(1-EXP(-LN(2)/25))/(LN(2)/25)*Calculateur!BL194*Calculateur!BN194*VLOOKUP('Données projet'!$B$11,Paramètres!$A$1:$I$89,3,0)*0.475*44/12</f>
        <v>0.58104166549631897</v>
      </c>
      <c r="BR194" s="23">
        <f>EXP(-LN(2)/2)*BR193+(1-EXP(-LN(2)/2))/(LN(2)/2)*BL194*BO194*VLOOKUP('Données projet'!$B$11,Paramètres!$A$1:$I$89,3,0)*0.475*44/12</f>
        <v>4.6412555057568095E-22</v>
      </c>
      <c r="BS194" s="24">
        <f t="shared" si="169"/>
        <v>22.914437160875408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475</v>
      </c>
      <c r="BZ194" s="14">
        <f>BY194*VLOOKUP('Données projet'!$B$12,Paramètres!$A$1:$I$89,3,0)*VLOOKUP('Données projet'!$B$12,Paramètres!$A$1:$I$89,5,0)</f>
        <v>407.55</v>
      </c>
      <c r="CA194" s="14">
        <f t="shared" si="170"/>
        <v>93.305642095357683</v>
      </c>
      <c r="CB194" s="22">
        <f t="shared" si="171"/>
        <v>872.32357664941446</v>
      </c>
      <c r="CC194" s="62">
        <f t="shared" si="119"/>
        <v>1162.4166330183214</v>
      </c>
      <c r="CD194" s="62">
        <f ca="1">AVERAGE(OFFSET($CC$3,0,0,'Données projet'!$E$12+1,1))-AVERAGE(OFFSET($H$3,0,0,'Données projet'!$E$12+1,1))</f>
        <v>590.18141384962507</v>
      </c>
      <c r="CE194" s="62">
        <f t="shared" si="148"/>
        <v>331.25104323342907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75.151229541979916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75.151229541979916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4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-178.57392686804454</v>
      </c>
      <c r="O195" s="14">
        <f>N195*VLOOKUP('Données projet'!$B$9,Paramètres!$A$1:$I$89,3,0)*VLOOKUP('Données projet'!$B$9,Paramètres!$A$1:$I$89,5,0)</f>
        <v>-161.57368903020668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432.80275651765203</v>
      </c>
      <c r="T195" s="62">
        <f t="shared" si="142"/>
        <v>203.89279893419919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153.84671709216545</v>
      </c>
      <c r="AA195" s="23">
        <f>EXP(-LN(2)/25)*AA194+(1-EXP(-LN(2)/25))/(LN(2)/25)*Calculateur!V195*Calculateur!X195*VLOOKUP('Données projet'!$B$9,Paramètres!$A$1:$I$89,3,0)*0.475*44/12</f>
        <v>16.801667783075679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170.64838487524113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1.9895196601282805E-13</v>
      </c>
      <c r="AJ195" s="14">
        <f>AI195*VLOOKUP('Données projet'!$B$10,Paramètres!$A$1:$I$89,3,0)*VLOOKUP('Données projet'!$B$10,Paramètres!$A$1:$I$89,5,0)</f>
        <v>1.738044375088066E-13</v>
      </c>
      <c r="AK195" s="14">
        <f t="shared" si="164"/>
        <v>2.4483293633950478E-12</v>
      </c>
      <c r="AL195" s="22">
        <f t="shared" si="165"/>
        <v>4.566883036574213E-12</v>
      </c>
      <c r="AM195" s="62">
        <f t="shared" si="113"/>
        <v>290.14926793007021</v>
      </c>
      <c r="AN195" s="62">
        <f ca="1">AVERAGE(OFFSET($AM$3,0,0,'Données projet'!$E$10+1,1))-AVERAGE(OFFSET($H$3,0,0,'Données projet'!$E$10+1,1))</f>
        <v>341.62910675299065</v>
      </c>
      <c r="AO195" s="62">
        <f t="shared" si="144"/>
        <v>407.15938341104709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9.230452295030485</v>
      </c>
      <c r="AV195" s="23">
        <f>EXP(-LN(2)/25)*AV194+(1-EXP(-LN(2)/25))/(LN(2)/25)*Calculateur!AQ195*Calculateur!AS195*VLOOKUP('Données projet'!$B$10,Paramètres!$A$1:$I$89,3,0)*0.475*44/12</f>
        <v>1.8933299478922925</v>
      </c>
      <c r="AW195" s="23">
        <f>EXP(-LN(2)/2)*AW194+(1-EXP(-LN(2)/2))/(LN(2)/2)*AQ195*AT195*VLOOKUP('Données projet'!$B$10,Paramètres!$A$1:$I$89,3,0)*0.475*44/12</f>
        <v>1.815374840295205E-19</v>
      </c>
      <c r="AX195" s="23">
        <f t="shared" si="166"/>
        <v>11.123782242922777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1.6405010683229191E-13</v>
      </c>
      <c r="BF195" s="14">
        <f t="shared" si="167"/>
        <v>2.3265121008813928E-12</v>
      </c>
      <c r="BG195" s="22">
        <f t="shared" si="168"/>
        <v>4.337729178434667E-12</v>
      </c>
      <c r="BH195" s="62">
        <f t="shared" si="116"/>
        <v>290.14926793006998</v>
      </c>
      <c r="BI195" s="62">
        <f ca="1">AVERAGE(OFFSET($BH$3,0,0,'Données projet'!$E$11+1,1))-AVERAGE(OFFSET($H$3,0,0,'Données projet'!$E$11+1,1))</f>
        <v>405.94837980869011</v>
      </c>
      <c r="BJ195" s="62">
        <f t="shared" si="146"/>
        <v>511.37583835090879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21.895451231740896</v>
      </c>
      <c r="BQ195" s="23">
        <f>EXP(-LN(2)/25)*BQ194+(1-EXP(-LN(2)/25))/(LN(2)/25)*Calculateur!BL195*Calculateur!BN195*VLOOKUP('Données projet'!$B$11,Paramètres!$A$1:$I$89,3,0)*0.475*44/12</f>
        <v>0.56515305059766896</v>
      </c>
      <c r="BR195" s="23">
        <f>EXP(-LN(2)/2)*BR194+(1-EXP(-LN(2)/2))/(LN(2)/2)*BL195*BO195*VLOOKUP('Données projet'!$B$11,Paramètres!$A$1:$I$89,3,0)*0.475*44/12</f>
        <v>3.2818632413400393E-22</v>
      </c>
      <c r="BS195" s="24">
        <f t="shared" si="169"/>
        <v>22.460604282338565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475</v>
      </c>
      <c r="BZ195" s="14">
        <f>BY195*VLOOKUP('Données projet'!$B$12,Paramètres!$A$1:$I$89,3,0)*VLOOKUP('Données projet'!$B$12,Paramètres!$A$1:$I$89,5,0)</f>
        <v>407.55</v>
      </c>
      <c r="CA195" s="14">
        <f t="shared" si="170"/>
        <v>93.305642095357683</v>
      </c>
      <c r="CB195" s="22">
        <f t="shared" si="171"/>
        <v>872.32357664941446</v>
      </c>
      <c r="CC195" s="62">
        <f t="shared" si="119"/>
        <v>1162.4728445794801</v>
      </c>
      <c r="CD195" s="62">
        <f ca="1">AVERAGE(OFFSET($CC$3,0,0,'Données projet'!$E$12+1,1))-AVERAGE(OFFSET($H$3,0,0,'Données projet'!$E$12+1,1))</f>
        <v>590.18141384962507</v>
      </c>
      <c r="CE195" s="62">
        <f t="shared" si="148"/>
        <v>331.25104323342907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73.677559768385606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73.677559768385606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4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-178.57392686804454</v>
      </c>
      <c r="O196" s="14">
        <f>N196*VLOOKUP('Données projet'!$B$9,Paramètres!$A$1:$I$89,3,0)*VLOOKUP('Données projet'!$B$9,Paramètres!$A$1:$I$89,5,0)</f>
        <v>-161.57368903020668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432.80275651765203</v>
      </c>
      <c r="T196" s="62">
        <f t="shared" si="142"/>
        <v>203.89279893419919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150.82987680721985</v>
      </c>
      <c r="AA196" s="23">
        <f>EXP(-LN(2)/25)*AA195+(1-EXP(-LN(2)/25))/(LN(2)/25)*Calculateur!V196*Calculateur!X196*VLOOKUP('Données projet'!$B$9,Paramètres!$A$1:$I$89,3,0)*0.475*44/12</f>
        <v>16.342225293986168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167.17210210120601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1.9895196601282805E-13</v>
      </c>
      <c r="AJ196" s="14">
        <f>AI196*VLOOKUP('Données projet'!$B$10,Paramètres!$A$1:$I$89,3,0)*VLOOKUP('Données projet'!$B$10,Paramètres!$A$1:$I$89,5,0)</f>
        <v>1.738044375088066E-13</v>
      </c>
      <c r="AK196" s="14">
        <f t="shared" si="164"/>
        <v>2.4483293633950478E-12</v>
      </c>
      <c r="AL196" s="22">
        <f t="shared" si="165"/>
        <v>4.566883036574213E-12</v>
      </c>
      <c r="AM196" s="62">
        <f t="shared" ref="AM196:AM203" si="193">AL196+(AD196+AE196)*44/12</f>
        <v>290.20450434631306</v>
      </c>
      <c r="AN196" s="62">
        <f ca="1">AVERAGE(OFFSET($AM$3,0,0,'Données projet'!$E$10+1,1))-AVERAGE(OFFSET($H$3,0,0,'Données projet'!$E$10+1,1))</f>
        <v>341.62910675299065</v>
      </c>
      <c r="AO196" s="62">
        <f t="shared" si="144"/>
        <v>407.15938341104709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9.049448755544919</v>
      </c>
      <c r="AV196" s="23">
        <f>EXP(-LN(2)/25)*AV195+(1-EXP(-LN(2)/25))/(LN(2)/25)*Calculateur!AQ196*Calculateur!AS196*VLOOKUP('Données projet'!$B$10,Paramètres!$A$1:$I$89,3,0)*0.475*44/12</f>
        <v>1.841556740901283</v>
      </c>
      <c r="AW196" s="23">
        <f>EXP(-LN(2)/2)*AW195+(1-EXP(-LN(2)/2))/(LN(2)/2)*AQ196*AT196*VLOOKUP('Données projet'!$B$10,Paramètres!$A$1:$I$89,3,0)*0.475*44/12</f>
        <v>1.2836638599681852E-19</v>
      </c>
      <c r="AX196" s="23">
        <f t="shared" si="166"/>
        <v>10.891005496446201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1.6405010683229191E-13</v>
      </c>
      <c r="BF196" s="14">
        <f t="shared" si="167"/>
        <v>2.3265121008813928E-12</v>
      </c>
      <c r="BG196" s="22">
        <f t="shared" si="168"/>
        <v>4.337729178434667E-12</v>
      </c>
      <c r="BH196" s="62">
        <f t="shared" ref="BH196:BH203" si="194">BG196+(AY196+AZ196)*44/12</f>
        <v>290.20450434631283</v>
      </c>
      <c r="BI196" s="62">
        <f ca="1">AVERAGE(OFFSET($BH$3,0,0,'Données projet'!$E$11+1,1))-AVERAGE(OFFSET($H$3,0,0,'Données projet'!$E$11+1,1))</f>
        <v>405.94837980869011</v>
      </c>
      <c r="BJ196" s="62">
        <f t="shared" si="146"/>
        <v>511.37583835090879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21.466094787993022</v>
      </c>
      <c r="BQ196" s="23">
        <f>EXP(-LN(2)/25)*BQ195+(1-EXP(-LN(2)/25))/(LN(2)/25)*Calculateur!BL196*Calculateur!BN196*VLOOKUP('Données projet'!$B$11,Paramètres!$A$1:$I$89,3,0)*0.475*44/12</f>
        <v>0.54969891070896848</v>
      </c>
      <c r="BR196" s="23">
        <f>EXP(-LN(2)/2)*BR195+(1-EXP(-LN(2)/2))/(LN(2)/2)*BL196*BO196*VLOOKUP('Données projet'!$B$11,Paramètres!$A$1:$I$89,3,0)*0.475*44/12</f>
        <v>2.3206277528784048E-22</v>
      </c>
      <c r="BS196" s="24">
        <f t="shared" si="169"/>
        <v>22.015793698701991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475</v>
      </c>
      <c r="BZ196" s="14">
        <f>BY196*VLOOKUP('Données projet'!$B$12,Paramètres!$A$1:$I$89,3,0)*VLOOKUP('Données projet'!$B$12,Paramètres!$A$1:$I$89,5,0)</f>
        <v>407.55</v>
      </c>
      <c r="CA196" s="14">
        <f t="shared" si="170"/>
        <v>93.305642095357683</v>
      </c>
      <c r="CB196" s="22">
        <f t="shared" si="171"/>
        <v>872.32357664941446</v>
      </c>
      <c r="CC196" s="62">
        <f t="shared" ref="CC196:CC203" si="195">CB196+(BT196+BU196)*44/12</f>
        <v>1162.528080995723</v>
      </c>
      <c r="CD196" s="62">
        <f ca="1">AVERAGE(OFFSET($CC$3,0,0,'Données projet'!$E$12+1,1))-AVERAGE(OFFSET($H$3,0,0,'Données projet'!$E$12+1,1))</f>
        <v>590.18141384962507</v>
      </c>
      <c r="CE196" s="62">
        <f t="shared" si="148"/>
        <v>331.25104323342907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72.232787760201674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72.232787760201674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4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-178.57392686804454</v>
      </c>
      <c r="O197" s="14">
        <f>N197*VLOOKUP('Données projet'!$B$9,Paramètres!$A$1:$I$89,3,0)*VLOOKUP('Données projet'!$B$9,Paramètres!$A$1:$I$89,5,0)</f>
        <v>-161.57368903020668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432.80275651765203</v>
      </c>
      <c r="T197" s="62">
        <f t="shared" ref="T197:T203" si="204">$T$3</f>
        <v>203.89279893419919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147.87219492017115</v>
      </c>
      <c r="AA197" s="23">
        <f>EXP(-LN(2)/25)*AA196+(1-EXP(-LN(2)/25))/(LN(2)/25)*Calculateur!V197*Calculateur!X197*VLOOKUP('Données projet'!$B$9,Paramètres!$A$1:$I$89,3,0)*0.475*44/12</f>
        <v>15.895346283921839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163.76754120409299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1.9895196601282805E-13</v>
      </c>
      <c r="AJ197" s="14">
        <f>AI197*VLOOKUP('Données projet'!$B$10,Paramètres!$A$1:$I$89,3,0)*VLOOKUP('Données projet'!$B$10,Paramètres!$A$1:$I$89,5,0)</f>
        <v>1.738044375088066E-13</v>
      </c>
      <c r="AK197" s="14">
        <f t="shared" si="164"/>
        <v>2.4483293633950478E-12</v>
      </c>
      <c r="AL197" s="22">
        <f t="shared" si="165"/>
        <v>4.566883036574213E-12</v>
      </c>
      <c r="AM197" s="62">
        <f t="shared" si="193"/>
        <v>290.25878253422428</v>
      </c>
      <c r="AN197" s="62">
        <f ca="1">AVERAGE(OFFSET($AM$3,0,0,'Données projet'!$E$10+1,1))-AVERAGE(OFFSET($H$3,0,0,'Données projet'!$E$10+1,1))</f>
        <v>341.62910675299065</v>
      </c>
      <c r="AO197" s="62">
        <f t="shared" ref="AO197:AO203" si="205">$AO$3</f>
        <v>407.15938341104709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8.8719945850674069</v>
      </c>
      <c r="AV197" s="23">
        <f>EXP(-LN(2)/25)*AV196+(1-EXP(-LN(2)/25))/(LN(2)/25)*Calculateur!AQ197*Calculateur!AS197*VLOOKUP('Données projet'!$B$10,Paramètres!$A$1:$I$89,3,0)*0.475*44/12</f>
        <v>1.7911992749780774</v>
      </c>
      <c r="AW197" s="23">
        <f>EXP(-LN(2)/2)*AW196+(1-EXP(-LN(2)/2))/(LN(2)/2)*AQ197*AT197*VLOOKUP('Données projet'!$B$10,Paramètres!$A$1:$I$89,3,0)*0.475*44/12</f>
        <v>9.0768742014760252E-20</v>
      </c>
      <c r="AX197" s="23">
        <f t="shared" si="166"/>
        <v>10.663193860045485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1.6405010683229191E-13</v>
      </c>
      <c r="BF197" s="14">
        <f t="shared" si="167"/>
        <v>2.3265121008813928E-12</v>
      </c>
      <c r="BG197" s="22">
        <f t="shared" si="168"/>
        <v>4.337729178434667E-12</v>
      </c>
      <c r="BH197" s="62">
        <f t="shared" si="194"/>
        <v>290.25878253422405</v>
      </c>
      <c r="BI197" s="62">
        <f ca="1">AVERAGE(OFFSET($BH$3,0,0,'Données projet'!$E$11+1,1))-AVERAGE(OFFSET($H$3,0,0,'Données projet'!$E$11+1,1))</f>
        <v>405.94837980869011</v>
      </c>
      <c r="BJ197" s="62">
        <f t="shared" ref="BJ197:BJ203" si="206">$BJ$3</f>
        <v>511.37583835090879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21.045157762225472</v>
      </c>
      <c r="BQ197" s="23">
        <f>EXP(-LN(2)/25)*BQ196+(1-EXP(-LN(2)/25))/(LN(2)/25)*Calculateur!BL197*Calculateur!BN197*VLOOKUP('Données projet'!$B$11,Paramètres!$A$1:$I$89,3,0)*0.475*44/12</f>
        <v>0.53466736508822232</v>
      </c>
      <c r="BR197" s="23">
        <f>EXP(-LN(2)/2)*BR196+(1-EXP(-LN(2)/2))/(LN(2)/2)*BL197*BO197*VLOOKUP('Données projet'!$B$11,Paramètres!$A$1:$I$89,3,0)*0.475*44/12</f>
        <v>1.6409316206700197E-22</v>
      </c>
      <c r="BS197" s="24">
        <f t="shared" si="169"/>
        <v>21.579825127313693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475</v>
      </c>
      <c r="BZ197" s="14">
        <f>BY197*VLOOKUP('Données projet'!$B$12,Paramètres!$A$1:$I$89,3,0)*VLOOKUP('Données projet'!$B$12,Paramètres!$A$1:$I$89,5,0)</f>
        <v>407.55</v>
      </c>
      <c r="CA197" s="14">
        <f t="shared" si="170"/>
        <v>93.305642095357683</v>
      </c>
      <c r="CB197" s="22">
        <f t="shared" si="171"/>
        <v>872.32357664941446</v>
      </c>
      <c r="CC197" s="62">
        <f t="shared" si="195"/>
        <v>1162.5823591836343</v>
      </c>
      <c r="CD197" s="62">
        <f ca="1">AVERAGE(OFFSET($CC$3,0,0,'Données projet'!$E$12+1,1))-AVERAGE(OFFSET($H$3,0,0,'Données projet'!$E$12+1,1))</f>
        <v>590.18141384962507</v>
      </c>
      <c r="CE197" s="62">
        <f t="shared" ref="CE197:CE203" si="207">$CE$3</f>
        <v>331.25104323342907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70.816346849874321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70.816346849874321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4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-178.57392686804454</v>
      </c>
      <c r="O198" s="14">
        <f>N198*VLOOKUP('Données projet'!$B$9,Paramètres!$A$1:$I$89,3,0)*VLOOKUP('Données projet'!$B$9,Paramètres!$A$1:$I$89,5,0)</f>
        <v>-161.57368903020668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432.80275651765203</v>
      </c>
      <c r="T198" s="62">
        <f t="shared" si="204"/>
        <v>203.89279893419919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144.97251137091968</v>
      </c>
      <c r="AA198" s="23">
        <f>EXP(-LN(2)/25)*AA197+(1-EXP(-LN(2)/25))/(LN(2)/25)*Calculateur!V198*Calculateur!X198*VLOOKUP('Données projet'!$B$9,Paramètres!$A$1:$I$89,3,0)*0.475*44/12</f>
        <v>15.460687203888064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160.43319857480773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1.9895196601282805E-13</v>
      </c>
      <c r="AJ198" s="14">
        <f>AI198*VLOOKUP('Données projet'!$B$10,Paramètres!$A$1:$I$89,3,0)*VLOOKUP('Données projet'!$B$10,Paramètres!$A$1:$I$89,5,0)</f>
        <v>1.738044375088066E-13</v>
      </c>
      <c r="AK198" s="14">
        <f t="shared" si="164"/>
        <v>2.4483293633950478E-12</v>
      </c>
      <c r="AL198" s="22">
        <f t="shared" si="165"/>
        <v>4.566883036574213E-12</v>
      </c>
      <c r="AM198" s="62">
        <f t="shared" si="193"/>
        <v>290.31211911692304</v>
      </c>
      <c r="AN198" s="62">
        <f ca="1">AVERAGE(OFFSET($AM$3,0,0,'Données projet'!$E$10+1,1))-AVERAGE(OFFSET($H$3,0,0,'Données projet'!$E$10+1,1))</f>
        <v>341.62910675299065</v>
      </c>
      <c r="AO198" s="62">
        <f t="shared" si="205"/>
        <v>407.15938341104709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8.6980201826366024</v>
      </c>
      <c r="AV198" s="23">
        <f>EXP(-LN(2)/25)*AV197+(1-EXP(-LN(2)/25))/(LN(2)/25)*Calculateur!AQ198*Calculateur!AS198*VLOOKUP('Données projet'!$B$10,Paramètres!$A$1:$I$89,3,0)*0.475*44/12</f>
        <v>1.7422188366087259</v>
      </c>
      <c r="AW198" s="23">
        <f>EXP(-LN(2)/2)*AW197+(1-EXP(-LN(2)/2))/(LN(2)/2)*AQ198*AT198*VLOOKUP('Données projet'!$B$10,Paramètres!$A$1:$I$89,3,0)*0.475*44/12</f>
        <v>6.4183192998409259E-20</v>
      </c>
      <c r="AX198" s="23">
        <f t="shared" si="166"/>
        <v>10.440239019245329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1.6405010683229191E-13</v>
      </c>
      <c r="BF198" s="14">
        <f t="shared" si="167"/>
        <v>2.3265121008813928E-12</v>
      </c>
      <c r="BG198" s="22">
        <f t="shared" si="168"/>
        <v>4.337729178434667E-12</v>
      </c>
      <c r="BH198" s="62">
        <f t="shared" si="194"/>
        <v>290.31211911692282</v>
      </c>
      <c r="BI198" s="62">
        <f ca="1">AVERAGE(OFFSET($BH$3,0,0,'Données projet'!$E$11+1,1))-AVERAGE(OFFSET($H$3,0,0,'Données projet'!$E$11+1,1))</f>
        <v>405.94837980869011</v>
      </c>
      <c r="BJ198" s="62">
        <f t="shared" si="206"/>
        <v>511.37583835090879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20.632475054786987</v>
      </c>
      <c r="BQ198" s="23">
        <f>EXP(-LN(2)/25)*BQ197+(1-EXP(-LN(2)/25))/(LN(2)/25)*Calculateur!BL198*Calculateur!BN198*VLOOKUP('Données projet'!$B$11,Paramètres!$A$1:$I$89,3,0)*0.475*44/12</f>
        <v>0.52004685787295013</v>
      </c>
      <c r="BR198" s="23">
        <f>EXP(-LN(2)/2)*BR197+(1-EXP(-LN(2)/2))/(LN(2)/2)*BL198*BO198*VLOOKUP('Données projet'!$B$11,Paramètres!$A$1:$I$89,3,0)*0.475*44/12</f>
        <v>1.1603138764392024E-22</v>
      </c>
      <c r="BS198" s="24">
        <f t="shared" si="169"/>
        <v>21.152521912659935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475</v>
      </c>
      <c r="BZ198" s="14">
        <f>BY198*VLOOKUP('Données projet'!$B$12,Paramètres!$A$1:$I$89,3,0)*VLOOKUP('Données projet'!$B$12,Paramètres!$A$1:$I$89,5,0)</f>
        <v>407.55</v>
      </c>
      <c r="CA198" s="14">
        <f t="shared" si="170"/>
        <v>93.305642095357683</v>
      </c>
      <c r="CB198" s="22">
        <f t="shared" si="171"/>
        <v>872.32357664941446</v>
      </c>
      <c r="CC198" s="62">
        <f t="shared" si="195"/>
        <v>1162.6356957663329</v>
      </c>
      <c r="CD198" s="62">
        <f ca="1">AVERAGE(OFFSET($CC$3,0,0,'Données projet'!$E$12+1,1))-AVERAGE(OFFSET($H$3,0,0,'Données projet'!$E$12+1,1))</f>
        <v>590.18141384962507</v>
      </c>
      <c r="CE198" s="62">
        <f t="shared" si="207"/>
        <v>331.25104323342907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69.427681481854833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69.427681481854833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4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-178.57392686804454</v>
      </c>
      <c r="O199" s="14">
        <f>N199*VLOOKUP('Données projet'!$B$9,Paramètres!$A$1:$I$89,3,0)*VLOOKUP('Données projet'!$B$9,Paramètres!$A$1:$I$89,5,0)</f>
        <v>-161.57368903020668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432.80275651765203</v>
      </c>
      <c r="T199" s="62">
        <f t="shared" si="204"/>
        <v>203.89279893419919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142.12968884743668</v>
      </c>
      <c r="AA199" s="23">
        <f>EXP(-LN(2)/25)*AA198+(1-EXP(-LN(2)/25))/(LN(2)/25)*Calculateur!V199*Calculateur!X199*VLOOKUP('Données projet'!$B$9,Paramètres!$A$1:$I$89,3,0)*0.475*44/12</f>
        <v>15.037913899255541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157.16760274669221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1.9895196601282805E-13</v>
      </c>
      <c r="AJ199" s="14">
        <f>AI199*VLOOKUP('Données projet'!$B$10,Paramètres!$A$1:$I$89,3,0)*VLOOKUP('Données projet'!$B$10,Paramètres!$A$1:$I$89,5,0)</f>
        <v>1.738044375088066E-13</v>
      </c>
      <c r="AK199" s="14">
        <f t="shared" si="164"/>
        <v>2.4483293633950478E-12</v>
      </c>
      <c r="AL199" s="22">
        <f t="shared" si="165"/>
        <v>4.566883036574213E-12</v>
      </c>
      <c r="AM199" s="62">
        <f t="shared" si="193"/>
        <v>290.36453042915474</v>
      </c>
      <c r="AN199" s="62">
        <f ca="1">AVERAGE(OFFSET($AM$3,0,0,'Données projet'!$E$10+1,1))-AVERAGE(OFFSET($H$3,0,0,'Données projet'!$E$10+1,1))</f>
        <v>341.62910675299065</v>
      </c>
      <c r="AO199" s="62">
        <f t="shared" si="205"/>
        <v>407.15938341104709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8.5274573121235591</v>
      </c>
      <c r="AV199" s="23">
        <f>EXP(-LN(2)/25)*AV198+(1-EXP(-LN(2)/25))/(LN(2)/25)*Calculateur!AQ199*Calculateur!AS199*VLOOKUP('Données projet'!$B$10,Paramètres!$A$1:$I$89,3,0)*0.475*44/12</f>
        <v>1.6945777709023535</v>
      </c>
      <c r="AW199" s="23">
        <f>EXP(-LN(2)/2)*AW198+(1-EXP(-LN(2)/2))/(LN(2)/2)*AQ199*AT199*VLOOKUP('Données projet'!$B$10,Paramètres!$A$1:$I$89,3,0)*0.475*44/12</f>
        <v>4.5384371007380126E-20</v>
      </c>
      <c r="AX199" s="23">
        <f t="shared" si="166"/>
        <v>10.222035083025913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1.6405010683229191E-13</v>
      </c>
      <c r="BF199" s="14">
        <f t="shared" si="167"/>
        <v>2.3265121008813928E-12</v>
      </c>
      <c r="BG199" s="22">
        <f t="shared" si="168"/>
        <v>4.337729178434667E-12</v>
      </c>
      <c r="BH199" s="62">
        <f t="shared" si="194"/>
        <v>290.36453042915451</v>
      </c>
      <c r="BI199" s="62">
        <f ca="1">AVERAGE(OFFSET($BH$3,0,0,'Données projet'!$E$11+1,1))-AVERAGE(OFFSET($H$3,0,0,'Données projet'!$E$11+1,1))</f>
        <v>405.94837980869011</v>
      </c>
      <c r="BJ199" s="62">
        <f t="shared" si="206"/>
        <v>511.37583835090879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20.227884803529776</v>
      </c>
      <c r="BQ199" s="23">
        <f>EXP(-LN(2)/25)*BQ198+(1-EXP(-LN(2)/25))/(LN(2)/25)*Calculateur!BL199*Calculateur!BN199*VLOOKUP('Données projet'!$B$11,Paramètres!$A$1:$I$89,3,0)*0.475*44/12</f>
        <v>0.50582614919633861</v>
      </c>
      <c r="BR199" s="23">
        <f>EXP(-LN(2)/2)*BR198+(1-EXP(-LN(2)/2))/(LN(2)/2)*BL199*BO199*VLOOKUP('Données projet'!$B$11,Paramètres!$A$1:$I$89,3,0)*0.475*44/12</f>
        <v>8.2046581033500983E-23</v>
      </c>
      <c r="BS199" s="24">
        <f t="shared" si="169"/>
        <v>20.733710952726113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475</v>
      </c>
      <c r="BZ199" s="14">
        <f>BY199*VLOOKUP('Données projet'!$B$12,Paramètres!$A$1:$I$89,3,0)*VLOOKUP('Données projet'!$B$12,Paramètres!$A$1:$I$89,5,0)</f>
        <v>407.55</v>
      </c>
      <c r="CA199" s="14">
        <f t="shared" si="170"/>
        <v>93.305642095357683</v>
      </c>
      <c r="CB199" s="22">
        <f t="shared" si="171"/>
        <v>872.32357664941446</v>
      </c>
      <c r="CC199" s="62">
        <f t="shared" si="195"/>
        <v>1162.6881070785646</v>
      </c>
      <c r="CD199" s="62">
        <f ca="1">AVERAGE(OFFSET($CC$3,0,0,'Données projet'!$E$12+1,1))-AVERAGE(OFFSET($H$3,0,0,'Données projet'!$E$12+1,1))</f>
        <v>590.18141384962507</v>
      </c>
      <c r="CE199" s="62">
        <f t="shared" si="207"/>
        <v>331.25104323342907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68.066246994699981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68.066246994699981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4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-178.57392686804454</v>
      </c>
      <c r="O200" s="14">
        <f>N200*VLOOKUP('Données projet'!$B$9,Paramètres!$A$1:$I$89,3,0)*VLOOKUP('Données projet'!$B$9,Paramètres!$A$1:$I$89,5,0)</f>
        <v>-161.57368903020668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432.80275651765203</v>
      </c>
      <c r="T200" s="62">
        <f t="shared" si="204"/>
        <v>203.89279893419919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139.34261233968866</v>
      </c>
      <c r="AA200" s="23">
        <f>EXP(-LN(2)/25)*AA199+(1-EXP(-LN(2)/25))/(LN(2)/25)*Calculateur!V200*Calculateur!X200*VLOOKUP('Données projet'!$B$9,Paramètres!$A$1:$I$89,3,0)*0.475*44/12</f>
        <v>14.626701352870876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153.96931369255952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1.9895196601282805E-13</v>
      </c>
      <c r="AJ200" s="14">
        <f>AI200*VLOOKUP('Données projet'!$B$10,Paramètres!$A$1:$I$89,3,0)*VLOOKUP('Données projet'!$B$10,Paramètres!$A$1:$I$89,5,0)</f>
        <v>1.738044375088066E-13</v>
      </c>
      <c r="AK200" s="14">
        <f t="shared" si="164"/>
        <v>2.4483293633950478E-12</v>
      </c>
      <c r="AL200" s="22">
        <f t="shared" si="165"/>
        <v>4.566883036574213E-12</v>
      </c>
      <c r="AM200" s="62">
        <f t="shared" si="193"/>
        <v>290.41603252229334</v>
      </c>
      <c r="AN200" s="62">
        <f ca="1">AVERAGE(OFFSET($AM$3,0,0,'Données projet'!$E$10+1,1))-AVERAGE(OFFSET($H$3,0,0,'Données projet'!$E$10+1,1))</f>
        <v>341.62910675299065</v>
      </c>
      <c r="AO200" s="62">
        <f t="shared" si="205"/>
        <v>407.15938341104709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8.360239075468197</v>
      </c>
      <c r="AV200" s="23">
        <f>EXP(-LN(2)/25)*AV199+(1-EXP(-LN(2)/25))/(LN(2)/25)*Calculateur!AQ200*Calculateur!AS200*VLOOKUP('Données projet'!$B$10,Paramètres!$A$1:$I$89,3,0)*0.475*44/12</f>
        <v>1.6482394526430566</v>
      </c>
      <c r="AW200" s="23">
        <f>EXP(-LN(2)/2)*AW199+(1-EXP(-LN(2)/2))/(LN(2)/2)*AQ200*AT200*VLOOKUP('Données projet'!$B$10,Paramètres!$A$1:$I$89,3,0)*0.475*44/12</f>
        <v>3.2091596499204629E-20</v>
      </c>
      <c r="AX200" s="23">
        <f t="shared" si="166"/>
        <v>10.008478528111254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1.6405010683229191E-13</v>
      </c>
      <c r="BF200" s="14">
        <f t="shared" si="167"/>
        <v>2.3265121008813928E-12</v>
      </c>
      <c r="BG200" s="22">
        <f t="shared" si="168"/>
        <v>4.337729178434667E-12</v>
      </c>
      <c r="BH200" s="62">
        <f t="shared" si="194"/>
        <v>290.41603252229311</v>
      </c>
      <c r="BI200" s="62">
        <f ca="1">AVERAGE(OFFSET($BH$3,0,0,'Données projet'!$E$11+1,1))-AVERAGE(OFFSET($H$3,0,0,'Données projet'!$E$11+1,1))</f>
        <v>405.94837980869011</v>
      </c>
      <c r="BJ200" s="62">
        <f t="shared" si="206"/>
        <v>511.37583835090879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19.83122832032403</v>
      </c>
      <c r="BQ200" s="23">
        <f>EXP(-LN(2)/25)*BQ199+(1-EXP(-LN(2)/25))/(LN(2)/25)*Calculateur!BL200*Calculateur!BN200*VLOOKUP('Données projet'!$B$11,Paramètres!$A$1:$I$89,3,0)*0.475*44/12</f>
        <v>0.49199430654632365</v>
      </c>
      <c r="BR200" s="23">
        <f>EXP(-LN(2)/2)*BR199+(1-EXP(-LN(2)/2))/(LN(2)/2)*BL200*BO200*VLOOKUP('Données projet'!$B$11,Paramètres!$A$1:$I$89,3,0)*0.475*44/12</f>
        <v>5.8015693821960119E-23</v>
      </c>
      <c r="BS200" s="24">
        <f t="shared" si="169"/>
        <v>20.323222626870354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475</v>
      </c>
      <c r="BZ200" s="14">
        <f>BY200*VLOOKUP('Données projet'!$B$12,Paramètres!$A$1:$I$89,3,0)*VLOOKUP('Données projet'!$B$12,Paramètres!$A$1:$I$89,5,0)</f>
        <v>407.55</v>
      </c>
      <c r="CA200" s="14">
        <f t="shared" si="170"/>
        <v>93.305642095357683</v>
      </c>
      <c r="CB200" s="22">
        <f t="shared" si="171"/>
        <v>872.32357664941446</v>
      </c>
      <c r="CC200" s="62">
        <f t="shared" si="195"/>
        <v>1162.7396091717033</v>
      </c>
      <c r="CD200" s="62">
        <f ca="1">AVERAGE(OFFSET($CC$3,0,0,'Données projet'!$E$12+1,1))-AVERAGE(OFFSET($H$3,0,0,'Données projet'!$E$12+1,1))</f>
        <v>590.18141384962507</v>
      </c>
      <c r="CE200" s="62">
        <f t="shared" si="207"/>
        <v>331.25104323342907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66.731509407445188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66.731509407445188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4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-178.57392686804454</v>
      </c>
      <c r="O201" s="14">
        <f>N201*VLOOKUP('Données projet'!$B$9,Paramètres!$A$1:$I$89,3,0)*VLOOKUP('Données projet'!$B$9,Paramètres!$A$1:$I$89,5,0)</f>
        <v>-161.57368903020668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432.80275651765203</v>
      </c>
      <c r="T201" s="62">
        <f t="shared" si="204"/>
        <v>203.89279893419919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136.61018870230876</v>
      </c>
      <c r="AA201" s="23">
        <f>EXP(-LN(2)/25)*AA200+(1-EXP(-LN(2)/25))/(LN(2)/25)*Calculateur!V201*Calculateur!X201*VLOOKUP('Données projet'!$B$9,Paramètres!$A$1:$I$89,3,0)*0.475*44/12</f>
        <v>14.226733435191829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150.83692213750058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1.9895196601282805E-13</v>
      </c>
      <c r="AJ201" s="14">
        <f>AI201*VLOOKUP('Données projet'!$B$10,Paramètres!$A$1:$I$89,3,0)*VLOOKUP('Données projet'!$B$10,Paramètres!$A$1:$I$89,5,0)</f>
        <v>1.738044375088066E-13</v>
      </c>
      <c r="AK201" s="14">
        <f t="shared" si="164"/>
        <v>2.4483293633950478E-12</v>
      </c>
      <c r="AL201" s="22">
        <f t="shared" si="165"/>
        <v>4.566883036574213E-12</v>
      </c>
      <c r="AM201" s="62">
        <f t="shared" si="193"/>
        <v>290.46664116925746</v>
      </c>
      <c r="AN201" s="62">
        <f ca="1">AVERAGE(OFFSET($AM$3,0,0,'Données projet'!$E$10+1,1))-AVERAGE(OFFSET($H$3,0,0,'Données projet'!$E$10+1,1))</f>
        <v>341.62910675299065</v>
      </c>
      <c r="AO201" s="62">
        <f t="shared" si="205"/>
        <v>407.15938341104709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8.1962998864405936</v>
      </c>
      <c r="AV201" s="23">
        <f>EXP(-LN(2)/25)*AV200+(1-EXP(-LN(2)/25))/(LN(2)/25)*Calculateur!AQ201*Calculateur!AS201*VLOOKUP('Données projet'!$B$10,Paramètres!$A$1:$I$89,3,0)*0.475*44/12</f>
        <v>1.6031682581333866</v>
      </c>
      <c r="AW201" s="23">
        <f>EXP(-LN(2)/2)*AW200+(1-EXP(-LN(2)/2))/(LN(2)/2)*AQ201*AT201*VLOOKUP('Données projet'!$B$10,Paramètres!$A$1:$I$89,3,0)*0.475*44/12</f>
        <v>2.2692185503690063E-20</v>
      </c>
      <c r="AX201" s="23">
        <f t="shared" si="166"/>
        <v>9.7994681445739804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1.6405010683229191E-13</v>
      </c>
      <c r="BF201" s="14">
        <f t="shared" si="167"/>
        <v>2.3265121008813928E-12</v>
      </c>
      <c r="BG201" s="22">
        <f t="shared" si="168"/>
        <v>4.337729178434667E-12</v>
      </c>
      <c r="BH201" s="62">
        <f t="shared" si="194"/>
        <v>290.46664116925723</v>
      </c>
      <c r="BI201" s="62">
        <f ca="1">AVERAGE(OFFSET($BH$3,0,0,'Données projet'!$E$11+1,1))-AVERAGE(OFFSET($H$3,0,0,'Données projet'!$E$11+1,1))</f>
        <v>405.94837980869011</v>
      </c>
      <c r="BJ201" s="62">
        <f t="shared" si="206"/>
        <v>511.37583835090879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19.442350028817383</v>
      </c>
      <c r="BQ201" s="23">
        <f>EXP(-LN(2)/25)*BQ200+(1-EXP(-LN(2)/25))/(LN(2)/25)*Calculateur!BL201*Calculateur!BN201*VLOOKUP('Données projet'!$B$11,Paramètres!$A$1:$I$89,3,0)*0.475*44/12</f>
        <v>0.47854069636095831</v>
      </c>
      <c r="BR201" s="23">
        <f>EXP(-LN(2)/2)*BR200+(1-EXP(-LN(2)/2))/(LN(2)/2)*BL201*BO201*VLOOKUP('Données projet'!$B$11,Paramètres!$A$1:$I$89,3,0)*0.475*44/12</f>
        <v>4.1023290516750491E-23</v>
      </c>
      <c r="BS201" s="24">
        <f t="shared" si="169"/>
        <v>19.920890725178342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475</v>
      </c>
      <c r="BZ201" s="14">
        <f>BY201*VLOOKUP('Données projet'!$B$12,Paramètres!$A$1:$I$89,3,0)*VLOOKUP('Données projet'!$B$12,Paramètres!$A$1:$I$89,5,0)</f>
        <v>407.55</v>
      </c>
      <c r="CA201" s="14">
        <f t="shared" si="170"/>
        <v>93.305642095357683</v>
      </c>
      <c r="CB201" s="22">
        <f t="shared" si="171"/>
        <v>872.32357664941446</v>
      </c>
      <c r="CC201" s="62">
        <f t="shared" si="195"/>
        <v>1162.7902178186673</v>
      </c>
      <c r="CD201" s="62">
        <f ca="1">AVERAGE(OFFSET($CC$3,0,0,'Données projet'!$E$12+1,1))-AVERAGE(OFFSET($H$3,0,0,'Données projet'!$E$12+1,1))</f>
        <v>590.18141384962507</v>
      </c>
      <c r="CE201" s="62">
        <f t="shared" si="207"/>
        <v>331.25104323342907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65.422945210166915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65.422945210166915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4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-178.57392686804454</v>
      </c>
      <c r="O202" s="14">
        <f>N202*VLOOKUP('Données projet'!$B$9,Paramètres!$A$1:$I$89,3,0)*VLOOKUP('Données projet'!$B$9,Paramètres!$A$1:$I$89,5,0)</f>
        <v>-161.57368903020668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432.80275651765203</v>
      </c>
      <c r="T202" s="62">
        <f t="shared" si="204"/>
        <v>203.89279893419919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133.93134622584404</v>
      </c>
      <c r="AA202" s="23">
        <f>EXP(-LN(2)/25)*AA201+(1-EXP(-LN(2)/25))/(LN(2)/25)*Calculateur!V202*Calculateur!X202*VLOOKUP('Données projet'!$B$9,Paramètres!$A$1:$I$89,3,0)*0.475*44/12</f>
        <v>13.837702661255113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147.76904888709916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1.9895196601282805E-13</v>
      </c>
      <c r="AJ202" s="14">
        <f>AI202*VLOOKUP('Données projet'!$B$10,Paramètres!$A$1:$I$89,3,0)*VLOOKUP('Données projet'!$B$10,Paramètres!$A$1:$I$89,5,0)</f>
        <v>1.738044375088066E-13</v>
      </c>
      <c r="AK202" s="14">
        <f t="shared" si="164"/>
        <v>2.4483293633950478E-12</v>
      </c>
      <c r="AL202" s="22">
        <f t="shared" si="165"/>
        <v>4.566883036574213E-12</v>
      </c>
      <c r="AM202" s="62">
        <f t="shared" si="193"/>
        <v>290.51637186934067</v>
      </c>
      <c r="AN202" s="62">
        <f ca="1">AVERAGE(OFFSET($AM$3,0,0,'Données projet'!$E$10+1,1))-AVERAGE(OFFSET($H$3,0,0,'Données projet'!$E$10+1,1))</f>
        <v>341.62910675299065</v>
      </c>
      <c r="AO202" s="62">
        <f t="shared" si="205"/>
        <v>407.15938341104709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8.0355754449167893</v>
      </c>
      <c r="AV202" s="23">
        <f>EXP(-LN(2)/25)*AV201+(1-EXP(-LN(2)/25))/(LN(2)/25)*Calculateur!AQ202*Calculateur!AS202*VLOOKUP('Données projet'!$B$10,Paramètres!$A$1:$I$89,3,0)*0.475*44/12</f>
        <v>1.5593295378077745</v>
      </c>
      <c r="AW202" s="23">
        <f>EXP(-LN(2)/2)*AW201+(1-EXP(-LN(2)/2))/(LN(2)/2)*AQ202*AT202*VLOOKUP('Données projet'!$B$10,Paramètres!$A$1:$I$89,3,0)*0.475*44/12</f>
        <v>1.6045798249602315E-20</v>
      </c>
      <c r="AX202" s="23">
        <f t="shared" si="166"/>
        <v>9.5949049827245645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1.6405010683229191E-13</v>
      </c>
      <c r="BF202" s="14">
        <f t="shared" si="167"/>
        <v>2.3265121008813928E-12</v>
      </c>
      <c r="BG202" s="22">
        <f t="shared" si="168"/>
        <v>4.337729178434667E-12</v>
      </c>
      <c r="BH202" s="62">
        <f t="shared" si="194"/>
        <v>290.51637186934045</v>
      </c>
      <c r="BI202" s="62">
        <f ca="1">AVERAGE(OFFSET($BH$3,0,0,'Données projet'!$E$11+1,1))-AVERAGE(OFFSET($H$3,0,0,'Données projet'!$E$11+1,1))</f>
        <v>405.94837980869011</v>
      </c>
      <c r="BJ202" s="62">
        <f t="shared" si="206"/>
        <v>511.37583835090879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19.061097403414845</v>
      </c>
      <c r="BQ202" s="23">
        <f>EXP(-LN(2)/25)*BQ201+(1-EXP(-LN(2)/25))/(LN(2)/25)*Calculateur!BL202*Calculateur!BN202*VLOOKUP('Données projet'!$B$11,Paramètres!$A$1:$I$89,3,0)*0.475*44/12</f>
        <v>0.4654549758536064</v>
      </c>
      <c r="BR202" s="23">
        <f>EXP(-LN(2)/2)*BR201+(1-EXP(-LN(2)/2))/(LN(2)/2)*BL202*BO202*VLOOKUP('Données projet'!$B$11,Paramètres!$A$1:$I$89,3,0)*0.475*44/12</f>
        <v>2.900784691098006E-23</v>
      </c>
      <c r="BS202" s="24">
        <f t="shared" si="169"/>
        <v>19.526552379268452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475</v>
      </c>
      <c r="BZ202" s="14">
        <f>BY202*VLOOKUP('Données projet'!$B$12,Paramètres!$A$1:$I$89,3,0)*VLOOKUP('Données projet'!$B$12,Paramètres!$A$1:$I$89,5,0)</f>
        <v>407.55</v>
      </c>
      <c r="CA202" s="14">
        <f t="shared" si="170"/>
        <v>93.305642095357683</v>
      </c>
      <c r="CB202" s="22">
        <f t="shared" si="171"/>
        <v>872.32357664941446</v>
      </c>
      <c r="CC202" s="62">
        <f t="shared" si="195"/>
        <v>1162.8399485187506</v>
      </c>
      <c r="CD202" s="62">
        <f ca="1">AVERAGE(OFFSET($CC$3,0,0,'Données projet'!$E$12+1,1))-AVERAGE(OFFSET($H$3,0,0,'Données projet'!$E$12+1,1))</f>
        <v>590.18141384962507</v>
      </c>
      <c r="CE202" s="62">
        <f t="shared" si="207"/>
        <v>331.25104323342907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64.140041158651925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64.140041158651925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4.65" thickBot="1" x14ac:dyDescent="0.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-178.57392686804454</v>
      </c>
      <c r="O203" s="14">
        <f>N203*VLOOKUP('Données projet'!$B$9,Paramètres!$A$1:$I$89,3,0)*VLOOKUP('Données projet'!$B$9,Paramètres!$A$1:$I$89,5,0)</f>
        <v>-161.57368903020668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432.80275651765203</v>
      </c>
      <c r="T203" s="62">
        <f t="shared" si="204"/>
        <v>203.89279893419919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131.30503421641021</v>
      </c>
      <c r="AA203" s="23">
        <f>EXP(-LN(2)/25)*AA202+(1-EXP(-LN(2)/25))/(LN(2)/25)*Calculateur!V203*Calculateur!X203*VLOOKUP('Données projet'!$B$9,Paramètres!$A$1:$I$89,3,0)*0.475*44/12</f>
        <v>13.459309954289935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144.76434417070016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1.9895196601282805E-13</v>
      </c>
      <c r="AJ203" s="14">
        <f>AI203*VLOOKUP('Données projet'!$B$10,Paramètres!$A$1:$I$89,3,0)*VLOOKUP('Données projet'!$B$10,Paramètres!$A$1:$I$89,5,0)</f>
        <v>1.738044375088066E-13</v>
      </c>
      <c r="AK203" s="14">
        <f t="shared" si="164"/>
        <v>2.4483293633950478E-12</v>
      </c>
      <c r="AL203" s="22">
        <f t="shared" si="165"/>
        <v>4.566883036574213E-12</v>
      </c>
      <c r="AM203" s="62">
        <f t="shared" si="193"/>
        <v>290.56523985295865</v>
      </c>
      <c r="AN203" s="62">
        <f ca="1">AVERAGE(OFFSET($AM$3,0,0,'Données projet'!$E$10+1,1))-AVERAGE(OFFSET($H$3,0,0,'Données projet'!$E$10+1,1))</f>
        <v>341.62910675299065</v>
      </c>
      <c r="AO203" s="62">
        <f t="shared" si="205"/>
        <v>407.15938341104709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7.8780027116590379</v>
      </c>
      <c r="AV203" s="23">
        <f>EXP(-LN(2)/25)*AV202+(1-EXP(-LN(2)/25))/(LN(2)/25)*Calculateur!AQ203*Calculateur!AS203*VLOOKUP('Données projet'!$B$10,Paramètres!$A$1:$I$89,3,0)*0.475*44/12</f>
        <v>1.5166895895948445</v>
      </c>
      <c r="AW203" s="23">
        <f>EXP(-LN(2)/2)*AW202+(1-EXP(-LN(2)/2))/(LN(2)/2)*AQ203*AT203*VLOOKUP('Données projet'!$B$10,Paramètres!$A$1:$I$89,3,0)*0.475*44/12</f>
        <v>1.1346092751845031E-20</v>
      </c>
      <c r="AX203" s="23">
        <f t="shared" si="166"/>
        <v>9.3946923012538832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1.6405010683229191E-13</v>
      </c>
      <c r="BF203" s="14">
        <f t="shared" si="167"/>
        <v>2.3265121008813928E-12</v>
      </c>
      <c r="BG203" s="22">
        <f t="shared" si="168"/>
        <v>4.337729178434667E-12</v>
      </c>
      <c r="BH203" s="62">
        <f t="shared" si="194"/>
        <v>290.56523985295843</v>
      </c>
      <c r="BI203" s="62">
        <f ca="1">AVERAGE(OFFSET($BH$3,0,0,'Données projet'!$E$11+1,1))-AVERAGE(OFFSET($H$3,0,0,'Données projet'!$E$11+1,1))</f>
        <v>405.94837980869011</v>
      </c>
      <c r="BJ203" s="62">
        <f t="shared" si="206"/>
        <v>511.37583835090879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18.687320909455313</v>
      </c>
      <c r="BQ203" s="23">
        <f>EXP(-LN(2)/25)*BQ202+(1-EXP(-LN(2)/25))/(LN(2)/25)*Calculateur!BL203*Calculateur!BN203*VLOOKUP('Données projet'!$B$11,Paramètres!$A$1:$I$89,3,0)*0.475*44/12</f>
        <v>0.45272708506167614</v>
      </c>
      <c r="BR203" s="23">
        <f>EXP(-LN(2)/2)*BR202+(1-EXP(-LN(2)/2))/(LN(2)/2)*BL203*BO203*VLOOKUP('Données projet'!$B$11,Paramètres!$A$1:$I$89,3,0)*0.475*44/12</f>
        <v>2.0511645258375246E-23</v>
      </c>
      <c r="BS203" s="24">
        <f t="shared" si="169"/>
        <v>19.140047994516987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475</v>
      </c>
      <c r="BZ203" s="14">
        <f>BY203*VLOOKUP('Données projet'!$B$12,Paramètres!$A$1:$I$89,3,0)*VLOOKUP('Données projet'!$B$12,Paramètres!$A$1:$I$89,5,0)</f>
        <v>407.55</v>
      </c>
      <c r="CA203" s="14">
        <f t="shared" si="170"/>
        <v>93.305642095357683</v>
      </c>
      <c r="CB203" s="22">
        <f t="shared" si="171"/>
        <v>872.32357664941446</v>
      </c>
      <c r="CC203" s="62">
        <f t="shared" si="195"/>
        <v>1162.8888165023686</v>
      </c>
      <c r="CD203" s="62">
        <f ca="1">AVERAGE(OFFSET($CC$3,0,0,'Données projet'!$E$12+1,1))-AVERAGE(OFFSET($H$3,0,0,'Données projet'!$E$12+1,1))</f>
        <v>590.18141384962507</v>
      </c>
      <c r="CE203" s="62">
        <f t="shared" si="207"/>
        <v>331.25104323342907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62.882294073092936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62.882294073092936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4.65" thickBot="1" x14ac:dyDescent="0.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4.65" thickBot="1" x14ac:dyDescent="0.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1.097634537603984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1.3467943429205997</v>
      </c>
      <c r="BA205" s="88">
        <f>EXP(LN('Données projet'!B88)/'Données projet'!A88)</f>
        <v>1.2641898079122342</v>
      </c>
      <c r="BV205" s="88">
        <f>EXP(LN('Données projet'!B114)/'Données projet'!A114)</f>
        <v>1.2072936577030884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3984375" defaultRowHeight="14.25" x14ac:dyDescent="0.45"/>
  <cols>
    <col min="1" max="1" width="23.3984375" style="5" bestFit="1" customWidth="1"/>
    <col min="2" max="2" width="27.73046875" style="5" bestFit="1" customWidth="1"/>
    <col min="3" max="3" width="11.86328125" style="5" bestFit="1" customWidth="1"/>
    <col min="4" max="4" width="40" style="5" bestFit="1" customWidth="1"/>
    <col min="5" max="5" width="11.86328125" style="5" bestFit="1" customWidth="1"/>
    <col min="6" max="6" width="13.73046875" style="5" bestFit="1" customWidth="1"/>
    <col min="7" max="7" width="11.3984375" style="5" bestFit="1" customWidth="1"/>
    <col min="8" max="8" width="39" style="5" bestFit="1" customWidth="1"/>
    <col min="9" max="9" width="16.73046875" style="5" customWidth="1"/>
    <col min="10" max="14" width="11.3984375" style="5"/>
    <col min="15" max="15" width="23.3984375" style="5" bestFit="1" customWidth="1"/>
    <col min="16" max="16384" width="11.3984375" style="5"/>
  </cols>
  <sheetData>
    <row r="1" spans="1:16" ht="43.15" thickBot="1" x14ac:dyDescent="0.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4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4.65" thickBot="1" x14ac:dyDescent="0.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4.65" thickBot="1" x14ac:dyDescent="0.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4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4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4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4.65" thickBot="1" x14ac:dyDescent="0.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4.65" thickBot="1" x14ac:dyDescent="0.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4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4.65" thickBot="1" x14ac:dyDescent="0.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4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4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4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4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4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4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4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4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4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4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4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4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4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4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4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4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4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4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4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4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4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4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4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4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4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4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4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4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4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4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4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4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4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4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4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4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4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4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4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4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4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4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4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4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4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4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4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4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4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4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4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4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4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4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4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4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4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4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4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4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4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4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4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4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4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4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4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4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4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4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4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4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4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4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4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4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4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4.65" thickBot="1" x14ac:dyDescent="0.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45">
      <c r="A93" s="131" t="s">
        <v>208</v>
      </c>
    </row>
    <row r="94" spans="1:14" x14ac:dyDescent="0.45">
      <c r="A94" s="131" t="s">
        <v>209</v>
      </c>
    </row>
    <row r="95" spans="1:14" x14ac:dyDescent="0.4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zoomScale="70" zoomScaleNormal="70" workbookViewId="0">
      <selection activeCell="N16" sqref="N16"/>
    </sheetView>
  </sheetViews>
  <sheetFormatPr baseColWidth="10" defaultColWidth="11.3984375" defaultRowHeight="14.25" x14ac:dyDescent="0.45"/>
  <cols>
    <col min="1" max="1" width="22.86328125" style="1" bestFit="1" customWidth="1"/>
    <col min="2" max="2" width="10.59765625" style="1" bestFit="1" customWidth="1"/>
    <col min="3" max="3" width="15.59765625" style="1" bestFit="1" customWidth="1"/>
    <col min="4" max="4" width="13.3984375" style="1" bestFit="1" customWidth="1"/>
    <col min="5" max="8" width="11.3984375" style="1"/>
    <col min="9" max="13" width="11.3984375" style="65"/>
    <col min="14" max="15" width="11.3984375" style="1"/>
    <col min="16" max="17" width="13.3984375" style="1" customWidth="1"/>
    <col min="18" max="16384" width="11.3984375" style="1"/>
  </cols>
  <sheetData>
    <row r="1" spans="1:62" ht="14.65" thickBot="1" x14ac:dyDescent="0.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5.9" thickBot="1" x14ac:dyDescent="0.8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4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4.65" thickBot="1" x14ac:dyDescent="0.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7.4" thickBot="1" x14ac:dyDescent="0.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45">
      <c r="A6" s="154" t="str">
        <f>IF('Données projet'!$B$9="","",'Données projet'!$B$9)</f>
        <v>Chêne sessile</v>
      </c>
      <c r="B6" s="155">
        <f>'Données projet'!D9</f>
        <v>5.6178800000000004</v>
      </c>
      <c r="C6" s="156">
        <f ca="1">IF(OR('Données projet'!B9="",'Données projet'!C9="",'Données projet'!C9=0%),0,Calculateur!S3)</f>
        <v>432.80275651765203</v>
      </c>
      <c r="D6" s="156">
        <f>IF(OR('Données projet'!B9="",'Données projet'!C9="",'Données projet'!C9=0%),0,Calculateur!T3)</f>
        <v>203.89279893419919</v>
      </c>
      <c r="E6" s="156">
        <f ca="1">MIN(C6,D6)</f>
        <v>203.89279893419919</v>
      </c>
      <c r="F6" s="156">
        <f ca="1">E6*B6</f>
        <v>1145.4452772764591</v>
      </c>
      <c r="G6" s="156">
        <f ca="1">F6*(100%-'Données projet'!$C$24)*(100%-'Données projet'!$C$25)*(100%-'Données projet'!$C$26)*(100%-'Données projet'!$C$27)</f>
        <v>1030.9007495488133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1030.9007495488133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45">
      <c r="A7" s="162" t="str">
        <f>IF('Données projet'!$B$10="","",'Données projet'!$B$10)</f>
        <v>Chêne rouge d'Amérique</v>
      </c>
      <c r="B7" s="163">
        <f>'Données projet'!D10</f>
        <v>0.86622999999999994</v>
      </c>
      <c r="C7" s="156">
        <f ca="1">IF(OR('Données projet'!B10="",'Données projet'!C10="",'Données projet'!C10=0%),0,Calculateur!AN3)</f>
        <v>341.62910675299065</v>
      </c>
      <c r="D7" s="156">
        <f>IF(OR('Données projet'!B10="",'Données projet'!C10="",'Données projet'!C10=0%),0,Calculateur!AO3)</f>
        <v>407.15938341104709</v>
      </c>
      <c r="E7" s="156">
        <f t="shared" ref="E7:E15" ca="1" si="0">MIN(C7,D7)</f>
        <v>341.62910675299065</v>
      </c>
      <c r="F7" s="156">
        <f t="shared" ref="F7:F15" ca="1" si="1">E7*B7</f>
        <v>295.92938114264308</v>
      </c>
      <c r="G7" s="156">
        <f ca="1">F7*(100%-'Données projet'!$C$24)*(100%-'Données projet'!$C$25)*(100%-'Données projet'!$C$26)*(100%-'Données projet'!$C$27)</f>
        <v>266.33644302837877</v>
      </c>
      <c r="H7" s="164">
        <f>IF(OR('Données projet'!B10="",'Données projet'!C10="",'Données projet'!C10=0%),0,AVERAGE(Calculateur!$AX$3:$AX$33)*B7)</f>
        <v>4.0681721250609346</v>
      </c>
      <c r="I7" s="158">
        <f>H7*(100%-'Données projet'!$C$24)*(100%-'Données projet'!$C$25)*(100%-'Données projet'!$C$26)*(100%-'Données projet'!$C$27)</f>
        <v>3.6613549125548412</v>
      </c>
      <c r="J7" s="159">
        <f>IF(OR('Données projet'!B10="",'Données projet'!C10="",'Données projet'!C10=0%),0,SUM(Calculateur!$AQ$3:$AQ$33)*VLOOKUP('Données projet'!$B$10,Paramètres!$A$1:$I$89,9,0)*B7)</f>
        <v>32.916739999999997</v>
      </c>
      <c r="K7" s="160">
        <f>J7*(100%-'Données projet'!$C$24)*(100%-'Données projet'!$C$25)*(100%-'Données projet'!$C$26)*(100%-'Données projet'!$C$27)</f>
        <v>29.625065999999997</v>
      </c>
      <c r="L7" s="161">
        <f t="shared" ref="L7:L15" ca="1" si="2">G7+I7+K7</f>
        <v>299.6228639409336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45">
      <c r="A8" s="162" t="str">
        <f>IF('Données projet'!$B$11="","",'Données projet'!$B$11)</f>
        <v>Sapin de Nordmann</v>
      </c>
      <c r="B8" s="163">
        <f>'Données projet'!D11</f>
        <v>0.84100000000000008</v>
      </c>
      <c r="C8" s="156">
        <f ca="1">IF(OR('Données projet'!B11="",'Données projet'!C11="",'Données projet'!C11=0%),0,Calculateur!BI3)</f>
        <v>405.94837980869011</v>
      </c>
      <c r="D8" s="156">
        <f>IF(OR('Données projet'!B11="",'Données projet'!C11="",'Données projet'!C11=0%),0,Calculateur!BJ3)</f>
        <v>511.37583835090879</v>
      </c>
      <c r="E8" s="156">
        <f t="shared" ca="1" si="0"/>
        <v>405.94837980869011</v>
      </c>
      <c r="F8" s="156">
        <f t="shared" ca="1" si="1"/>
        <v>341.40258741910839</v>
      </c>
      <c r="G8" s="156">
        <f ca="1">F8*(100%-'Données projet'!$C$24)*(100%-'Données projet'!$C$25)*(100%-'Données projet'!$C$26)*(100%-'Données projet'!$C$27)</f>
        <v>307.26232867719756</v>
      </c>
      <c r="H8" s="164">
        <f>IF(OR('Données projet'!B11="",'Données projet'!C11="",'Données projet'!C11=0%),0,AVERAGE(Calculateur!$BS$3:$BS$33)*B8)</f>
        <v>0.7856585400935775</v>
      </c>
      <c r="I8" s="158">
        <f>H8*(100%-'Données projet'!$C$24)*(100%-'Données projet'!$C$25)*(100%-'Données projet'!$C$26)*(100%-'Données projet'!$C$27)</f>
        <v>0.70709268608421971</v>
      </c>
      <c r="J8" s="159">
        <f>IF(OR('Données projet'!B11="",'Données projet'!C11="",'Données projet'!C11=0%),0,SUM(Calculateur!$BL$3:$BL$33)*VLOOKUP('Données projet'!$B$11,Paramètres!$A$1:$I$89,9,0)*B8)</f>
        <v>24.952470000000002</v>
      </c>
      <c r="K8" s="160">
        <f>J8*(100%-'Données projet'!$C$24)*(100%-'Données projet'!$C$25)*(100%-'Données projet'!$C$26)*(100%-'Données projet'!$C$27)</f>
        <v>22.457223000000003</v>
      </c>
      <c r="L8" s="161">
        <f t="shared" ca="1" si="2"/>
        <v>330.42664436328175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45">
      <c r="A9" s="162" t="str">
        <f>IF('Données projet'!$B$12="","",'Données projet'!$B$12)</f>
        <v>Hêtre</v>
      </c>
      <c r="B9" s="163">
        <f>'Données projet'!D12</f>
        <v>1.0848900000000001</v>
      </c>
      <c r="C9" s="156">
        <f ca="1">IF(OR('Données projet'!B12="",'Données projet'!C12="",'Données projet'!C12=0%),0,Calculateur!CD3)</f>
        <v>590.18141384962507</v>
      </c>
      <c r="D9" s="156">
        <f>IF(OR('Données projet'!B12="",'Données projet'!C12="",'Données projet'!C12=0%),0,Calculateur!CE3)</f>
        <v>331.25104323342907</v>
      </c>
      <c r="E9" s="156">
        <f t="shared" ca="1" si="0"/>
        <v>331.25104323342907</v>
      </c>
      <c r="F9" s="156">
        <f t="shared" ca="1" si="1"/>
        <v>359.37094429351492</v>
      </c>
      <c r="G9" s="156">
        <f ca="1">F9*(100%-'Données projet'!$C$24)*(100%-'Données projet'!$C$25)*(100%-'Données projet'!$C$26)*(100%-'Données projet'!$C$27)</f>
        <v>323.43384986416345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16.544572500000001</v>
      </c>
      <c r="K9" s="160">
        <f>J9*(100%-'Données projet'!$C$24)*(100%-'Données projet'!$C$25)*(100%-'Données projet'!$C$26)*(100%-'Données projet'!$C$27)</f>
        <v>14.890115250000001</v>
      </c>
      <c r="L9" s="161">
        <f t="shared" ca="1" si="2"/>
        <v>338.32396511416346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4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4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4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4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4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4.65" thickBot="1" x14ac:dyDescent="0.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4.65" thickBot="1" x14ac:dyDescent="0.5">
      <c r="A16" s="226"/>
      <c r="B16" s="233"/>
      <c r="C16" s="234"/>
      <c r="D16" s="25"/>
      <c r="E16" s="25"/>
      <c r="F16" s="174">
        <f t="shared" ref="F16:L16" ca="1" si="3">SUM(F6:F15)</f>
        <v>2142.1481901317256</v>
      </c>
      <c r="G16" s="175">
        <f t="shared" ca="1" si="3"/>
        <v>1927.9333711185532</v>
      </c>
      <c r="H16" s="176">
        <f t="shared" si="3"/>
        <v>4.8538306651545122</v>
      </c>
      <c r="I16" s="176">
        <f t="shared" si="3"/>
        <v>4.3684475986390607</v>
      </c>
      <c r="J16" s="177">
        <f t="shared" si="3"/>
        <v>74.413782499999996</v>
      </c>
      <c r="K16" s="177">
        <f t="shared" si="3"/>
        <v>66.972404250000011</v>
      </c>
      <c r="L16" s="178">
        <f t="shared" ca="1" si="3"/>
        <v>1999.2742229671921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45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45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4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4.65" thickBot="1" x14ac:dyDescent="0.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4.65" thickBot="1" x14ac:dyDescent="0.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4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4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4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4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4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4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4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4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4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4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4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4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4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4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4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4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4.65" thickBot="1" x14ac:dyDescent="0.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4.65" thickBot="1" x14ac:dyDescent="0.5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4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4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4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4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4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4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4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4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4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4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4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4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4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4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4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4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4.65" thickBot="1" x14ac:dyDescent="0.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4.65" thickBot="1" x14ac:dyDescent="0.5">
      <c r="A57" s="179" t="str">
        <f>A8</f>
        <v>Sapin de Nordmann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4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4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4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4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4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4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4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4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4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4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4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4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4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4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4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4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4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4.65" thickBot="1" x14ac:dyDescent="0.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4.65" thickBot="1" x14ac:dyDescent="0.5">
      <c r="A76" s="179" t="str">
        <f>A9</f>
        <v>Hêtre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4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4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4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4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4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4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4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4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4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4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4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4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4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4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4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4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4.65" thickBot="1" x14ac:dyDescent="0.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4.65" thickBot="1" x14ac:dyDescent="0.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4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4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4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4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4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4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4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4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4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4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4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4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4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4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4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4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4.65" thickBot="1" x14ac:dyDescent="0.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4.65" thickBot="1" x14ac:dyDescent="0.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4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4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4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4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4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4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4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4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4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4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4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4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4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4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4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4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4.65" thickBot="1" x14ac:dyDescent="0.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4.65" thickBot="1" x14ac:dyDescent="0.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4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4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4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4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4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4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4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4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4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4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4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4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4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4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4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4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4.65" thickBot="1" x14ac:dyDescent="0.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4.65" thickBot="1" x14ac:dyDescent="0.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4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4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4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4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4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4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4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4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4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4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4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4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4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4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4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4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4.65" thickBot="1" x14ac:dyDescent="0.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4.65" thickBot="1" x14ac:dyDescent="0.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4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4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4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4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4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4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4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4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4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4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4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4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4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4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4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4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4.65" thickBot="1" x14ac:dyDescent="0.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4.65" thickBot="1" x14ac:dyDescent="0.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4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4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4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4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4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4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4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4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4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4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4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4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4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4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4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4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4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4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4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4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4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4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4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4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4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4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4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4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4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4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4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4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4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4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4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4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4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4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4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4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4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4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4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4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4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4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4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4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4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4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4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4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4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4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4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4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4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4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4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4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4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4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4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4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4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4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4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4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4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4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4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4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4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4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4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4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4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4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4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4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4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4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4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4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4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4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4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4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4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4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4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4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4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4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4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4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4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4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4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4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4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4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4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4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4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4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4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4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4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4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4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4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4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4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4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4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4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4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4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4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4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4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4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4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4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4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4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4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4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4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4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4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4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4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4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4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4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4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4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4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4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4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4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4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4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4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4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4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4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4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4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4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4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4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4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4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4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4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4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4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4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4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4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4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4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4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4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4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4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4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4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4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4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Q20" zoomScale="90" zoomScaleNormal="90" workbookViewId="0">
      <selection activeCell="T25" sqref="T25:V25"/>
    </sheetView>
  </sheetViews>
  <sheetFormatPr baseColWidth="10" defaultColWidth="11.3984375" defaultRowHeight="14.25" x14ac:dyDescent="0.45"/>
  <cols>
    <col min="1" max="1" width="11.3984375" style="1"/>
    <col min="2" max="2" width="30.86328125" style="1" bestFit="1" customWidth="1"/>
    <col min="3" max="3" width="18.1328125" style="1" bestFit="1" customWidth="1"/>
    <col min="4" max="5" width="11.3984375" style="1"/>
    <col min="6" max="6" width="14" style="3" customWidth="1"/>
    <col min="7" max="7" width="17.59765625" style="3" customWidth="1"/>
    <col min="8" max="8" width="21.73046875" style="1" customWidth="1"/>
    <col min="9" max="9" width="37" style="1" customWidth="1"/>
    <col min="10" max="10" width="11.3984375" style="1"/>
    <col min="11" max="11" width="8.86328125" style="1" customWidth="1"/>
    <col min="12" max="12" width="11.3984375" style="1"/>
    <col min="13" max="13" width="21" style="1" customWidth="1"/>
    <col min="14" max="16" width="11.3984375" style="1"/>
    <col min="17" max="17" width="8" style="1" customWidth="1"/>
    <col min="18" max="18" width="11.3984375" style="1"/>
    <col min="19" max="19" width="31" style="1" customWidth="1"/>
    <col min="20" max="20" width="18.1328125" style="1" customWidth="1"/>
    <col min="21" max="21" width="16.3984375" style="1" customWidth="1"/>
    <col min="22" max="22" width="17.86328125" style="1" customWidth="1"/>
    <col min="23" max="16384" width="11.3984375" style="1"/>
  </cols>
  <sheetData>
    <row r="1" spans="1:42" ht="14.65" thickBot="1" x14ac:dyDescent="0.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5.9" thickBot="1" x14ac:dyDescent="0.8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4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45">
      <c r="A4" s="99"/>
      <c r="B4" s="99"/>
      <c r="C4" s="99"/>
      <c r="D4" s="99"/>
      <c r="E4" s="99"/>
      <c r="G4" s="180"/>
      <c r="H4" s="342" t="s">
        <v>315</v>
      </c>
      <c r="I4" s="342"/>
      <c r="K4" s="339" t="s">
        <v>253</v>
      </c>
      <c r="L4" s="340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4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4.65" thickBot="1" x14ac:dyDescent="0.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8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1" t="s">
        <v>310</v>
      </c>
      <c r="S7" s="332"/>
      <c r="T7" s="332"/>
      <c r="U7" s="332"/>
      <c r="V7" s="333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4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4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4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176.74245068146115</v>
      </c>
      <c r="U10" s="190">
        <f>'Données projet'!D9</f>
        <v>5.6178800000000004</v>
      </c>
      <c r="V10" s="189">
        <f>U10*T10</f>
        <v>992.917878834367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4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1814.5146717889052</v>
      </c>
      <c r="U11" s="190">
        <f>'Données projet'!D10</f>
        <v>0.86622999999999994</v>
      </c>
      <c r="V11" s="189">
        <f t="shared" ref="V11" si="0">U11*T11</f>
        <v>1571.7870441437033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4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Sapin de Nordmann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4556.0806492337952</v>
      </c>
      <c r="U12" s="190">
        <f>'Données projet'!D11</f>
        <v>0.84100000000000008</v>
      </c>
      <c r="V12" s="189">
        <f t="shared" ref="V12:V19" si="1">U12*T12</f>
        <v>3831.663826005622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4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Hêtre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923.33069685229339</v>
      </c>
      <c r="U13" s="190">
        <f>'Données projet'!D12</f>
        <v>1.0848900000000001</v>
      </c>
      <c r="V13" s="189">
        <f t="shared" si="1"/>
        <v>1001.7122397080847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4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45">
      <c r="A15" s="5"/>
      <c r="B15" s="5"/>
      <c r="C15" s="5"/>
      <c r="D15" s="5"/>
      <c r="E15" s="5"/>
      <c r="F15" s="261"/>
      <c r="G15" s="343" t="s">
        <v>318</v>
      </c>
      <c r="H15" s="203">
        <v>1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4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3"/>
      <c r="H16" s="203"/>
      <c r="I16" s="204"/>
      <c r="J16" s="216"/>
      <c r="K16" s="225"/>
      <c r="L16" s="339" t="s">
        <v>254</v>
      </c>
      <c r="M16" s="340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4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3"/>
      <c r="J17" s="216"/>
      <c r="K17" s="225"/>
      <c r="L17" s="297" t="s">
        <v>289</v>
      </c>
      <c r="M17" s="299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4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3"/>
      <c r="J18" s="216"/>
      <c r="K18" s="225"/>
      <c r="L18" s="297" t="s">
        <v>255</v>
      </c>
      <c r="M18" s="299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4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3"/>
      <c r="H19" s="232" t="s">
        <v>178</v>
      </c>
      <c r="I19" s="232" t="s">
        <v>287</v>
      </c>
      <c r="J19" s="260"/>
      <c r="K19" s="183"/>
      <c r="L19" s="339" t="s">
        <v>288</v>
      </c>
      <c r="M19" s="340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4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3"/>
      <c r="H20" s="203">
        <v>1</v>
      </c>
      <c r="I20" s="204">
        <v>3768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4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375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4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375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45">
      <c r="A23" s="192">
        <f>'Données projet'!A36</f>
        <v>52</v>
      </c>
      <c r="B23" s="193">
        <f>'Données projet'!D36</f>
        <v>29</v>
      </c>
      <c r="C23" s="206"/>
      <c r="D23" s="194">
        <f>B23*C23</f>
        <v>0</v>
      </c>
      <c r="E23" s="206"/>
      <c r="F23" s="261"/>
      <c r="H23" s="203">
        <v>4</v>
      </c>
      <c r="I23" s="204">
        <v>375</v>
      </c>
      <c r="K23" s="225"/>
      <c r="L23" s="341" t="s">
        <v>260</v>
      </c>
      <c r="M23" s="341"/>
      <c r="N23" s="341"/>
      <c r="O23" s="25"/>
      <c r="P23" s="25"/>
      <c r="Q23" s="265"/>
      <c r="R23" s="25"/>
      <c r="S23" s="185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-31222.422678758099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45">
      <c r="A24" s="192">
        <f>'Données projet'!A37</f>
        <v>60</v>
      </c>
      <c r="B24" s="193">
        <f>'Données projet'!D37</f>
        <v>30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46151.933613869325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45">
      <c r="A25" s="192">
        <f>'Données projet'!A38</f>
        <v>68</v>
      </c>
      <c r="B25" s="193">
        <f>'Données projet'!D38</f>
        <v>31</v>
      </c>
      <c r="C25" s="206">
        <v>5</v>
      </c>
      <c r="D25" s="194">
        <f t="shared" si="2"/>
        <v>155</v>
      </c>
      <c r="E25" s="206">
        <v>60</v>
      </c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250</v>
      </c>
      <c r="Q25" s="265"/>
      <c r="R25" s="25"/>
      <c r="S25" s="198" t="s">
        <v>266</v>
      </c>
      <c r="T25" s="338">
        <f ca="1">T23-T24</f>
        <v>-77374.356292627432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45">
      <c r="A26" s="192">
        <f>'Données projet'!A39</f>
        <v>78</v>
      </c>
      <c r="B26" s="193">
        <f>'Données projet'!D39</f>
        <v>32</v>
      </c>
      <c r="C26" s="206">
        <v>5</v>
      </c>
      <c r="D26" s="194">
        <f t="shared" si="2"/>
        <v>160</v>
      </c>
      <c r="E26" s="206">
        <v>60</v>
      </c>
      <c r="F26" s="264"/>
      <c r="G26" s="259"/>
      <c r="H26" s="203"/>
      <c r="I26" s="204"/>
      <c r="K26" s="225"/>
      <c r="L26" s="325" t="s">
        <v>258</v>
      </c>
      <c r="M26" s="326"/>
      <c r="N26" s="326"/>
      <c r="O26" s="326"/>
      <c r="P26" s="327"/>
      <c r="Q26" s="265"/>
      <c r="R26" s="25"/>
      <c r="S26" s="198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45">
      <c r="A27" s="192">
        <f>'Données projet'!A40</f>
        <v>88</v>
      </c>
      <c r="B27" s="193">
        <f>'Données projet'!D40</f>
        <v>35</v>
      </c>
      <c r="C27" s="206">
        <v>5</v>
      </c>
      <c r="D27" s="194">
        <f t="shared" si="2"/>
        <v>175</v>
      </c>
      <c r="E27" s="206">
        <v>60</v>
      </c>
      <c r="F27" s="264"/>
      <c r="G27" s="259"/>
      <c r="H27" s="203"/>
      <c r="I27" s="204"/>
      <c r="K27" s="225"/>
      <c r="L27" s="328"/>
      <c r="M27" s="329"/>
      <c r="N27" s="329"/>
      <c r="O27" s="329"/>
      <c r="P27" s="330"/>
      <c r="Q27" s="265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45">
      <c r="A28" s="192">
        <f>'Données projet'!A41</f>
        <v>98</v>
      </c>
      <c r="B28" s="193">
        <f>'Données projet'!D41</f>
        <v>34</v>
      </c>
      <c r="C28" s="206">
        <v>20</v>
      </c>
      <c r="D28" s="194">
        <f t="shared" si="2"/>
        <v>680</v>
      </c>
      <c r="E28" s="206">
        <v>60</v>
      </c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45">
      <c r="A29" s="192">
        <f>'Données projet'!A42</f>
        <v>108</v>
      </c>
      <c r="B29" s="193">
        <f>'Données projet'!D42</f>
        <v>39</v>
      </c>
      <c r="C29" s="206">
        <v>150</v>
      </c>
      <c r="D29" s="194">
        <f t="shared" si="2"/>
        <v>5850</v>
      </c>
      <c r="E29" s="206">
        <v>60</v>
      </c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45">
      <c r="A30" s="192">
        <f>'Données projet'!A43</f>
        <v>118</v>
      </c>
      <c r="B30" s="193">
        <f>'Données projet'!D43</f>
        <v>40</v>
      </c>
      <c r="C30" s="206">
        <v>150</v>
      </c>
      <c r="D30" s="194">
        <f t="shared" si="2"/>
        <v>6000</v>
      </c>
      <c r="E30" s="206">
        <v>60</v>
      </c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5487.7447816729282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45">
      <c r="A31" s="192">
        <f>'Données projet'!A44</f>
        <v>128</v>
      </c>
      <c r="B31" s="193">
        <f>'Données projet'!D44</f>
        <v>39</v>
      </c>
      <c r="C31" s="206">
        <v>150</v>
      </c>
      <c r="D31" s="194">
        <f t="shared" si="2"/>
        <v>5850</v>
      </c>
      <c r="E31" s="206">
        <v>60</v>
      </c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45">
      <c r="A32" s="192">
        <f>'Données projet'!A45</f>
        <v>138</v>
      </c>
      <c r="B32" s="193">
        <f>'Données projet'!D45</f>
        <v>39</v>
      </c>
      <c r="C32" s="206">
        <v>150</v>
      </c>
      <c r="D32" s="194">
        <f t="shared" si="2"/>
        <v>5850</v>
      </c>
      <c r="E32" s="206">
        <v>60</v>
      </c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45">
      <c r="A33" s="192">
        <f>'Données projet'!A46</f>
        <v>148</v>
      </c>
      <c r="B33" s="193">
        <f>'Données projet'!D46</f>
        <v>41</v>
      </c>
      <c r="C33" s="206">
        <v>150</v>
      </c>
      <c r="D33" s="194">
        <f t="shared" si="2"/>
        <v>6150</v>
      </c>
      <c r="E33" s="206">
        <v>60</v>
      </c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250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45">
      <c r="A34" s="192">
        <f>'Données projet'!A47</f>
        <v>185</v>
      </c>
      <c r="B34" s="193">
        <f>'Données projet'!D47</f>
        <v>41</v>
      </c>
      <c r="C34" s="206">
        <v>150</v>
      </c>
      <c r="D34" s="194">
        <f t="shared" si="2"/>
        <v>6150</v>
      </c>
      <c r="E34" s="206">
        <v>60</v>
      </c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239.23444976076556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45">
      <c r="A35" s="192">
        <f>'Données projet'!A48</f>
        <v>168</v>
      </c>
      <c r="B35" s="193">
        <f>'Données projet'!D48</f>
        <v>41</v>
      </c>
      <c r="C35" s="206">
        <v>150</v>
      </c>
      <c r="D35" s="194">
        <f t="shared" si="2"/>
        <v>6150</v>
      </c>
      <c r="E35" s="206">
        <v>60</v>
      </c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228.93248780934508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45">
      <c r="A36" s="192">
        <f>'Données projet'!A49</f>
        <v>180</v>
      </c>
      <c r="B36" s="193">
        <f>'Données projet'!D49</f>
        <v>368</v>
      </c>
      <c r="C36" s="206">
        <v>200</v>
      </c>
      <c r="D36" s="194">
        <f t="shared" si="2"/>
        <v>73600</v>
      </c>
      <c r="E36" s="206">
        <v>60</v>
      </c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219.07415101372735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4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209.64033589830373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4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200.61276162517103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4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191.97393456954171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4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183.70711442061406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4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175.79628174221446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4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168.22610693034878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4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160.98192050751081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4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154.0496846961826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45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147.41596621644271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4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141.06791025496909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4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134.99321555499438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4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129.18011057894199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4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123.61733069755219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4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118.29409636129395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4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113.20009221176457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4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108.32544709259768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4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103.66071492114614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45">
      <c r="A54" s="192">
        <f>'Données projet'!A62</f>
        <v>15</v>
      </c>
      <c r="B54" s="193">
        <f>'Données projet'!D62</f>
        <v>21</v>
      </c>
      <c r="C54" s="204">
        <v>5</v>
      </c>
      <c r="D54" s="191">
        <f>B54*C54</f>
        <v>105</v>
      </c>
      <c r="E54" s="206">
        <v>60</v>
      </c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99.196856383871889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45">
      <c r="A55" s="192">
        <f>'Données projet'!A63</f>
        <v>20</v>
      </c>
      <c r="B55" s="193">
        <f>'Données projet'!D63</f>
        <v>43</v>
      </c>
      <c r="C55" s="204">
        <v>5</v>
      </c>
      <c r="D55" s="191">
        <f t="shared" ref="D55:D73" si="4">B55*C55</f>
        <v>215</v>
      </c>
      <c r="E55" s="206">
        <v>60</v>
      </c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94.925221419973127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45">
      <c r="A56" s="192">
        <f>'Données projet'!A64</f>
        <v>25</v>
      </c>
      <c r="B56" s="193">
        <f>'Données projet'!D64</f>
        <v>44</v>
      </c>
      <c r="C56" s="204">
        <v>5</v>
      </c>
      <c r="D56" s="191">
        <f t="shared" si="4"/>
        <v>220</v>
      </c>
      <c r="E56" s="206">
        <v>60</v>
      </c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90.837532459304427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45">
      <c r="A57" s="192">
        <f>'Données projet'!A65</f>
        <v>30</v>
      </c>
      <c r="B57" s="193">
        <f>'Données projet'!D65</f>
        <v>44</v>
      </c>
      <c r="C57" s="204">
        <v>20</v>
      </c>
      <c r="D57" s="191">
        <f t="shared" si="4"/>
        <v>880</v>
      </c>
      <c r="E57" s="206">
        <v>60</v>
      </c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86.925868382109513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45">
      <c r="A58" s="192">
        <f>'Données projet'!A66</f>
        <v>35</v>
      </c>
      <c r="B58" s="193">
        <f>'Données projet'!D66</f>
        <v>42</v>
      </c>
      <c r="C58" s="204">
        <v>20</v>
      </c>
      <c r="D58" s="191">
        <f t="shared" si="4"/>
        <v>840</v>
      </c>
      <c r="E58" s="206">
        <v>60</v>
      </c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83.182649169482801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45">
      <c r="A59" s="192">
        <f>'Données projet'!A67</f>
        <v>40</v>
      </c>
      <c r="B59" s="193">
        <f>'Données projet'!D67</f>
        <v>39</v>
      </c>
      <c r="C59" s="204">
        <v>20</v>
      </c>
      <c r="D59" s="191">
        <f t="shared" si="4"/>
        <v>780</v>
      </c>
      <c r="E59" s="206">
        <v>60</v>
      </c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79.600621214816101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45">
      <c r="A60" s="192">
        <f>'Données projet'!A68</f>
        <v>45</v>
      </c>
      <c r="B60" s="193">
        <f>'Données projet'!D68</f>
        <v>36</v>
      </c>
      <c r="C60" s="204">
        <v>20</v>
      </c>
      <c r="D60" s="191">
        <f t="shared" si="4"/>
        <v>720</v>
      </c>
      <c r="E60" s="206">
        <v>60</v>
      </c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76.172843267766595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45">
      <c r="A61" s="192">
        <f>'Données projet'!A69</f>
        <v>50</v>
      </c>
      <c r="B61" s="193">
        <f>'Données projet'!D69</f>
        <v>33</v>
      </c>
      <c r="C61" s="204">
        <v>20</v>
      </c>
      <c r="D61" s="191">
        <f t="shared" si="4"/>
        <v>660</v>
      </c>
      <c r="E61" s="206">
        <v>60</v>
      </c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72.892672983508731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45">
      <c r="A62" s="192">
        <f>'Données projet'!A70</f>
        <v>55</v>
      </c>
      <c r="B62" s="193">
        <f>'Données projet'!D70</f>
        <v>29</v>
      </c>
      <c r="C62" s="204">
        <v>20</v>
      </c>
      <c r="D62" s="191">
        <f t="shared" si="4"/>
        <v>580</v>
      </c>
      <c r="E62" s="206">
        <v>60</v>
      </c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69.75375405120451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45">
      <c r="A63" s="192">
        <f>'Données projet'!A71</f>
        <v>60</v>
      </c>
      <c r="B63" s="193">
        <f>'Données projet'!D71</f>
        <v>26</v>
      </c>
      <c r="C63" s="204">
        <v>20</v>
      </c>
      <c r="D63" s="191">
        <f t="shared" si="4"/>
        <v>520</v>
      </c>
      <c r="E63" s="206">
        <v>60</v>
      </c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66.750003876750753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45">
      <c r="A64" s="192">
        <f>'Données projet'!A72</f>
        <v>65</v>
      </c>
      <c r="B64" s="193">
        <f>'Données projet'!D72</f>
        <v>23</v>
      </c>
      <c r="C64" s="204">
        <v>20</v>
      </c>
      <c r="D64" s="191">
        <f t="shared" si="4"/>
        <v>460</v>
      </c>
      <c r="E64" s="206">
        <v>60</v>
      </c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63.875601795933719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45">
      <c r="A65" s="192">
        <f>'Données projet'!A73</f>
        <v>70</v>
      </c>
      <c r="B65" s="193">
        <f>'Données projet'!D73</f>
        <v>249</v>
      </c>
      <c r="C65" s="204">
        <v>85</v>
      </c>
      <c r="D65" s="191">
        <f t="shared" si="4"/>
        <v>21165</v>
      </c>
      <c r="E65" s="206">
        <v>60</v>
      </c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61.124977795151921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4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58.492801717848735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4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55.97397293574042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4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53.56361046482337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4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51.257043507008021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4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49.049802399050741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4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46.937609951244731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4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44.916373159085872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4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42.982175271852519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4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41.131268202729686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4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39.360065265770039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45">
      <c r="A76" s="49" t="s">
        <v>167</v>
      </c>
      <c r="B76" s="186" t="str">
        <f>IF('Données projet'!B11="","",'Données projet'!B11)</f>
        <v>Sapin de Nordmann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37.665134225617265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4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36.043190646523705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4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34.491091527773875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4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33.005829213180753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4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31.584525562852392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4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30.224426375935316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4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28.922896053526618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4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27.677412491413037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4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26.485562192739749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45">
      <c r="A85" s="192">
        <f>'Données projet'!A88</f>
        <v>25</v>
      </c>
      <c r="B85" s="193">
        <f>'Données projet'!D88</f>
        <v>21</v>
      </c>
      <c r="C85" s="204">
        <v>5</v>
      </c>
      <c r="D85" s="191">
        <f>B85*C85</f>
        <v>105</v>
      </c>
      <c r="E85" s="206">
        <v>60</v>
      </c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25.345035591138522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45">
      <c r="A86" s="192">
        <f>'Données projet'!A89</f>
        <v>30</v>
      </c>
      <c r="B86" s="193">
        <f>'Données projet'!D89</f>
        <v>48</v>
      </c>
      <c r="C86" s="204">
        <v>5</v>
      </c>
      <c r="D86" s="191">
        <f t="shared" ref="D86:D104" si="6">B86*C86</f>
        <v>240</v>
      </c>
      <c r="E86" s="206">
        <v>60</v>
      </c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24.253622575252173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45">
      <c r="A87" s="192">
        <f>'Données projet'!A90</f>
        <v>35</v>
      </c>
      <c r="B87" s="193">
        <f>'Données projet'!D90</f>
        <v>61</v>
      </c>
      <c r="C87" s="204">
        <v>5</v>
      </c>
      <c r="D87" s="191">
        <f t="shared" si="6"/>
        <v>305</v>
      </c>
      <c r="E87" s="206">
        <v>60</v>
      </c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23.20920820598295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45">
      <c r="A88" s="192">
        <f>'Données projet'!A91</f>
        <v>40</v>
      </c>
      <c r="B88" s="193">
        <f>'Données projet'!D91</f>
        <v>65</v>
      </c>
      <c r="C88" s="204">
        <v>20</v>
      </c>
      <c r="D88" s="191">
        <f t="shared" si="6"/>
        <v>1300</v>
      </c>
      <c r="E88" s="206">
        <v>60</v>
      </c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22.209768618165498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45">
      <c r="A89" s="192">
        <f>'Données projet'!A92</f>
        <v>45</v>
      </c>
      <c r="B89" s="193">
        <f>'Données projet'!D92</f>
        <v>69</v>
      </c>
      <c r="C89" s="204">
        <v>20</v>
      </c>
      <c r="D89" s="191">
        <f t="shared" si="6"/>
        <v>1380</v>
      </c>
      <c r="E89" s="206">
        <v>60</v>
      </c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21.253367098722972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45">
      <c r="A90" s="192">
        <f>'Données projet'!A93</f>
        <v>50</v>
      </c>
      <c r="B90" s="193">
        <f>'Données projet'!D93</f>
        <v>73</v>
      </c>
      <c r="C90" s="204">
        <v>20</v>
      </c>
      <c r="D90" s="191">
        <f t="shared" si="6"/>
        <v>1460</v>
      </c>
      <c r="E90" s="206">
        <v>60</v>
      </c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20.338150333706196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45">
      <c r="A91" s="192">
        <f>'Données projet'!A94</f>
        <v>55</v>
      </c>
      <c r="B91" s="193">
        <f>'Données projet'!D94</f>
        <v>68</v>
      </c>
      <c r="C91" s="204">
        <v>20</v>
      </c>
      <c r="D91" s="191">
        <f t="shared" si="6"/>
        <v>1360</v>
      </c>
      <c r="E91" s="206">
        <v>60</v>
      </c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19.46234481694373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45">
      <c r="A92" s="192">
        <f>'Données projet'!A95</f>
        <v>60</v>
      </c>
      <c r="B92" s="193">
        <f>'Données projet'!D95</f>
        <v>61</v>
      </c>
      <c r="C92" s="204">
        <v>20</v>
      </c>
      <c r="D92" s="191">
        <f t="shared" si="6"/>
        <v>1220</v>
      </c>
      <c r="E92" s="206">
        <v>60</v>
      </c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18.624253413343283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45">
      <c r="A93" s="192">
        <f>'Données projet'!A96</f>
        <v>65</v>
      </c>
      <c r="B93" s="193">
        <f>'Données projet'!D96</f>
        <v>646</v>
      </c>
      <c r="C93" s="204">
        <v>100</v>
      </c>
      <c r="D93" s="191">
        <f t="shared" si="6"/>
        <v>64600</v>
      </c>
      <c r="E93" s="206">
        <v>60</v>
      </c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17.822252070184962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4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17.054786670033454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4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16.320370019170777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4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15.617578965713658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4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14.945051641831261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4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14.30148482471891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4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str">
        <f>IF(O98+1&lt;=MIN('Données projet'!$E$9:$E$18),O98+1,"STOP")</f>
        <v>STOP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4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4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4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4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4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4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4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45">
      <c r="A107" s="49" t="s">
        <v>168</v>
      </c>
      <c r="B107" s="186" t="str">
        <f>IF('Données projet'!B12="","",'Données projet'!B12)</f>
        <v>Hêtre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4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4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4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4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4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4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4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4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45">
      <c r="A116" s="192">
        <f>'Données projet'!A114</f>
        <v>25</v>
      </c>
      <c r="B116" s="193">
        <f>'Données projet'!D114</f>
        <v>26</v>
      </c>
      <c r="C116" s="204">
        <v>5</v>
      </c>
      <c r="D116" s="191">
        <f>B116*C116</f>
        <v>130</v>
      </c>
      <c r="E116" s="206">
        <v>60</v>
      </c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45">
      <c r="A117" s="192">
        <f>'Données projet'!A115</f>
        <v>30</v>
      </c>
      <c r="B117" s="193">
        <f>'Données projet'!D115</f>
        <v>35</v>
      </c>
      <c r="C117" s="204">
        <v>5</v>
      </c>
      <c r="D117" s="191">
        <f t="shared" ref="D117:D135" si="8">B117*C117</f>
        <v>175</v>
      </c>
      <c r="E117" s="206">
        <v>60</v>
      </c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45">
      <c r="A118" s="192">
        <f>'Données projet'!A116</f>
        <v>35</v>
      </c>
      <c r="B118" s="193">
        <f>'Données projet'!D116</f>
        <v>35</v>
      </c>
      <c r="C118" s="204">
        <v>5</v>
      </c>
      <c r="D118" s="191">
        <f t="shared" si="8"/>
        <v>175</v>
      </c>
      <c r="E118" s="206">
        <v>60</v>
      </c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45">
      <c r="A119" s="192">
        <f>'Données projet'!A117</f>
        <v>40</v>
      </c>
      <c r="B119" s="193">
        <f>'Données projet'!D117</f>
        <v>35</v>
      </c>
      <c r="C119" s="204">
        <v>20</v>
      </c>
      <c r="D119" s="191">
        <f t="shared" si="8"/>
        <v>700</v>
      </c>
      <c r="E119" s="206">
        <v>60</v>
      </c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45">
      <c r="A120" s="192">
        <f>'Données projet'!A118</f>
        <v>45</v>
      </c>
      <c r="B120" s="193">
        <f>'Données projet'!D118</f>
        <v>35</v>
      </c>
      <c r="C120" s="204">
        <v>20</v>
      </c>
      <c r="D120" s="191">
        <f t="shared" si="8"/>
        <v>700</v>
      </c>
      <c r="E120" s="206">
        <v>60</v>
      </c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45">
      <c r="A121" s="192">
        <f>'Données projet'!A119</f>
        <v>50</v>
      </c>
      <c r="B121" s="193">
        <f>'Données projet'!D119</f>
        <v>35</v>
      </c>
      <c r="C121" s="204">
        <v>20</v>
      </c>
      <c r="D121" s="191">
        <f t="shared" si="8"/>
        <v>700</v>
      </c>
      <c r="E121" s="206">
        <v>60</v>
      </c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45">
      <c r="A122" s="192">
        <f>'Données projet'!A120</f>
        <v>55</v>
      </c>
      <c r="B122" s="193">
        <f>'Données projet'!D120</f>
        <v>35</v>
      </c>
      <c r="C122" s="204">
        <v>20</v>
      </c>
      <c r="D122" s="191">
        <f t="shared" si="8"/>
        <v>700</v>
      </c>
      <c r="E122" s="206">
        <v>60</v>
      </c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45">
      <c r="A123" s="192">
        <f>'Données projet'!A121</f>
        <v>60</v>
      </c>
      <c r="B123" s="193">
        <f>'Données projet'!D121</f>
        <v>35</v>
      </c>
      <c r="C123" s="204">
        <v>20</v>
      </c>
      <c r="D123" s="191">
        <f t="shared" si="8"/>
        <v>700</v>
      </c>
      <c r="E123" s="206">
        <v>60</v>
      </c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45">
      <c r="A124" s="192">
        <f>'Données projet'!A122</f>
        <v>65</v>
      </c>
      <c r="B124" s="193">
        <f>'Données projet'!D122</f>
        <v>35</v>
      </c>
      <c r="C124" s="204">
        <v>20</v>
      </c>
      <c r="D124" s="191">
        <f t="shared" si="8"/>
        <v>700</v>
      </c>
      <c r="E124" s="206">
        <v>60</v>
      </c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45">
      <c r="A125" s="192">
        <f>'Données projet'!A123</f>
        <v>70</v>
      </c>
      <c r="B125" s="193">
        <f>'Données projet'!D123</f>
        <v>35</v>
      </c>
      <c r="C125" s="204">
        <v>20</v>
      </c>
      <c r="D125" s="191">
        <f t="shared" si="8"/>
        <v>700</v>
      </c>
      <c r="E125" s="206">
        <v>60</v>
      </c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45">
      <c r="A126" s="192">
        <f>'Données projet'!A124</f>
        <v>75</v>
      </c>
      <c r="B126" s="193">
        <f>'Données projet'!D124</f>
        <v>35</v>
      </c>
      <c r="C126" s="204">
        <v>20</v>
      </c>
      <c r="D126" s="191">
        <f t="shared" si="8"/>
        <v>700</v>
      </c>
      <c r="E126" s="206">
        <v>60</v>
      </c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45">
      <c r="A127" s="192">
        <f>'Données projet'!A125</f>
        <v>80</v>
      </c>
      <c r="B127" s="193">
        <f>'Données projet'!D125</f>
        <v>34</v>
      </c>
      <c r="C127" s="204">
        <v>20</v>
      </c>
      <c r="D127" s="191">
        <f t="shared" si="8"/>
        <v>680</v>
      </c>
      <c r="E127" s="206">
        <v>60</v>
      </c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45">
      <c r="A128" s="192">
        <f>'Données projet'!A126</f>
        <v>85</v>
      </c>
      <c r="B128" s="193">
        <f>'Données projet'!D126</f>
        <v>33</v>
      </c>
      <c r="C128" s="204">
        <v>20</v>
      </c>
      <c r="D128" s="191">
        <f t="shared" si="8"/>
        <v>660</v>
      </c>
      <c r="E128" s="206">
        <v>60</v>
      </c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45">
      <c r="A129" s="192">
        <f>'Données projet'!A127</f>
        <v>90</v>
      </c>
      <c r="B129" s="193">
        <f>'Données projet'!D127</f>
        <v>31</v>
      </c>
      <c r="C129" s="204">
        <v>20</v>
      </c>
      <c r="D129" s="191">
        <f t="shared" si="8"/>
        <v>620</v>
      </c>
      <c r="E129" s="206">
        <v>60</v>
      </c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45">
      <c r="A130" s="192">
        <f>'Données projet'!A128</f>
        <v>95</v>
      </c>
      <c r="B130" s="193">
        <f>'Données projet'!D128</f>
        <v>30</v>
      </c>
      <c r="C130" s="204">
        <v>20</v>
      </c>
      <c r="D130" s="191">
        <f t="shared" si="8"/>
        <v>600</v>
      </c>
      <c r="E130" s="206">
        <v>60</v>
      </c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45">
      <c r="A131" s="192">
        <f>'Données projet'!A129</f>
        <v>100</v>
      </c>
      <c r="B131" s="193">
        <f>'Données projet'!D129</f>
        <v>29</v>
      </c>
      <c r="C131" s="204">
        <v>20</v>
      </c>
      <c r="D131" s="191">
        <f t="shared" si="8"/>
        <v>580</v>
      </c>
      <c r="E131" s="206">
        <v>60</v>
      </c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45">
      <c r="A132" s="192">
        <f>'Données projet'!A130</f>
        <v>105</v>
      </c>
      <c r="B132" s="193">
        <f>'Données projet'!D130</f>
        <v>28</v>
      </c>
      <c r="C132" s="204">
        <v>20</v>
      </c>
      <c r="D132" s="191">
        <f t="shared" si="8"/>
        <v>560</v>
      </c>
      <c r="E132" s="206">
        <v>60</v>
      </c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45">
      <c r="A133" s="192">
        <f>'Données projet'!A131</f>
        <v>110</v>
      </c>
      <c r="B133" s="193">
        <f>'Données projet'!D131</f>
        <v>27</v>
      </c>
      <c r="C133" s="204">
        <v>20</v>
      </c>
      <c r="D133" s="191">
        <f t="shared" si="8"/>
        <v>540</v>
      </c>
      <c r="E133" s="206">
        <v>60</v>
      </c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45">
      <c r="A134" s="192">
        <f>'Données projet'!A132</f>
        <v>115</v>
      </c>
      <c r="B134" s="193">
        <f>'Données projet'!D132</f>
        <v>501</v>
      </c>
      <c r="C134" s="204">
        <v>100</v>
      </c>
      <c r="D134" s="191">
        <f t="shared" si="8"/>
        <v>50100</v>
      </c>
      <c r="E134" s="206">
        <v>60</v>
      </c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4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4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4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4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4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4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4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4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4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4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4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4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4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4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45">
      <c r="A149" s="45">
        <f>'Données projet'!A142</f>
        <v>0</v>
      </c>
      <c r="B149" s="187">
        <f>'Données projet'!D142</f>
        <v>0</v>
      </c>
      <c r="C149" s="204">
        <v>5</v>
      </c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45">
      <c r="A150" s="45">
        <f>'Données projet'!A143</f>
        <v>0</v>
      </c>
      <c r="B150" s="187">
        <f>'Données projet'!D143</f>
        <v>0</v>
      </c>
      <c r="C150" s="204">
        <v>5</v>
      </c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45">
      <c r="A151" s="45">
        <f>'Données projet'!A144</f>
        <v>0</v>
      </c>
      <c r="B151" s="187">
        <f>'Données projet'!D144</f>
        <v>0</v>
      </c>
      <c r="C151" s="204">
        <v>5</v>
      </c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45">
      <c r="A152" s="45">
        <f>'Données projet'!A145</f>
        <v>0</v>
      </c>
      <c r="B152" s="187">
        <f>'Données projet'!D145</f>
        <v>0</v>
      </c>
      <c r="C152" s="204">
        <v>20</v>
      </c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45">
      <c r="A153" s="45">
        <f>'Données projet'!A146</f>
        <v>0</v>
      </c>
      <c r="B153" s="187">
        <f>'Données projet'!D146</f>
        <v>0</v>
      </c>
      <c r="C153" s="204">
        <v>150</v>
      </c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45">
      <c r="A154" s="45">
        <f>'Données projet'!A147</f>
        <v>0</v>
      </c>
      <c r="B154" s="187">
        <f>'Données projet'!D147</f>
        <v>0</v>
      </c>
      <c r="C154" s="204">
        <v>150</v>
      </c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45">
      <c r="A155" s="45">
        <f>'Données projet'!A148</f>
        <v>0</v>
      </c>
      <c r="B155" s="187">
        <f>'Données projet'!D148</f>
        <v>0</v>
      </c>
      <c r="C155" s="204">
        <v>150</v>
      </c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45">
      <c r="A156" s="45">
        <f>'Données projet'!A149</f>
        <v>0</v>
      </c>
      <c r="B156" s="187">
        <f>'Données projet'!D149</f>
        <v>0</v>
      </c>
      <c r="C156" s="204">
        <v>150</v>
      </c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45">
      <c r="A157" s="45">
        <f>'Données projet'!A150</f>
        <v>0</v>
      </c>
      <c r="B157" s="187">
        <f>'Données projet'!D150</f>
        <v>0</v>
      </c>
      <c r="C157" s="204">
        <v>150</v>
      </c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45">
      <c r="A158" s="45">
        <f>'Données projet'!A151</f>
        <v>0</v>
      </c>
      <c r="B158" s="187">
        <f>'Données projet'!D151</f>
        <v>0</v>
      </c>
      <c r="C158" s="204">
        <v>150</v>
      </c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45">
      <c r="A159" s="45">
        <f>'Données projet'!A152</f>
        <v>0</v>
      </c>
      <c r="B159" s="187">
        <f>'Données projet'!D152</f>
        <v>0</v>
      </c>
      <c r="C159" s="204">
        <v>150</v>
      </c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45">
      <c r="A160" s="45">
        <f>'Données projet'!A153</f>
        <v>0</v>
      </c>
      <c r="B160" s="187">
        <f>'Données projet'!D153</f>
        <v>0</v>
      </c>
      <c r="C160" s="204">
        <v>150</v>
      </c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45">
      <c r="A161" s="45">
        <f>'Données projet'!A154</f>
        <v>0</v>
      </c>
      <c r="B161" s="187">
        <f>'Données projet'!D154</f>
        <v>0</v>
      </c>
      <c r="C161" s="204">
        <v>150</v>
      </c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45">
      <c r="A162" s="45">
        <f>'Données projet'!A155</f>
        <v>0</v>
      </c>
      <c r="B162" s="187">
        <f>'Données projet'!D155</f>
        <v>0</v>
      </c>
      <c r="C162" s="204">
        <v>200</v>
      </c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4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4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4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4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4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4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4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4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4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4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4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4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4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4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4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4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4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4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4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4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4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4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4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4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4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4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4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4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4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4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4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4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4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4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4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4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4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4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4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4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4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4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4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4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4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4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4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4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4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4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4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4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4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4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4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4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4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4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4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4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4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4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4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4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4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4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4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4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4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4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4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4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4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4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4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4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4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4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4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4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4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4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4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4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4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4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4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4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4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4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4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4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4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4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4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4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4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4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4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4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4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4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4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4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4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4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4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4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4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4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4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4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4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4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4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4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4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4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4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4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4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4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4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4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4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4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4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4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4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4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4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4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4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4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4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4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4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4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4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4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4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4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4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4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4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4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4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4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4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4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4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4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4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4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4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4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4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4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4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4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4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4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4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4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4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4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4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4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4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4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4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4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4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4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4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4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4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4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4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4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4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4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4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4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4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4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4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4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4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4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4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4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4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4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4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4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4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4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4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4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4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4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4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4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4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4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4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4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4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4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4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4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4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4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4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4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4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4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4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4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4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4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4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4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4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4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4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4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4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4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4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4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4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4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4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4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4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4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4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4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4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4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4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4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4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4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4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4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4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4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4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4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4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4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4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4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4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4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4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4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4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4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4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4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4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4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4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4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4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4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4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4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4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4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4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4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4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4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4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4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4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4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4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4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4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4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4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4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4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4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4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4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4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4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4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4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4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4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4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4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4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4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4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4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4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4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4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4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4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4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4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4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4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4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4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4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4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4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4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4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4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4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4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4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4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4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4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4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4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4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4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4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4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4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4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4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4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4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4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4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4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4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4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4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4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4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4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4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4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4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4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4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4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4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4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4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4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4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4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4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4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4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4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4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4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4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4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4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4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4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4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4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4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4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4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4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4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4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4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4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4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4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4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4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4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4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4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4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4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4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Hortense Wiart</cp:lastModifiedBy>
  <dcterms:created xsi:type="dcterms:W3CDTF">2021-02-01T08:22:39Z</dcterms:created>
  <dcterms:modified xsi:type="dcterms:W3CDTF">2022-06-17T13:25:01Z</dcterms:modified>
</cp:coreProperties>
</file>